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codeName="ThisWorkbook"/>
  <xr:revisionPtr revIDLastSave="0" documentId="13_ncr:1_{91A720B3-86B2-4ED1-81C0-07C01C3884BA}" xr6:coauthVersionLast="46" xr6:coauthVersionMax="46" xr10:uidLastSave="{00000000-0000-0000-0000-000000000000}"/>
  <bookViews>
    <workbookView xWindow="-120" yWindow="-120" windowWidth="29040" windowHeight="15840" tabRatio="603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Credit'!$A$1:$I$31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Funding'!$A$1:$BJ$58</definedName>
    <definedName name="_xlnm.Print_Area" localSheetId="3">'OPERATING Performance Outputs'!$A$1:$AJ$30</definedName>
    <definedName name="_xlnm.Print_Area" localSheetId="4">'OPERATING Performance Per Unit'!$A$1:$K$46</definedName>
    <definedName name="_xlnm.Print_Area" localSheetId="6">'OPERATING Total Funding'!$A$1:$AB$34</definedName>
    <definedName name="_xlnm.Print_Area" localSheetId="1">'OVERALL Summary'!$A$1:$I$22</definedName>
    <definedName name="_xlnm.Print_Area" localSheetId="2">'OVERALL Summary Detail'!$A$1:$I$133,'OVERALL Summary Detail'!$A$1:$I$111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4" l="1"/>
  <c r="G16" i="17"/>
  <c r="K27" i="15" l="1"/>
  <c r="K26" i="15"/>
  <c r="K25" i="15"/>
  <c r="K24" i="15"/>
  <c r="K23" i="15"/>
  <c r="K20" i="15"/>
  <c r="K19" i="15"/>
  <c r="K18" i="15"/>
  <c r="K10" i="15"/>
  <c r="K11" i="15"/>
  <c r="K12" i="15"/>
  <c r="K13" i="15"/>
  <c r="K14" i="15"/>
  <c r="K15" i="15"/>
  <c r="K9" i="15"/>
  <c r="H27" i="15"/>
  <c r="H26" i="15"/>
  <c r="H25" i="15"/>
  <c r="H24" i="15"/>
  <c r="H23" i="15"/>
  <c r="H20" i="15"/>
  <c r="H19" i="15"/>
  <c r="H18" i="15"/>
  <c r="H10" i="15"/>
  <c r="H11" i="15"/>
  <c r="H12" i="15"/>
  <c r="H13" i="15"/>
  <c r="H14" i="15"/>
  <c r="H15" i="15"/>
  <c r="H9" i="15"/>
  <c r="C17" i="6"/>
  <c r="F23" i="6"/>
  <c r="F24" i="6"/>
  <c r="F25" i="6"/>
  <c r="F26" i="6"/>
  <c r="H26" i="6" s="1"/>
  <c r="F22" i="6"/>
  <c r="F19" i="6"/>
  <c r="F18" i="6"/>
  <c r="F17" i="6"/>
  <c r="F9" i="6"/>
  <c r="F10" i="6"/>
  <c r="F11" i="6"/>
  <c r="F12" i="6"/>
  <c r="F13" i="6"/>
  <c r="F14" i="6"/>
  <c r="F8" i="6"/>
  <c r="O28" i="5"/>
  <c r="O29" i="5"/>
  <c r="O30" i="5"/>
  <c r="O31" i="5"/>
  <c r="O27" i="5"/>
  <c r="O22" i="5"/>
  <c r="O23" i="5"/>
  <c r="O24" i="5"/>
  <c r="O21" i="5"/>
  <c r="O11" i="5"/>
  <c r="O12" i="5"/>
  <c r="O13" i="5"/>
  <c r="O14" i="5"/>
  <c r="O15" i="5"/>
  <c r="O16" i="5"/>
  <c r="O10" i="5"/>
  <c r="G103" i="18"/>
  <c r="G100" i="18" s="1"/>
  <c r="H100" i="18" s="1"/>
  <c r="I100" i="18" s="1"/>
  <c r="G97" i="18"/>
  <c r="G91" i="18"/>
  <c r="G85" i="18"/>
  <c r="G79" i="18"/>
  <c r="G67" i="18"/>
  <c r="G59" i="18"/>
  <c r="G55" i="18"/>
  <c r="G35" i="18"/>
  <c r="G31" i="18"/>
  <c r="G27" i="18"/>
  <c r="G23" i="18"/>
  <c r="G19" i="18"/>
  <c r="G15" i="18"/>
  <c r="G11" i="18"/>
  <c r="C103" i="18"/>
  <c r="C97" i="18"/>
  <c r="C91" i="18"/>
  <c r="C85" i="18"/>
  <c r="C79" i="18"/>
  <c r="C67" i="18"/>
  <c r="C59" i="18"/>
  <c r="C55" i="18"/>
  <c r="C43" i="18"/>
  <c r="C39" i="18"/>
  <c r="C35" i="18"/>
  <c r="C31" i="18"/>
  <c r="C27" i="18"/>
  <c r="C23" i="18"/>
  <c r="C19" i="18"/>
  <c r="C15" i="18"/>
  <c r="C11" i="18"/>
  <c r="C101" i="18"/>
  <c r="C95" i="18"/>
  <c r="C89" i="18"/>
  <c r="C83" i="18"/>
  <c r="D83" i="18" s="1"/>
  <c r="E83" i="18" s="1"/>
  <c r="C77" i="18"/>
  <c r="C65" i="18"/>
  <c r="C61" i="18"/>
  <c r="C57" i="18"/>
  <c r="C53" i="18"/>
  <c r="C41" i="18"/>
  <c r="C37" i="18"/>
  <c r="C33" i="18"/>
  <c r="C29" i="18"/>
  <c r="C25" i="18"/>
  <c r="C21" i="18"/>
  <c r="C17" i="18"/>
  <c r="C13" i="18"/>
  <c r="C9" i="18"/>
  <c r="C47" i="18" s="1"/>
  <c r="I43" i="18"/>
  <c r="D58" i="18"/>
  <c r="H58" i="18"/>
  <c r="D61" i="18"/>
  <c r="E61" i="18" s="1"/>
  <c r="H61" i="18"/>
  <c r="I61" i="18"/>
  <c r="I63" i="18"/>
  <c r="B64" i="18"/>
  <c r="C64" i="18"/>
  <c r="D64" i="18" s="1"/>
  <c r="G64" i="18"/>
  <c r="H64" i="18" s="1"/>
  <c r="I64" i="18" s="1"/>
  <c r="I69" i="18"/>
  <c r="H83" i="18"/>
  <c r="I83" i="18" s="1"/>
  <c r="D91" i="18"/>
  <c r="E91" i="18" s="1"/>
  <c r="H91" i="18"/>
  <c r="I91" i="18" s="1"/>
  <c r="D92" i="18"/>
  <c r="E92" i="18"/>
  <c r="H92" i="18"/>
  <c r="B94" i="18"/>
  <c r="C94" i="18"/>
  <c r="G94" i="18"/>
  <c r="H94" i="18" s="1"/>
  <c r="D95" i="18"/>
  <c r="E95" i="18" s="1"/>
  <c r="H95" i="18"/>
  <c r="I95" i="18" s="1"/>
  <c r="D96" i="18"/>
  <c r="E96" i="18" s="1"/>
  <c r="H96" i="18"/>
  <c r="I96" i="18" s="1"/>
  <c r="D97" i="18"/>
  <c r="E97" i="18" s="1"/>
  <c r="H97" i="18"/>
  <c r="I97" i="18" s="1"/>
  <c r="D98" i="18"/>
  <c r="E98" i="18" s="1"/>
  <c r="H98" i="18"/>
  <c r="I98" i="18" s="1"/>
  <c r="B100" i="18"/>
  <c r="C100" i="18"/>
  <c r="D100" i="18" s="1"/>
  <c r="D101" i="18"/>
  <c r="E101" i="18" s="1"/>
  <c r="H101" i="18"/>
  <c r="I101" i="18"/>
  <c r="D102" i="18"/>
  <c r="E102" i="18"/>
  <c r="H102" i="18"/>
  <c r="I102" i="18"/>
  <c r="D103" i="18"/>
  <c r="E103" i="18" s="1"/>
  <c r="H103" i="18"/>
  <c r="I103" i="18" s="1"/>
  <c r="D104" i="18"/>
  <c r="E104" i="18"/>
  <c r="H104" i="18"/>
  <c r="I104" i="18"/>
  <c r="B106" i="18"/>
  <c r="C106" i="18"/>
  <c r="D106" i="18" s="1"/>
  <c r="E106" i="18"/>
  <c r="G106" i="18"/>
  <c r="H106" i="18"/>
  <c r="I106" i="18" s="1"/>
  <c r="D107" i="18"/>
  <c r="E107" i="18" s="1"/>
  <c r="H107" i="18"/>
  <c r="I107" i="18" s="1"/>
  <c r="D108" i="18"/>
  <c r="E108" i="18"/>
  <c r="H108" i="18"/>
  <c r="I108" i="18"/>
  <c r="D109" i="18"/>
  <c r="E109" i="18" s="1"/>
  <c r="H109" i="18"/>
  <c r="I109" i="18" s="1"/>
  <c r="D110" i="18"/>
  <c r="E110" i="18" s="1"/>
  <c r="H110" i="18"/>
  <c r="I110" i="18" s="1"/>
  <c r="I43" i="4"/>
  <c r="I44" i="4"/>
  <c r="AI10" i="3"/>
  <c r="AK10" i="3"/>
  <c r="AM10" i="3"/>
  <c r="AO10" i="3"/>
  <c r="AR10" i="3"/>
  <c r="AT10" i="3"/>
  <c r="AV10" i="3"/>
  <c r="AX10" i="3"/>
  <c r="AZ10" i="3"/>
  <c r="BB10" i="3"/>
  <c r="BE10" i="3"/>
  <c r="BG10" i="3"/>
  <c r="AI11" i="3"/>
  <c r="AK11" i="3"/>
  <c r="AM11" i="3"/>
  <c r="AO11" i="3"/>
  <c r="AR11" i="3"/>
  <c r="AT11" i="3"/>
  <c r="AV11" i="3"/>
  <c r="AX11" i="3"/>
  <c r="AZ11" i="3"/>
  <c r="BB11" i="3"/>
  <c r="BE11" i="3"/>
  <c r="BG11" i="3"/>
  <c r="BH11" i="3" s="1"/>
  <c r="AM12" i="3"/>
  <c r="AO12" i="3"/>
  <c r="AR12" i="3"/>
  <c r="BC12" i="3" s="1"/>
  <c r="AT12" i="3"/>
  <c r="AV12" i="3"/>
  <c r="AX12" i="3"/>
  <c r="AZ12" i="3"/>
  <c r="BB12" i="3"/>
  <c r="BE12" i="3"/>
  <c r="BG12" i="3"/>
  <c r="AI13" i="3"/>
  <c r="AK13" i="3"/>
  <c r="AM13" i="3"/>
  <c r="AO13" i="3"/>
  <c r="AR13" i="3"/>
  <c r="AT13" i="3"/>
  <c r="AV13" i="3"/>
  <c r="AX13" i="3"/>
  <c r="AZ13" i="3"/>
  <c r="BB13" i="3"/>
  <c r="BE13" i="3"/>
  <c r="BH13" i="3" s="1"/>
  <c r="BG13" i="3"/>
  <c r="AM14" i="3"/>
  <c r="AO14" i="3"/>
  <c r="AR14" i="3"/>
  <c r="AT14" i="3"/>
  <c r="AV14" i="3"/>
  <c r="AV17" i="3" s="1"/>
  <c r="AX14" i="3"/>
  <c r="AZ14" i="3"/>
  <c r="BB14" i="3"/>
  <c r="BC14" i="3"/>
  <c r="BE14" i="3"/>
  <c r="BG14" i="3"/>
  <c r="AE15" i="3"/>
  <c r="AG15" i="3"/>
  <c r="AI15" i="3"/>
  <c r="AK15" i="3"/>
  <c r="AM15" i="3"/>
  <c r="AO15" i="3"/>
  <c r="AR15" i="3"/>
  <c r="AT15" i="3"/>
  <c r="AV15" i="3"/>
  <c r="AX15" i="3"/>
  <c r="AZ15" i="3"/>
  <c r="BB15" i="3"/>
  <c r="BE15" i="3"/>
  <c r="BG15" i="3"/>
  <c r="BH15" i="3" s="1"/>
  <c r="AC16" i="3"/>
  <c r="AE16" i="3"/>
  <c r="AG16" i="3"/>
  <c r="AI16" i="3"/>
  <c r="AK16" i="3"/>
  <c r="AM16" i="3"/>
  <c r="AO16" i="3"/>
  <c r="AR16" i="3"/>
  <c r="AT16" i="3"/>
  <c r="AV16" i="3"/>
  <c r="AX16" i="3"/>
  <c r="AX17" i="3" s="1"/>
  <c r="AZ16" i="3"/>
  <c r="BB16" i="3"/>
  <c r="BE16" i="3"/>
  <c r="BG16" i="3"/>
  <c r="AD17" i="3"/>
  <c r="AF17" i="3"/>
  <c r="AF29" i="3" s="1"/>
  <c r="AH17" i="3"/>
  <c r="AJ17" i="3"/>
  <c r="AL17" i="3"/>
  <c r="AN17" i="3"/>
  <c r="AQ17" i="3"/>
  <c r="AS17" i="3"/>
  <c r="AS29" i="3" s="1"/>
  <c r="AU17" i="3"/>
  <c r="AW17" i="3"/>
  <c r="AY17" i="3"/>
  <c r="BA17" i="3"/>
  <c r="BA29" i="3" s="1"/>
  <c r="BD17" i="3"/>
  <c r="BF17" i="3"/>
  <c r="AC19" i="3"/>
  <c r="AE19" i="3"/>
  <c r="AG19" i="3"/>
  <c r="AI19" i="3"/>
  <c r="AK19" i="3"/>
  <c r="AM19" i="3"/>
  <c r="AO19" i="3"/>
  <c r="AR19" i="3"/>
  <c r="AT19" i="3"/>
  <c r="AV19" i="3"/>
  <c r="AV22" i="3" s="1"/>
  <c r="AX19" i="3"/>
  <c r="AZ19" i="3"/>
  <c r="BB19" i="3"/>
  <c r="BE19" i="3"/>
  <c r="BG19" i="3"/>
  <c r="AC20" i="3"/>
  <c r="AC22" i="3" s="1"/>
  <c r="AE20" i="3"/>
  <c r="AG20" i="3"/>
  <c r="AI20" i="3"/>
  <c r="AK20" i="3"/>
  <c r="AK22" i="3" s="1"/>
  <c r="AM20" i="3"/>
  <c r="AO20" i="3"/>
  <c r="AO22" i="3" s="1"/>
  <c r="AR20" i="3"/>
  <c r="AT20" i="3"/>
  <c r="AV20" i="3"/>
  <c r="AX20" i="3"/>
  <c r="AZ20" i="3"/>
  <c r="BB20" i="3"/>
  <c r="BE20" i="3"/>
  <c r="BG20" i="3"/>
  <c r="BH20" i="3" s="1"/>
  <c r="AC21" i="3"/>
  <c r="AE21" i="3"/>
  <c r="AG21" i="3"/>
  <c r="AI21" i="3"/>
  <c r="AK21" i="3"/>
  <c r="AM21" i="3"/>
  <c r="AO21" i="3"/>
  <c r="AR21" i="3"/>
  <c r="AT21" i="3"/>
  <c r="AV21" i="3"/>
  <c r="AX21" i="3"/>
  <c r="AZ21" i="3"/>
  <c r="BB21" i="3"/>
  <c r="BE21" i="3"/>
  <c r="BG21" i="3"/>
  <c r="AD22" i="3"/>
  <c r="AF22" i="3"/>
  <c r="AG22" i="3"/>
  <c r="AH22" i="3"/>
  <c r="AJ22" i="3"/>
  <c r="AL22" i="3"/>
  <c r="AN22" i="3"/>
  <c r="AQ22" i="3"/>
  <c r="AR22" i="3"/>
  <c r="AS22" i="3"/>
  <c r="AU22" i="3"/>
  <c r="AW22" i="3"/>
  <c r="AY22" i="3"/>
  <c r="AZ22" i="3"/>
  <c r="BA22" i="3"/>
  <c r="BD22" i="3"/>
  <c r="BF22" i="3"/>
  <c r="AC24" i="3"/>
  <c r="AE24" i="3"/>
  <c r="AG24" i="3"/>
  <c r="AI24" i="3"/>
  <c r="AK24" i="3"/>
  <c r="AM24" i="3"/>
  <c r="AO24" i="3"/>
  <c r="AR24" i="3"/>
  <c r="AT24" i="3"/>
  <c r="AV24" i="3"/>
  <c r="AX24" i="3"/>
  <c r="AZ24" i="3"/>
  <c r="BB24" i="3"/>
  <c r="BE24" i="3"/>
  <c r="BH24" i="3" s="1"/>
  <c r="BG24" i="3"/>
  <c r="AC25" i="3"/>
  <c r="AE25" i="3"/>
  <c r="AG25" i="3"/>
  <c r="AI25" i="3"/>
  <c r="AK25" i="3"/>
  <c r="AM25" i="3"/>
  <c r="AO25" i="3"/>
  <c r="AR25" i="3"/>
  <c r="AT25" i="3"/>
  <c r="AV25" i="3"/>
  <c r="AX25" i="3"/>
  <c r="AZ25" i="3"/>
  <c r="BB25" i="3"/>
  <c r="BE25" i="3"/>
  <c r="BH25" i="3" s="1"/>
  <c r="BG25" i="3"/>
  <c r="AC26" i="3"/>
  <c r="AE26" i="3"/>
  <c r="AG26" i="3"/>
  <c r="AI26" i="3"/>
  <c r="AK26" i="3"/>
  <c r="AM26" i="3"/>
  <c r="AO26" i="3"/>
  <c r="AR26" i="3"/>
  <c r="AT26" i="3"/>
  <c r="AV26" i="3"/>
  <c r="AX26" i="3"/>
  <c r="AZ26" i="3"/>
  <c r="BB26" i="3"/>
  <c r="BE26" i="3"/>
  <c r="BG26" i="3"/>
  <c r="BH26" i="3" s="1"/>
  <c r="AC27" i="3"/>
  <c r="AE27" i="3"/>
  <c r="AG27" i="3"/>
  <c r="AI27" i="3"/>
  <c r="AK27" i="3"/>
  <c r="AM27" i="3"/>
  <c r="AO27" i="3"/>
  <c r="AR27" i="3"/>
  <c r="AT27" i="3"/>
  <c r="AV27" i="3"/>
  <c r="AX27" i="3"/>
  <c r="AZ27" i="3"/>
  <c r="BB27" i="3"/>
  <c r="BE27" i="3"/>
  <c r="BG27" i="3"/>
  <c r="AC28" i="3"/>
  <c r="AE28" i="3"/>
  <c r="AG28" i="3"/>
  <c r="AI28" i="3"/>
  <c r="AK28" i="3"/>
  <c r="AM28" i="3"/>
  <c r="AO28" i="3"/>
  <c r="AR28" i="3"/>
  <c r="AT28" i="3"/>
  <c r="AV28" i="3"/>
  <c r="AX28" i="3"/>
  <c r="AZ28" i="3"/>
  <c r="BB28" i="3"/>
  <c r="BE28" i="3"/>
  <c r="BG28" i="3"/>
  <c r="BH28" i="3"/>
  <c r="AQ29" i="3"/>
  <c r="AU29" i="3"/>
  <c r="AW29" i="3"/>
  <c r="AY29" i="3"/>
  <c r="AD36" i="3"/>
  <c r="AF36" i="3"/>
  <c r="AH36" i="3"/>
  <c r="AJ36" i="3"/>
  <c r="AL36" i="3"/>
  <c r="AN36" i="3"/>
  <c r="AC38" i="3"/>
  <c r="AE38" i="3"/>
  <c r="AG38" i="3"/>
  <c r="AG45" i="3" s="1"/>
  <c r="AG57" i="3" s="1"/>
  <c r="AI38" i="3"/>
  <c r="AK38" i="3"/>
  <c r="AM38" i="3"/>
  <c r="AO38" i="3"/>
  <c r="AR38" i="3"/>
  <c r="AT38" i="3"/>
  <c r="AV38" i="3"/>
  <c r="AX38" i="3"/>
  <c r="AZ38" i="3"/>
  <c r="AZ45" i="3" s="1"/>
  <c r="BB38" i="3"/>
  <c r="BE38" i="3"/>
  <c r="BG38" i="3"/>
  <c r="BH38" i="3" s="1"/>
  <c r="AC39" i="3"/>
  <c r="AE39" i="3"/>
  <c r="AG39" i="3"/>
  <c r="AI39" i="3"/>
  <c r="AK39" i="3"/>
  <c r="AM39" i="3"/>
  <c r="AO39" i="3"/>
  <c r="AR39" i="3"/>
  <c r="AT39" i="3"/>
  <c r="AV39" i="3"/>
  <c r="AX39" i="3"/>
  <c r="AZ39" i="3"/>
  <c r="BB39" i="3"/>
  <c r="BC39" i="3"/>
  <c r="BE39" i="3"/>
  <c r="BG39" i="3"/>
  <c r="BH39" i="3" s="1"/>
  <c r="AC40" i="3"/>
  <c r="AC45" i="3" s="1"/>
  <c r="AC57" i="3" s="1"/>
  <c r="AE40" i="3"/>
  <c r="AG40" i="3"/>
  <c r="AI40" i="3"/>
  <c r="AK40" i="3"/>
  <c r="AM40" i="3"/>
  <c r="AO40" i="3"/>
  <c r="AR40" i="3"/>
  <c r="AT40" i="3"/>
  <c r="AV40" i="3"/>
  <c r="AX40" i="3"/>
  <c r="AZ40" i="3"/>
  <c r="BB40" i="3"/>
  <c r="BC40" i="3"/>
  <c r="BE40" i="3"/>
  <c r="BH40" i="3" s="1"/>
  <c r="BG40" i="3"/>
  <c r="G41" i="3"/>
  <c r="K41" i="3"/>
  <c r="M41" i="3"/>
  <c r="AC41" i="3"/>
  <c r="AE41" i="3"/>
  <c r="AE45" i="3" s="1"/>
  <c r="AG41" i="3"/>
  <c r="AI41" i="3"/>
  <c r="AK41" i="3"/>
  <c r="AM41" i="3"/>
  <c r="AO41" i="3"/>
  <c r="AR41" i="3"/>
  <c r="AT41" i="3"/>
  <c r="AV41" i="3"/>
  <c r="AX41" i="3"/>
  <c r="AZ41" i="3"/>
  <c r="BB41" i="3"/>
  <c r="BB45" i="3" s="1"/>
  <c r="BE41" i="3"/>
  <c r="BG41" i="3"/>
  <c r="BH41" i="3"/>
  <c r="AC42" i="3"/>
  <c r="AE42" i="3"/>
  <c r="AG42" i="3"/>
  <c r="AI42" i="3"/>
  <c r="AK42" i="3"/>
  <c r="AM42" i="3"/>
  <c r="AO42" i="3"/>
  <c r="AR42" i="3"/>
  <c r="AT42" i="3"/>
  <c r="AV42" i="3"/>
  <c r="AX42" i="3"/>
  <c r="AZ42" i="3"/>
  <c r="BB42" i="3"/>
  <c r="BE42" i="3"/>
  <c r="BG42" i="3"/>
  <c r="I43" i="3"/>
  <c r="M43" i="3"/>
  <c r="AC43" i="3"/>
  <c r="AE43" i="3"/>
  <c r="AG43" i="3"/>
  <c r="AI43" i="3"/>
  <c r="AK43" i="3"/>
  <c r="AM43" i="3"/>
  <c r="AO43" i="3"/>
  <c r="AR43" i="3"/>
  <c r="AT43" i="3"/>
  <c r="AV43" i="3"/>
  <c r="AX43" i="3"/>
  <c r="AZ43" i="3"/>
  <c r="BB43" i="3"/>
  <c r="BE43" i="3"/>
  <c r="BH43" i="3" s="1"/>
  <c r="BG43" i="3"/>
  <c r="I44" i="3"/>
  <c r="M44" i="3"/>
  <c r="AC44" i="3"/>
  <c r="AE44" i="3"/>
  <c r="AG44" i="3"/>
  <c r="AI44" i="3"/>
  <c r="AK44" i="3"/>
  <c r="AM44" i="3"/>
  <c r="AO44" i="3"/>
  <c r="AR44" i="3"/>
  <c r="AT44" i="3"/>
  <c r="AV44" i="3"/>
  <c r="AX44" i="3"/>
  <c r="AZ44" i="3"/>
  <c r="BB44" i="3"/>
  <c r="BE44" i="3"/>
  <c r="BH44" i="3" s="1"/>
  <c r="BG44" i="3"/>
  <c r="F45" i="3"/>
  <c r="X45" i="3"/>
  <c r="Z45" i="3"/>
  <c r="AB45" i="3"/>
  <c r="AD45" i="3"/>
  <c r="AF45" i="3"/>
  <c r="AH45" i="3"/>
  <c r="AJ45" i="3"/>
  <c r="AK45" i="3"/>
  <c r="AL45" i="3"/>
  <c r="AN45" i="3"/>
  <c r="AO45" i="3"/>
  <c r="AO57" i="3" s="1"/>
  <c r="AQ45" i="3"/>
  <c r="AS45" i="3"/>
  <c r="AU45" i="3"/>
  <c r="AU57" i="3" s="1"/>
  <c r="AW45" i="3"/>
  <c r="AW57" i="3" s="1"/>
  <c r="AY45" i="3"/>
  <c r="BA45" i="3"/>
  <c r="BD45" i="3"/>
  <c r="BF45" i="3"/>
  <c r="C47" i="3"/>
  <c r="E47" i="3"/>
  <c r="G47" i="3"/>
  <c r="I47" i="3"/>
  <c r="K47" i="3"/>
  <c r="M47" i="3"/>
  <c r="N47" i="3"/>
  <c r="P47" i="3"/>
  <c r="V47" i="3"/>
  <c r="Y47" i="3"/>
  <c r="AA47" i="3"/>
  <c r="AC47" i="3"/>
  <c r="AE47" i="3"/>
  <c r="AG47" i="3"/>
  <c r="AI47" i="3"/>
  <c r="AK47" i="3"/>
  <c r="AM47" i="3"/>
  <c r="AO47" i="3"/>
  <c r="AR47" i="3"/>
  <c r="AT47" i="3"/>
  <c r="AV47" i="3"/>
  <c r="AX47" i="3"/>
  <c r="AZ47" i="3"/>
  <c r="BB47" i="3"/>
  <c r="BE47" i="3"/>
  <c r="BG47" i="3"/>
  <c r="V48" i="3"/>
  <c r="Y48" i="3"/>
  <c r="AA48" i="3"/>
  <c r="AC48" i="3"/>
  <c r="AE48" i="3"/>
  <c r="AG48" i="3"/>
  <c r="AI48" i="3"/>
  <c r="AK48" i="3"/>
  <c r="AM48" i="3"/>
  <c r="AO48" i="3"/>
  <c r="AR48" i="3"/>
  <c r="AT48" i="3"/>
  <c r="AV48" i="3"/>
  <c r="AX48" i="3"/>
  <c r="AZ48" i="3"/>
  <c r="BB48" i="3"/>
  <c r="BE48" i="3"/>
  <c r="BG48" i="3"/>
  <c r="BH48" i="3" s="1"/>
  <c r="I49" i="3"/>
  <c r="M49" i="3"/>
  <c r="P49" i="3"/>
  <c r="V49" i="3"/>
  <c r="Y49" i="3"/>
  <c r="AA49" i="3"/>
  <c r="AA50" i="3" s="1"/>
  <c r="AC49" i="3"/>
  <c r="AE49" i="3"/>
  <c r="AG49" i="3"/>
  <c r="AI49" i="3"/>
  <c r="AI50" i="3" s="1"/>
  <c r="AK49" i="3"/>
  <c r="AM49" i="3"/>
  <c r="AO49" i="3"/>
  <c r="AP49" i="3"/>
  <c r="AR49" i="3"/>
  <c r="AT49" i="3"/>
  <c r="AV49" i="3"/>
  <c r="AX49" i="3"/>
  <c r="AX50" i="3" s="1"/>
  <c r="AZ49" i="3"/>
  <c r="BB49" i="3"/>
  <c r="BB50" i="3" s="1"/>
  <c r="BE49" i="3"/>
  <c r="BG49" i="3"/>
  <c r="BH49" i="3"/>
  <c r="F50" i="3"/>
  <c r="X50" i="3"/>
  <c r="Y50" i="3"/>
  <c r="Z50" i="3"/>
  <c r="AB50" i="3"/>
  <c r="AC50" i="3"/>
  <c r="AD50" i="3"/>
  <c r="AE50" i="3"/>
  <c r="AF50" i="3"/>
  <c r="AG50" i="3"/>
  <c r="AH50" i="3"/>
  <c r="AJ50" i="3"/>
  <c r="AK50" i="3"/>
  <c r="AL50" i="3"/>
  <c r="AM50" i="3"/>
  <c r="AN50" i="3"/>
  <c r="AO50" i="3"/>
  <c r="AQ50" i="3"/>
  <c r="AQ57" i="3" s="1"/>
  <c r="AS50" i="3"/>
  <c r="AU50" i="3"/>
  <c r="AW50" i="3"/>
  <c r="AY50" i="3"/>
  <c r="AY57" i="3" s="1"/>
  <c r="BA50" i="3"/>
  <c r="BD50" i="3"/>
  <c r="BE50" i="3"/>
  <c r="BF50" i="3"/>
  <c r="V52" i="3"/>
  <c r="Y52" i="3"/>
  <c r="AA52" i="3"/>
  <c r="AC52" i="3"/>
  <c r="AE52" i="3"/>
  <c r="AG52" i="3"/>
  <c r="AI52" i="3"/>
  <c r="AK52" i="3"/>
  <c r="AP52" i="3" s="1"/>
  <c r="AM52" i="3"/>
  <c r="AO52" i="3"/>
  <c r="AR52" i="3"/>
  <c r="AT52" i="3"/>
  <c r="AV52" i="3"/>
  <c r="AX52" i="3"/>
  <c r="AZ52" i="3"/>
  <c r="BB52" i="3"/>
  <c r="BE52" i="3"/>
  <c r="BG52" i="3"/>
  <c r="I53" i="3"/>
  <c r="M53" i="3"/>
  <c r="P53" i="3"/>
  <c r="V53" i="3"/>
  <c r="Y53" i="3"/>
  <c r="AA53" i="3"/>
  <c r="AC53" i="3"/>
  <c r="AE53" i="3"/>
  <c r="AG53" i="3"/>
  <c r="AI53" i="3"/>
  <c r="AK53" i="3"/>
  <c r="AM53" i="3"/>
  <c r="AO53" i="3"/>
  <c r="AR53" i="3"/>
  <c r="AT53" i="3"/>
  <c r="AV53" i="3"/>
  <c r="AX53" i="3"/>
  <c r="AZ53" i="3"/>
  <c r="BB53" i="3"/>
  <c r="BE53" i="3"/>
  <c r="BG53" i="3"/>
  <c r="BH53" i="3"/>
  <c r="I54" i="3"/>
  <c r="M54" i="3"/>
  <c r="P54" i="3"/>
  <c r="V54" i="3"/>
  <c r="Y54" i="3"/>
  <c r="AA54" i="3"/>
  <c r="AC54" i="3"/>
  <c r="AE54" i="3"/>
  <c r="AG54" i="3"/>
  <c r="AI54" i="3"/>
  <c r="AK54" i="3"/>
  <c r="AM54" i="3"/>
  <c r="AO54" i="3"/>
  <c r="AR54" i="3"/>
  <c r="AT54" i="3"/>
  <c r="AV54" i="3"/>
  <c r="AX54" i="3"/>
  <c r="AZ54" i="3"/>
  <c r="BB54" i="3"/>
  <c r="BC54" i="3"/>
  <c r="BE54" i="3"/>
  <c r="BG54" i="3"/>
  <c r="BH54" i="3"/>
  <c r="I55" i="3"/>
  <c r="M55" i="3"/>
  <c r="P55" i="3"/>
  <c r="V55" i="3"/>
  <c r="Y55" i="3"/>
  <c r="AA55" i="3"/>
  <c r="AC55" i="3"/>
  <c r="AE55" i="3"/>
  <c r="AG55" i="3"/>
  <c r="AI55" i="3"/>
  <c r="AK55" i="3"/>
  <c r="AM55" i="3"/>
  <c r="AO55" i="3"/>
  <c r="AP55" i="3"/>
  <c r="AR55" i="3"/>
  <c r="AT55" i="3"/>
  <c r="AV55" i="3"/>
  <c r="AX55" i="3"/>
  <c r="BC55" i="3" s="1"/>
  <c r="AZ55" i="3"/>
  <c r="BB55" i="3"/>
  <c r="BE55" i="3"/>
  <c r="BH55" i="3" s="1"/>
  <c r="BG55" i="3"/>
  <c r="I56" i="3"/>
  <c r="M56" i="3"/>
  <c r="P56" i="3"/>
  <c r="V56" i="3"/>
  <c r="Y56" i="3"/>
  <c r="AA56" i="3"/>
  <c r="AC56" i="3"/>
  <c r="AE56" i="3"/>
  <c r="AG56" i="3"/>
  <c r="AI56" i="3"/>
  <c r="AK56" i="3"/>
  <c r="AP56" i="3" s="1"/>
  <c r="AM56" i="3"/>
  <c r="AO56" i="3"/>
  <c r="AR56" i="3"/>
  <c r="AT56" i="3"/>
  <c r="AV56" i="3"/>
  <c r="AX56" i="3"/>
  <c r="AZ56" i="3"/>
  <c r="BB56" i="3"/>
  <c r="BE56" i="3"/>
  <c r="BG56" i="3"/>
  <c r="F57" i="3"/>
  <c r="X57" i="3"/>
  <c r="Z57" i="3"/>
  <c r="AB57" i="3"/>
  <c r="AD57" i="3"/>
  <c r="AF57" i="3"/>
  <c r="AH57" i="3"/>
  <c r="AJ57" i="3"/>
  <c r="AL57" i="3"/>
  <c r="AN57" i="3"/>
  <c r="AS57" i="3"/>
  <c r="BA57" i="3"/>
  <c r="BB57" i="3"/>
  <c r="BD57" i="3"/>
  <c r="BF57" i="3"/>
  <c r="M29" i="5"/>
  <c r="M26" i="6"/>
  <c r="M26" i="7"/>
  <c r="M29" i="7"/>
  <c r="M32" i="7"/>
  <c r="F37" i="7"/>
  <c r="M37" i="7"/>
  <c r="F41" i="7"/>
  <c r="G41" i="7"/>
  <c r="H41" i="7"/>
  <c r="K41" i="7"/>
  <c r="L41" i="7"/>
  <c r="M41" i="7"/>
  <c r="I16" i="8"/>
  <c r="I23" i="8"/>
  <c r="I24" i="8"/>
  <c r="M24" i="8"/>
  <c r="I25" i="8"/>
  <c r="M25" i="8"/>
  <c r="I28" i="8"/>
  <c r="M28" i="8"/>
  <c r="I29" i="8"/>
  <c r="M29" i="8"/>
  <c r="I30" i="8"/>
  <c r="K30" i="8"/>
  <c r="M30" i="8"/>
  <c r="I32" i="8"/>
  <c r="M32" i="8"/>
  <c r="AD12" i="9"/>
  <c r="AD15" i="9"/>
  <c r="AE15" i="9"/>
  <c r="AF15" i="9"/>
  <c r="AG15" i="9"/>
  <c r="I16" i="9"/>
  <c r="W16" i="9"/>
  <c r="Y16" i="9"/>
  <c r="AA16" i="9"/>
  <c r="AC16" i="9"/>
  <c r="AD16" i="9"/>
  <c r="AF16" i="9"/>
  <c r="W17" i="9"/>
  <c r="Y17" i="9"/>
  <c r="AA17" i="9"/>
  <c r="AC17" i="9"/>
  <c r="AD17" i="9"/>
  <c r="AE17" i="9"/>
  <c r="AF17" i="9"/>
  <c r="E18" i="9"/>
  <c r="G18" i="9"/>
  <c r="O18" i="9"/>
  <c r="W18" i="9"/>
  <c r="Y18" i="9"/>
  <c r="AA18" i="9"/>
  <c r="AC18" i="9"/>
  <c r="AD18" i="9"/>
  <c r="AF18" i="9"/>
  <c r="W19" i="9"/>
  <c r="Y19" i="9"/>
  <c r="AA19" i="9"/>
  <c r="AC19" i="9"/>
  <c r="AD19" i="9"/>
  <c r="AF19" i="9"/>
  <c r="W20" i="9"/>
  <c r="Y20" i="9"/>
  <c r="AA20" i="9"/>
  <c r="AC20" i="9"/>
  <c r="AD20" i="9"/>
  <c r="AF20" i="9"/>
  <c r="W21" i="9"/>
  <c r="Y21" i="9"/>
  <c r="AA21" i="9"/>
  <c r="AC21" i="9"/>
  <c r="AD21" i="9"/>
  <c r="AF21" i="9"/>
  <c r="W22" i="9"/>
  <c r="Y22" i="9"/>
  <c r="AA22" i="9"/>
  <c r="AC22" i="9"/>
  <c r="AD22" i="9"/>
  <c r="AF22" i="9"/>
  <c r="I23" i="9"/>
  <c r="W23" i="9"/>
  <c r="Y23" i="9"/>
  <c r="AA23" i="9"/>
  <c r="AC23" i="9"/>
  <c r="AD23" i="9"/>
  <c r="AF23" i="9"/>
  <c r="I24" i="9"/>
  <c r="M24" i="9"/>
  <c r="W24" i="9"/>
  <c r="Y24" i="9"/>
  <c r="AA24" i="9"/>
  <c r="AC24" i="9"/>
  <c r="AD24" i="9"/>
  <c r="AF24" i="9"/>
  <c r="I25" i="9"/>
  <c r="M25" i="9"/>
  <c r="W25" i="9"/>
  <c r="Y25" i="9"/>
  <c r="AA25" i="9"/>
  <c r="AC25" i="9"/>
  <c r="AD25" i="9"/>
  <c r="AF25" i="9"/>
  <c r="I26" i="9"/>
  <c r="M26" i="9"/>
  <c r="W26" i="9"/>
  <c r="Y26" i="9"/>
  <c r="AA26" i="9"/>
  <c r="AC26" i="9"/>
  <c r="AD26" i="9"/>
  <c r="AF26" i="9"/>
  <c r="I27" i="9"/>
  <c r="M27" i="9"/>
  <c r="W27" i="9"/>
  <c r="Y27" i="9"/>
  <c r="AA27" i="9"/>
  <c r="AC27" i="9"/>
  <c r="AD27" i="9"/>
  <c r="AF27" i="9"/>
  <c r="I28" i="9"/>
  <c r="M28" i="9"/>
  <c r="W28" i="9"/>
  <c r="Y28" i="9"/>
  <c r="AA28" i="9"/>
  <c r="AC28" i="9"/>
  <c r="AD28" i="9"/>
  <c r="AF28" i="9"/>
  <c r="I29" i="9"/>
  <c r="M29" i="9"/>
  <c r="W29" i="9"/>
  <c r="Y29" i="9"/>
  <c r="AA29" i="9"/>
  <c r="AC29" i="9"/>
  <c r="AD29" i="9"/>
  <c r="AF29" i="9"/>
  <c r="C30" i="9"/>
  <c r="E30" i="9"/>
  <c r="G30" i="9"/>
  <c r="I30" i="9"/>
  <c r="K30" i="9"/>
  <c r="M30" i="9"/>
  <c r="O30" i="9"/>
  <c r="W30" i="9"/>
  <c r="Y30" i="9"/>
  <c r="AA30" i="9"/>
  <c r="AC30" i="9"/>
  <c r="AD30" i="9"/>
  <c r="AF30" i="9"/>
  <c r="W31" i="9"/>
  <c r="Y31" i="9"/>
  <c r="AA31" i="9"/>
  <c r="AC31" i="9"/>
  <c r="AD31" i="9"/>
  <c r="AF31" i="9"/>
  <c r="I32" i="9"/>
  <c r="M32" i="9"/>
  <c r="W32" i="9"/>
  <c r="Y32" i="9"/>
  <c r="AA32" i="9"/>
  <c r="AC32" i="9"/>
  <c r="AD32" i="9"/>
  <c r="AF32" i="9"/>
  <c r="I33" i="9"/>
  <c r="M33" i="9"/>
  <c r="W33" i="9"/>
  <c r="Y33" i="9"/>
  <c r="AA33" i="9"/>
  <c r="AC33" i="9"/>
  <c r="AD33" i="9"/>
  <c r="AF33" i="9"/>
  <c r="I34" i="9"/>
  <c r="M34" i="9"/>
  <c r="W34" i="9"/>
  <c r="Y34" i="9"/>
  <c r="AA34" i="9"/>
  <c r="AC34" i="9"/>
  <c r="AD34" i="9"/>
  <c r="AF34" i="9"/>
  <c r="C35" i="9"/>
  <c r="E35" i="9"/>
  <c r="G35" i="9"/>
  <c r="I35" i="9"/>
  <c r="K35" i="9"/>
  <c r="M35" i="9"/>
  <c r="O35" i="9"/>
  <c r="W35" i="9"/>
  <c r="Y35" i="9"/>
  <c r="AA35" i="9"/>
  <c r="AC35" i="9"/>
  <c r="AD35" i="9"/>
  <c r="AE35" i="9"/>
  <c r="AF35" i="9"/>
  <c r="W36" i="9"/>
  <c r="Y36" i="9"/>
  <c r="AA36" i="9"/>
  <c r="AC36" i="9"/>
  <c r="AD36" i="9"/>
  <c r="AE36" i="9"/>
  <c r="AF36" i="9"/>
  <c r="P10" i="12"/>
  <c r="P11" i="12"/>
  <c r="P12" i="12"/>
  <c r="P13" i="12"/>
  <c r="P14" i="12"/>
  <c r="P15" i="12"/>
  <c r="I16" i="12"/>
  <c r="P16" i="12"/>
  <c r="P17" i="12"/>
  <c r="E18" i="12"/>
  <c r="G18" i="12"/>
  <c r="L18" i="12"/>
  <c r="O18" i="12"/>
  <c r="P18" i="12"/>
  <c r="P20" i="12"/>
  <c r="P21" i="12"/>
  <c r="P22" i="12"/>
  <c r="I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B30" i="12"/>
  <c r="C30" i="12"/>
  <c r="D30" i="12"/>
  <c r="E30" i="12"/>
  <c r="F30" i="12" s="1"/>
  <c r="G30" i="12"/>
  <c r="H30" i="12"/>
  <c r="I30" i="12"/>
  <c r="K30" i="12"/>
  <c r="L30" i="12"/>
  <c r="M30" i="12" s="1"/>
  <c r="N30" i="12"/>
  <c r="O30" i="12"/>
  <c r="P30" i="12"/>
  <c r="F32" i="12"/>
  <c r="I32" i="12"/>
  <c r="M32" i="12"/>
  <c r="P32" i="12"/>
  <c r="F33" i="12"/>
  <c r="I33" i="12"/>
  <c r="M33" i="12"/>
  <c r="P33" i="12"/>
  <c r="F34" i="12"/>
  <c r="I34" i="12"/>
  <c r="M34" i="12"/>
  <c r="P34" i="12"/>
  <c r="B35" i="12"/>
  <c r="C35" i="12"/>
  <c r="I35" i="12" s="1"/>
  <c r="D35" i="12"/>
  <c r="E35" i="12"/>
  <c r="F35" i="12" s="1"/>
  <c r="G35" i="12"/>
  <c r="H35" i="12"/>
  <c r="K35" i="12"/>
  <c r="L35" i="12"/>
  <c r="L92" i="12" s="1"/>
  <c r="L94" i="12" s="1"/>
  <c r="N35" i="12"/>
  <c r="O35" i="12"/>
  <c r="F37" i="12"/>
  <c r="I37" i="12"/>
  <c r="M37" i="12"/>
  <c r="P37" i="12"/>
  <c r="F38" i="12"/>
  <c r="I38" i="12"/>
  <c r="M38" i="12"/>
  <c r="P38" i="12"/>
  <c r="F39" i="12"/>
  <c r="I39" i="12"/>
  <c r="M39" i="12"/>
  <c r="P39" i="12"/>
  <c r="F40" i="12"/>
  <c r="I40" i="12"/>
  <c r="M40" i="12"/>
  <c r="P40" i="12"/>
  <c r="B41" i="12"/>
  <c r="C41" i="12"/>
  <c r="D41" i="12"/>
  <c r="E41" i="12"/>
  <c r="F41" i="12" s="1"/>
  <c r="G41" i="12"/>
  <c r="H41" i="12"/>
  <c r="I41" i="12"/>
  <c r="K41" i="12"/>
  <c r="L41" i="12"/>
  <c r="M41" i="12" s="1"/>
  <c r="N41" i="12"/>
  <c r="O41" i="12"/>
  <c r="P41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F46" i="12"/>
  <c r="I46" i="12"/>
  <c r="M46" i="12"/>
  <c r="P46" i="12"/>
  <c r="B47" i="12"/>
  <c r="C47" i="12"/>
  <c r="D47" i="12"/>
  <c r="E47" i="12"/>
  <c r="F47" i="12" s="1"/>
  <c r="G47" i="12"/>
  <c r="G92" i="12" s="1"/>
  <c r="G94" i="12" s="1"/>
  <c r="H47" i="12"/>
  <c r="K47" i="12"/>
  <c r="M47" i="12"/>
  <c r="N47" i="12"/>
  <c r="O47" i="12"/>
  <c r="F49" i="12"/>
  <c r="I49" i="12"/>
  <c r="M49" i="12"/>
  <c r="P49" i="12"/>
  <c r="F50" i="12"/>
  <c r="I50" i="12"/>
  <c r="M50" i="12"/>
  <c r="P50" i="12"/>
  <c r="B51" i="12"/>
  <c r="M51" i="12" s="1"/>
  <c r="C51" i="12"/>
  <c r="D51" i="12"/>
  <c r="E51" i="12"/>
  <c r="F51" i="12"/>
  <c r="G51" i="12"/>
  <c r="H51" i="12"/>
  <c r="I51" i="12"/>
  <c r="K51" i="12"/>
  <c r="L51" i="12"/>
  <c r="N51" i="12"/>
  <c r="O51" i="12"/>
  <c r="P51" i="12"/>
  <c r="F53" i="12"/>
  <c r="I53" i="12"/>
  <c r="M53" i="12"/>
  <c r="P53" i="12"/>
  <c r="F54" i="12"/>
  <c r="I54" i="12"/>
  <c r="M54" i="12"/>
  <c r="P54" i="12"/>
  <c r="F55" i="12"/>
  <c r="I55" i="12"/>
  <c r="M55" i="12"/>
  <c r="P55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/>
  <c r="G58" i="12"/>
  <c r="H58" i="12"/>
  <c r="K58" i="12"/>
  <c r="L58" i="12"/>
  <c r="M58" i="12"/>
  <c r="N58" i="12"/>
  <c r="O58" i="12"/>
  <c r="P58" i="12"/>
  <c r="F60" i="12"/>
  <c r="I60" i="12"/>
  <c r="M60" i="12"/>
  <c r="P60" i="12"/>
  <c r="B61" i="12"/>
  <c r="C61" i="12"/>
  <c r="D61" i="12"/>
  <c r="E61" i="12"/>
  <c r="E93" i="12" s="1"/>
  <c r="F61" i="12"/>
  <c r="G61" i="12"/>
  <c r="H61" i="12"/>
  <c r="I61" i="12"/>
  <c r="K61" i="12"/>
  <c r="K93" i="12" s="1"/>
  <c r="L61" i="12"/>
  <c r="N61" i="12"/>
  <c r="O61" i="12"/>
  <c r="P61" i="12"/>
  <c r="F63" i="12"/>
  <c r="I63" i="12"/>
  <c r="M63" i="12"/>
  <c r="P63" i="12"/>
  <c r="B64" i="12"/>
  <c r="C64" i="12"/>
  <c r="I64" i="12" s="1"/>
  <c r="D64" i="12"/>
  <c r="E64" i="12"/>
  <c r="F64" i="12"/>
  <c r="G64" i="12"/>
  <c r="H64" i="12"/>
  <c r="K64" i="12"/>
  <c r="L64" i="12"/>
  <c r="L93" i="12" s="1"/>
  <c r="M64" i="12"/>
  <c r="N64" i="12"/>
  <c r="O64" i="12"/>
  <c r="P64" i="12" s="1"/>
  <c r="F66" i="12"/>
  <c r="I66" i="12"/>
  <c r="M66" i="12"/>
  <c r="P66" i="12"/>
  <c r="F67" i="12"/>
  <c r="I67" i="12"/>
  <c r="M67" i="12"/>
  <c r="P67" i="12"/>
  <c r="F68" i="12"/>
  <c r="I68" i="12"/>
  <c r="M68" i="12"/>
  <c r="P68" i="12"/>
  <c r="F69" i="12"/>
  <c r="I69" i="12"/>
  <c r="M69" i="12"/>
  <c r="P69" i="12"/>
  <c r="F70" i="12"/>
  <c r="I70" i="12"/>
  <c r="M70" i="12"/>
  <c r="P70" i="12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B83" i="12"/>
  <c r="M83" i="12" s="1"/>
  <c r="C83" i="12"/>
  <c r="D83" i="12"/>
  <c r="E83" i="12"/>
  <c r="F83" i="12"/>
  <c r="G83" i="12"/>
  <c r="H83" i="12"/>
  <c r="I83" i="12" s="1"/>
  <c r="K83" i="12"/>
  <c r="L83" i="12"/>
  <c r="N83" i="12"/>
  <c r="O83" i="12"/>
  <c r="P83" i="12" s="1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B91" i="12"/>
  <c r="C91" i="12"/>
  <c r="D91" i="12"/>
  <c r="E91" i="12"/>
  <c r="F91" i="12"/>
  <c r="G91" i="12"/>
  <c r="H91" i="12"/>
  <c r="K91" i="12"/>
  <c r="L91" i="12"/>
  <c r="M91" i="12"/>
  <c r="N91" i="12"/>
  <c r="O91" i="12"/>
  <c r="P91" i="12" s="1"/>
  <c r="C93" i="12"/>
  <c r="D93" i="12"/>
  <c r="G93" i="12"/>
  <c r="N93" i="12"/>
  <c r="G9" i="13"/>
  <c r="G10" i="13"/>
  <c r="G11" i="13"/>
  <c r="G12" i="13"/>
  <c r="E13" i="13"/>
  <c r="G13" i="13"/>
  <c r="G14" i="13"/>
  <c r="G15" i="13"/>
  <c r="B16" i="13"/>
  <c r="C16" i="13"/>
  <c r="G16" i="13"/>
  <c r="E18" i="13"/>
  <c r="G18" i="13"/>
  <c r="G21" i="13" s="1"/>
  <c r="H21" i="13" s="1"/>
  <c r="G19" i="13"/>
  <c r="G20" i="13"/>
  <c r="H20" i="13" s="1"/>
  <c r="G23" i="13"/>
  <c r="H23" i="13" s="1"/>
  <c r="E24" i="13"/>
  <c r="G24" i="13"/>
  <c r="H24" i="13" s="1"/>
  <c r="G25" i="13"/>
  <c r="H25" i="13"/>
  <c r="G26" i="13"/>
  <c r="H26" i="13" s="1"/>
  <c r="G27" i="13"/>
  <c r="H27" i="13"/>
  <c r="C28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D23" i="14" s="1"/>
  <c r="F16" i="14"/>
  <c r="G16" i="14" s="1"/>
  <c r="I16" i="14"/>
  <c r="K16" i="14"/>
  <c r="L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F23" i="14"/>
  <c r="I23" i="14"/>
  <c r="E9" i="15"/>
  <c r="F9" i="15"/>
  <c r="E10" i="15"/>
  <c r="F10" i="15"/>
  <c r="E11" i="15"/>
  <c r="G11" i="15" s="1"/>
  <c r="L11" i="15" s="1"/>
  <c r="F11" i="15"/>
  <c r="I11" i="15"/>
  <c r="E12" i="15"/>
  <c r="G12" i="15" s="1"/>
  <c r="F12" i="15"/>
  <c r="E13" i="15"/>
  <c r="F13" i="15"/>
  <c r="G13" i="15" s="1"/>
  <c r="E14" i="15"/>
  <c r="F14" i="15"/>
  <c r="G14" i="15"/>
  <c r="E15" i="15"/>
  <c r="G15" i="15" s="1"/>
  <c r="I15" i="15" s="1"/>
  <c r="F15" i="15"/>
  <c r="B16" i="15"/>
  <c r="C16" i="15"/>
  <c r="D16" i="15"/>
  <c r="E18" i="15"/>
  <c r="F18" i="15"/>
  <c r="G18" i="15"/>
  <c r="E19" i="15"/>
  <c r="F19" i="15"/>
  <c r="E20" i="15"/>
  <c r="F20" i="15"/>
  <c r="G20" i="15"/>
  <c r="B21" i="15"/>
  <c r="C21" i="15"/>
  <c r="C28" i="15" s="1"/>
  <c r="D21" i="15"/>
  <c r="E23" i="15"/>
  <c r="F23" i="15"/>
  <c r="E24" i="15"/>
  <c r="F24" i="15"/>
  <c r="G24" i="15"/>
  <c r="E25" i="15"/>
  <c r="F25" i="15"/>
  <c r="E26" i="15"/>
  <c r="G26" i="15" s="1"/>
  <c r="F26" i="15"/>
  <c r="E27" i="15"/>
  <c r="F27" i="15"/>
  <c r="D28" i="15"/>
  <c r="K22" i="14"/>
  <c r="K23" i="14" s="1"/>
  <c r="J22" i="14"/>
  <c r="I22" i="14"/>
  <c r="F22" i="14"/>
  <c r="E22" i="14"/>
  <c r="D22" i="14"/>
  <c r="C22" i="14"/>
  <c r="C23" i="14" s="1"/>
  <c r="B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E26" i="13" s="1"/>
  <c r="D25" i="13"/>
  <c r="E25" i="13" s="1"/>
  <c r="D24" i="13"/>
  <c r="D23" i="13"/>
  <c r="E23" i="13" s="1"/>
  <c r="C21" i="13"/>
  <c r="B21" i="13"/>
  <c r="D20" i="13"/>
  <c r="E20" i="13" s="1"/>
  <c r="H19" i="13"/>
  <c r="D19" i="13"/>
  <c r="E19" i="13" s="1"/>
  <c r="H18" i="13"/>
  <c r="D18" i="13"/>
  <c r="D21" i="13" s="1"/>
  <c r="H15" i="13"/>
  <c r="D15" i="13"/>
  <c r="E15" i="13" s="1"/>
  <c r="H14" i="13"/>
  <c r="D14" i="13"/>
  <c r="E14" i="13" s="1"/>
  <c r="H13" i="13"/>
  <c r="D13" i="13"/>
  <c r="H12" i="13"/>
  <c r="D12" i="13"/>
  <c r="E12" i="13" s="1"/>
  <c r="H11" i="13"/>
  <c r="D11" i="13"/>
  <c r="E11" i="13" s="1"/>
  <c r="H10" i="13"/>
  <c r="D10" i="13"/>
  <c r="E10" i="13" s="1"/>
  <c r="H9" i="13"/>
  <c r="D9" i="13"/>
  <c r="E9" i="13" s="1"/>
  <c r="L47" i="12"/>
  <c r="F28" i="12"/>
  <c r="F27" i="12"/>
  <c r="F26" i="12"/>
  <c r="F25" i="12"/>
  <c r="F24" i="12"/>
  <c r="M23" i="12"/>
  <c r="F23" i="12"/>
  <c r="M22" i="12"/>
  <c r="I22" i="12"/>
  <c r="F22" i="12"/>
  <c r="M21" i="12"/>
  <c r="I21" i="12"/>
  <c r="F21" i="12"/>
  <c r="M20" i="12"/>
  <c r="I20" i="12"/>
  <c r="F20" i="12"/>
  <c r="N18" i="12"/>
  <c r="N92" i="12" s="1"/>
  <c r="N94" i="12" s="1"/>
  <c r="K18" i="12"/>
  <c r="K92" i="12" s="1"/>
  <c r="K94" i="12" s="1"/>
  <c r="H18" i="12"/>
  <c r="H92" i="12" s="1"/>
  <c r="D18" i="12"/>
  <c r="D92" i="12" s="1"/>
  <c r="D94" i="12" s="1"/>
  <c r="C18" i="12"/>
  <c r="C92" i="12" s="1"/>
  <c r="C94" i="12" s="1"/>
  <c r="B18" i="12"/>
  <c r="B92" i="12" s="1"/>
  <c r="M17" i="12"/>
  <c r="I17" i="12"/>
  <c r="F17" i="12"/>
  <c r="M16" i="12"/>
  <c r="F16" i="12"/>
  <c r="M15" i="12"/>
  <c r="I15" i="12"/>
  <c r="F15" i="12"/>
  <c r="M14" i="12"/>
  <c r="I14" i="12"/>
  <c r="F14" i="12"/>
  <c r="M13" i="12"/>
  <c r="I13" i="12"/>
  <c r="F13" i="12"/>
  <c r="M12" i="12"/>
  <c r="I12" i="12"/>
  <c r="F12" i="12"/>
  <c r="M11" i="12"/>
  <c r="I11" i="12"/>
  <c r="F11" i="12"/>
  <c r="M10" i="12"/>
  <c r="I10" i="12"/>
  <c r="F10" i="12"/>
  <c r="U36" i="9"/>
  <c r="S36" i="9"/>
  <c r="Q36" i="9"/>
  <c r="O36" i="9"/>
  <c r="M36" i="9"/>
  <c r="K36" i="9"/>
  <c r="I36" i="9"/>
  <c r="G36" i="9"/>
  <c r="E36" i="9"/>
  <c r="C36" i="9"/>
  <c r="U35" i="9"/>
  <c r="S35" i="9"/>
  <c r="Q35" i="9"/>
  <c r="U34" i="9"/>
  <c r="S34" i="9"/>
  <c r="Q34" i="9"/>
  <c r="O34" i="9"/>
  <c r="K34" i="9"/>
  <c r="G34" i="9"/>
  <c r="E34" i="9"/>
  <c r="AG34" i="9" s="1"/>
  <c r="C34" i="9"/>
  <c r="U33" i="9"/>
  <c r="S33" i="9"/>
  <c r="Q33" i="9"/>
  <c r="O33" i="9"/>
  <c r="K33" i="9"/>
  <c r="G33" i="9"/>
  <c r="E33" i="9"/>
  <c r="AG33" i="9" s="1"/>
  <c r="C33" i="9"/>
  <c r="U32" i="9"/>
  <c r="S32" i="9"/>
  <c r="Q32" i="9"/>
  <c r="O32" i="9"/>
  <c r="K32" i="9"/>
  <c r="G32" i="9"/>
  <c r="E32" i="9"/>
  <c r="AG32" i="9" s="1"/>
  <c r="C32" i="9"/>
  <c r="U31" i="9"/>
  <c r="S31" i="9"/>
  <c r="Q31" i="9"/>
  <c r="O31" i="9"/>
  <c r="M31" i="9"/>
  <c r="K31" i="9"/>
  <c r="I31" i="9"/>
  <c r="G31" i="9"/>
  <c r="E31" i="9"/>
  <c r="AG31" i="9" s="1"/>
  <c r="C31" i="9"/>
  <c r="AE31" i="9" s="1"/>
  <c r="U30" i="9"/>
  <c r="S30" i="9"/>
  <c r="AE30" i="9" s="1"/>
  <c r="Q30" i="9"/>
  <c r="U29" i="9"/>
  <c r="S29" i="9"/>
  <c r="Q29" i="9"/>
  <c r="O29" i="9"/>
  <c r="K29" i="9"/>
  <c r="AE29" i="9" s="1"/>
  <c r="G29" i="9"/>
  <c r="E29" i="9"/>
  <c r="C29" i="9"/>
  <c r="U28" i="9"/>
  <c r="S28" i="9"/>
  <c r="Q28" i="9"/>
  <c r="O28" i="9"/>
  <c r="K28" i="9"/>
  <c r="G28" i="9"/>
  <c r="E28" i="9"/>
  <c r="AG28" i="9" s="1"/>
  <c r="C28" i="9"/>
  <c r="U27" i="9"/>
  <c r="S27" i="9"/>
  <c r="Q27" i="9"/>
  <c r="O27" i="9"/>
  <c r="K27" i="9"/>
  <c r="AE27" i="9" s="1"/>
  <c r="G27" i="9"/>
  <c r="E27" i="9"/>
  <c r="C27" i="9"/>
  <c r="U26" i="9"/>
  <c r="S26" i="9"/>
  <c r="Q26" i="9"/>
  <c r="O26" i="9"/>
  <c r="K26" i="9"/>
  <c r="G26" i="9"/>
  <c r="E26" i="9"/>
  <c r="AG26" i="9" s="1"/>
  <c r="C26" i="9"/>
  <c r="U25" i="9"/>
  <c r="S25" i="9"/>
  <c r="Q25" i="9"/>
  <c r="O25" i="9"/>
  <c r="K25" i="9"/>
  <c r="AE25" i="9" s="1"/>
  <c r="G25" i="9"/>
  <c r="E25" i="9"/>
  <c r="C25" i="9"/>
  <c r="U24" i="9"/>
  <c r="S24" i="9"/>
  <c r="Q24" i="9"/>
  <c r="O24" i="9"/>
  <c r="K24" i="9"/>
  <c r="G24" i="9"/>
  <c r="E24" i="9"/>
  <c r="AG24" i="9" s="1"/>
  <c r="C24" i="9"/>
  <c r="U23" i="9"/>
  <c r="S23" i="9"/>
  <c r="Q23" i="9"/>
  <c r="O23" i="9"/>
  <c r="M23" i="9"/>
  <c r="K23" i="9"/>
  <c r="G23" i="9"/>
  <c r="E23" i="9"/>
  <c r="C23" i="9"/>
  <c r="AE23" i="9" s="1"/>
  <c r="U22" i="9"/>
  <c r="S22" i="9"/>
  <c r="Q22" i="9"/>
  <c r="O22" i="9"/>
  <c r="M22" i="9"/>
  <c r="K22" i="9"/>
  <c r="I22" i="9"/>
  <c r="G22" i="9"/>
  <c r="E22" i="9"/>
  <c r="AG22" i="9" s="1"/>
  <c r="C22" i="9"/>
  <c r="U21" i="9"/>
  <c r="S21" i="9"/>
  <c r="Q21" i="9"/>
  <c r="O21" i="9"/>
  <c r="M21" i="9"/>
  <c r="K21" i="9"/>
  <c r="I21" i="9"/>
  <c r="G21" i="9"/>
  <c r="E21" i="9"/>
  <c r="AG21" i="9" s="1"/>
  <c r="C21" i="9"/>
  <c r="AE21" i="9" s="1"/>
  <c r="U20" i="9"/>
  <c r="S20" i="9"/>
  <c r="Q20" i="9"/>
  <c r="O20" i="9"/>
  <c r="M20" i="9"/>
  <c r="K20" i="9"/>
  <c r="I20" i="9"/>
  <c r="G20" i="9"/>
  <c r="E20" i="9"/>
  <c r="C20" i="9"/>
  <c r="AE20" i="9" s="1"/>
  <c r="U19" i="9"/>
  <c r="S19" i="9"/>
  <c r="Q19" i="9"/>
  <c r="O19" i="9"/>
  <c r="M19" i="9"/>
  <c r="K19" i="9"/>
  <c r="I19" i="9"/>
  <c r="G19" i="9"/>
  <c r="E19" i="9"/>
  <c r="AG19" i="9" s="1"/>
  <c r="C19" i="9"/>
  <c r="AE19" i="9" s="1"/>
  <c r="U18" i="9"/>
  <c r="S18" i="9"/>
  <c r="Q18" i="9"/>
  <c r="M18" i="9"/>
  <c r="K18" i="9"/>
  <c r="I18" i="9"/>
  <c r="C18" i="9"/>
  <c r="U17" i="9"/>
  <c r="S17" i="9"/>
  <c r="Q17" i="9"/>
  <c r="O17" i="9"/>
  <c r="M17" i="9"/>
  <c r="K17" i="9"/>
  <c r="I17" i="9"/>
  <c r="G17" i="9"/>
  <c r="E17" i="9"/>
  <c r="AG17" i="9" s="1"/>
  <c r="C17" i="9"/>
  <c r="U16" i="9"/>
  <c r="S16" i="9"/>
  <c r="Q16" i="9"/>
  <c r="O16" i="9"/>
  <c r="M16" i="9"/>
  <c r="K16" i="9"/>
  <c r="G16" i="9"/>
  <c r="E16" i="9"/>
  <c r="C16" i="9"/>
  <c r="O33" i="8"/>
  <c r="G33" i="8"/>
  <c r="C33" i="8"/>
  <c r="V32" i="8"/>
  <c r="R32" i="8"/>
  <c r="S32" i="8" s="1"/>
  <c r="K32" i="8"/>
  <c r="J32" i="8"/>
  <c r="D32" i="8"/>
  <c r="V31" i="8"/>
  <c r="S31" i="8"/>
  <c r="R31" i="8"/>
  <c r="T31" i="8" s="1"/>
  <c r="M31" i="8"/>
  <c r="J31" i="8"/>
  <c r="I31" i="8"/>
  <c r="K31" i="8" s="1"/>
  <c r="D31" i="8"/>
  <c r="V30" i="8"/>
  <c r="T30" i="8"/>
  <c r="R30" i="8"/>
  <c r="S30" i="8" s="1"/>
  <c r="J30" i="8"/>
  <c r="D30" i="8"/>
  <c r="V29" i="8"/>
  <c r="R29" i="8"/>
  <c r="S29" i="8" s="1"/>
  <c r="K29" i="8"/>
  <c r="J29" i="8"/>
  <c r="D29" i="8"/>
  <c r="V28" i="8"/>
  <c r="T28" i="8"/>
  <c r="S28" i="8"/>
  <c r="R28" i="8"/>
  <c r="K28" i="8"/>
  <c r="J28" i="8"/>
  <c r="D28" i="8"/>
  <c r="U26" i="8"/>
  <c r="Q26" i="8"/>
  <c r="P26" i="8"/>
  <c r="O26" i="8"/>
  <c r="L26" i="8"/>
  <c r="H26" i="8"/>
  <c r="H33" i="8" s="1"/>
  <c r="G26" i="8"/>
  <c r="F26" i="8"/>
  <c r="E26" i="8"/>
  <c r="M26" i="8" s="1"/>
  <c r="D26" i="8"/>
  <c r="C26" i="8"/>
  <c r="B26" i="8"/>
  <c r="V25" i="8"/>
  <c r="T25" i="8"/>
  <c r="R25" i="8"/>
  <c r="S25" i="8" s="1"/>
  <c r="K25" i="8"/>
  <c r="J25" i="8"/>
  <c r="D25" i="8"/>
  <c r="V24" i="8"/>
  <c r="T24" i="8"/>
  <c r="S24" i="8"/>
  <c r="R24" i="8"/>
  <c r="K24" i="8"/>
  <c r="J24" i="8"/>
  <c r="D24" i="8"/>
  <c r="V23" i="8"/>
  <c r="T23" i="8"/>
  <c r="R23" i="8"/>
  <c r="S23" i="8" s="1"/>
  <c r="M23" i="8"/>
  <c r="K23" i="8"/>
  <c r="J23" i="8"/>
  <c r="D23" i="8"/>
  <c r="V22" i="8"/>
  <c r="T22" i="8"/>
  <c r="R22" i="8"/>
  <c r="S22" i="8" s="1"/>
  <c r="M22" i="8"/>
  <c r="I22" i="8"/>
  <c r="J22" i="8" s="1"/>
  <c r="D22" i="8"/>
  <c r="V21" i="8"/>
  <c r="T21" i="8"/>
  <c r="S21" i="8"/>
  <c r="R21" i="8"/>
  <c r="M21" i="8"/>
  <c r="K21" i="8"/>
  <c r="J21" i="8"/>
  <c r="I21" i="8"/>
  <c r="D21" i="8"/>
  <c r="U19" i="8"/>
  <c r="U33" i="8" s="1"/>
  <c r="Q19" i="8"/>
  <c r="Q33" i="8" s="1"/>
  <c r="P19" i="8"/>
  <c r="P33" i="8" s="1"/>
  <c r="O19" i="8"/>
  <c r="L19" i="8"/>
  <c r="L33" i="8" s="1"/>
  <c r="H19" i="8"/>
  <c r="G19" i="8"/>
  <c r="F19" i="8"/>
  <c r="E19" i="8"/>
  <c r="E33" i="8" s="1"/>
  <c r="C19" i="8"/>
  <c r="B19" i="8"/>
  <c r="B33" i="8" s="1"/>
  <c r="D33" i="8" s="1"/>
  <c r="V18" i="8"/>
  <c r="T18" i="8"/>
  <c r="S18" i="8"/>
  <c r="R18" i="8"/>
  <c r="M18" i="8"/>
  <c r="K18" i="8"/>
  <c r="J18" i="8"/>
  <c r="I18" i="8"/>
  <c r="D18" i="8"/>
  <c r="V17" i="8"/>
  <c r="T17" i="8"/>
  <c r="S17" i="8"/>
  <c r="R17" i="8"/>
  <c r="M17" i="8"/>
  <c r="K17" i="8"/>
  <c r="J17" i="8"/>
  <c r="I17" i="8"/>
  <c r="D17" i="8"/>
  <c r="V16" i="8"/>
  <c r="T16" i="8"/>
  <c r="R16" i="8"/>
  <c r="S16" i="8" s="1"/>
  <c r="M16" i="8"/>
  <c r="K16" i="8"/>
  <c r="J16" i="8"/>
  <c r="D16" i="8"/>
  <c r="V15" i="8"/>
  <c r="R15" i="8"/>
  <c r="S15" i="8" s="1"/>
  <c r="M15" i="8"/>
  <c r="K15" i="8"/>
  <c r="I15" i="8"/>
  <c r="J15" i="8" s="1"/>
  <c r="D15" i="8"/>
  <c r="V14" i="8"/>
  <c r="T14" i="8"/>
  <c r="S14" i="8"/>
  <c r="R14" i="8"/>
  <c r="M14" i="8"/>
  <c r="K14" i="8"/>
  <c r="J14" i="8"/>
  <c r="I14" i="8"/>
  <c r="D14" i="8"/>
  <c r="V13" i="8"/>
  <c r="R13" i="8"/>
  <c r="S13" i="8" s="1"/>
  <c r="M13" i="8"/>
  <c r="K13" i="8"/>
  <c r="I13" i="8"/>
  <c r="J13" i="8" s="1"/>
  <c r="D13" i="8"/>
  <c r="V12" i="8"/>
  <c r="S12" i="8"/>
  <c r="R12" i="8"/>
  <c r="T12" i="8" s="1"/>
  <c r="M12" i="8"/>
  <c r="J12" i="8"/>
  <c r="I12" i="8"/>
  <c r="K12" i="8" s="1"/>
  <c r="D12" i="8"/>
  <c r="V11" i="8"/>
  <c r="R11" i="8"/>
  <c r="S11" i="8" s="1"/>
  <c r="M11" i="8"/>
  <c r="K11" i="8"/>
  <c r="I11" i="8"/>
  <c r="J11" i="8" s="1"/>
  <c r="D11" i="8"/>
  <c r="V10" i="8"/>
  <c r="T10" i="8"/>
  <c r="S10" i="8"/>
  <c r="R10" i="8"/>
  <c r="M10" i="8"/>
  <c r="K10" i="8"/>
  <c r="J10" i="8"/>
  <c r="I10" i="8"/>
  <c r="D10" i="8"/>
  <c r="V9" i="8"/>
  <c r="R9" i="8"/>
  <c r="M9" i="8"/>
  <c r="K9" i="8"/>
  <c r="I9" i="8"/>
  <c r="D9" i="8"/>
  <c r="J41" i="7"/>
  <c r="L37" i="7"/>
  <c r="K37" i="7"/>
  <c r="J37" i="7"/>
  <c r="H37" i="7"/>
  <c r="G37" i="7"/>
  <c r="L32" i="7"/>
  <c r="K32" i="7"/>
  <c r="J32" i="7"/>
  <c r="H32" i="7"/>
  <c r="G32" i="7"/>
  <c r="F32" i="7"/>
  <c r="L29" i="7"/>
  <c r="K29" i="7"/>
  <c r="J29" i="7"/>
  <c r="H29" i="7"/>
  <c r="G29" i="7"/>
  <c r="F29" i="7"/>
  <c r="L26" i="7"/>
  <c r="K26" i="7"/>
  <c r="J26" i="7"/>
  <c r="H26" i="7"/>
  <c r="G26" i="7"/>
  <c r="F26" i="7"/>
  <c r="M22" i="7"/>
  <c r="L22" i="7"/>
  <c r="K22" i="7"/>
  <c r="J22" i="7"/>
  <c r="J42" i="7" s="1"/>
  <c r="H22" i="7"/>
  <c r="G22" i="7"/>
  <c r="F22" i="7"/>
  <c r="M16" i="7"/>
  <c r="M42" i="7" s="1"/>
  <c r="L16" i="7"/>
  <c r="K16" i="7"/>
  <c r="K42" i="7" s="1"/>
  <c r="J16" i="7"/>
  <c r="H16" i="7"/>
  <c r="H42" i="7" s="1"/>
  <c r="G16" i="7"/>
  <c r="F16" i="7"/>
  <c r="F42" i="7" s="1"/>
  <c r="E26" i="6"/>
  <c r="N26" i="6" s="1"/>
  <c r="M25" i="6"/>
  <c r="N25" i="6" s="1"/>
  <c r="H25" i="6"/>
  <c r="I25" i="6" s="1"/>
  <c r="E25" i="6"/>
  <c r="M24" i="6"/>
  <c r="H24" i="6"/>
  <c r="E24" i="6"/>
  <c r="N24" i="6" s="1"/>
  <c r="M23" i="6"/>
  <c r="N23" i="6" s="1"/>
  <c r="H23" i="6"/>
  <c r="I23" i="6" s="1"/>
  <c r="E23" i="6"/>
  <c r="M22" i="6"/>
  <c r="H22" i="6"/>
  <c r="E22" i="6"/>
  <c r="N22" i="6" s="1"/>
  <c r="L20" i="6"/>
  <c r="K20" i="6"/>
  <c r="K27" i="6" s="1"/>
  <c r="G20" i="6"/>
  <c r="F20" i="6"/>
  <c r="D20" i="6"/>
  <c r="D27" i="6" s="1"/>
  <c r="C20" i="6"/>
  <c r="B20" i="6"/>
  <c r="M19" i="6"/>
  <c r="N19" i="6" s="1"/>
  <c r="H19" i="6"/>
  <c r="I19" i="6" s="1"/>
  <c r="E19" i="6"/>
  <c r="M18" i="6"/>
  <c r="I18" i="6"/>
  <c r="H18" i="6"/>
  <c r="E18" i="6"/>
  <c r="N18" i="6" s="1"/>
  <c r="M17" i="6"/>
  <c r="H17" i="6"/>
  <c r="E17" i="6"/>
  <c r="L15" i="6"/>
  <c r="L27" i="6" s="1"/>
  <c r="K15" i="6"/>
  <c r="G15" i="6"/>
  <c r="G27" i="6" s="1"/>
  <c r="E15" i="6"/>
  <c r="N15" i="6" s="1"/>
  <c r="D15" i="6"/>
  <c r="C15" i="6"/>
  <c r="B15" i="6"/>
  <c r="M15" i="6" s="1"/>
  <c r="M14" i="6"/>
  <c r="H14" i="6"/>
  <c r="E14" i="6"/>
  <c r="M13" i="6"/>
  <c r="N13" i="6" s="1"/>
  <c r="H13" i="6"/>
  <c r="I13" i="6" s="1"/>
  <c r="E13" i="6"/>
  <c r="M12" i="6"/>
  <c r="H12" i="6"/>
  <c r="E12" i="6"/>
  <c r="M11" i="6"/>
  <c r="N11" i="6" s="1"/>
  <c r="H11" i="6"/>
  <c r="I11" i="6" s="1"/>
  <c r="E11" i="6"/>
  <c r="M10" i="6"/>
  <c r="H10" i="6"/>
  <c r="E10" i="6"/>
  <c r="M9" i="6"/>
  <c r="N9" i="6" s="1"/>
  <c r="H9" i="6"/>
  <c r="I9" i="6" s="1"/>
  <c r="E9" i="6"/>
  <c r="M8" i="6"/>
  <c r="H8" i="6"/>
  <c r="E8" i="6"/>
  <c r="I8" i="6" s="1"/>
  <c r="F16" i="21"/>
  <c r="G16" i="21" s="1"/>
  <c r="C16" i="21"/>
  <c r="D16" i="21" s="1"/>
  <c r="B16" i="2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Y31" i="5"/>
  <c r="X31" i="5"/>
  <c r="R31" i="5"/>
  <c r="M31" i="5"/>
  <c r="L31" i="5"/>
  <c r="E31" i="5"/>
  <c r="Y30" i="5"/>
  <c r="X30" i="5"/>
  <c r="M30" i="5"/>
  <c r="L30" i="5"/>
  <c r="F30" i="5"/>
  <c r="E30" i="5"/>
  <c r="Y29" i="5"/>
  <c r="X29" i="5"/>
  <c r="R29" i="5"/>
  <c r="L29" i="5"/>
  <c r="F29" i="5"/>
  <c r="E29" i="5"/>
  <c r="Y28" i="5"/>
  <c r="X28" i="5"/>
  <c r="R28" i="5"/>
  <c r="M28" i="5"/>
  <c r="L28" i="5"/>
  <c r="E28" i="5"/>
  <c r="Y27" i="5"/>
  <c r="X27" i="5"/>
  <c r="M27" i="5"/>
  <c r="L27" i="5"/>
  <c r="F27" i="5"/>
  <c r="E27" i="5"/>
  <c r="Z25" i="5"/>
  <c r="Z32" i="5" s="1"/>
  <c r="T25" i="5"/>
  <c r="T32" i="5" s="1"/>
  <c r="N25" i="5"/>
  <c r="M25" i="5"/>
  <c r="H25" i="5"/>
  <c r="D25" i="5"/>
  <c r="C25" i="5"/>
  <c r="Y24" i="5"/>
  <c r="X24" i="5"/>
  <c r="M24" i="5"/>
  <c r="L24" i="5"/>
  <c r="F24" i="5"/>
  <c r="E24" i="5"/>
  <c r="AB23" i="5"/>
  <c r="Y23" i="5"/>
  <c r="AA23" i="5" s="1"/>
  <c r="X23" i="5"/>
  <c r="W23" i="5"/>
  <c r="V23" i="5"/>
  <c r="U23" i="5"/>
  <c r="S23" i="5"/>
  <c r="R23" i="5"/>
  <c r="P23" i="5"/>
  <c r="L23" i="5"/>
  <c r="M23" i="5" s="1"/>
  <c r="J23" i="5"/>
  <c r="I23" i="5"/>
  <c r="G23" i="5"/>
  <c r="F23" i="5"/>
  <c r="E23" i="5"/>
  <c r="Y22" i="5"/>
  <c r="X22" i="5"/>
  <c r="X25" i="5" s="1"/>
  <c r="M22" i="5"/>
  <c r="L22" i="5"/>
  <c r="F22" i="5"/>
  <c r="E22" i="5"/>
  <c r="R22" i="5" s="1"/>
  <c r="Y21" i="5"/>
  <c r="Y25" i="5" s="1"/>
  <c r="X21" i="5"/>
  <c r="R21" i="5"/>
  <c r="M21" i="5"/>
  <c r="L21" i="5"/>
  <c r="L25" i="5" s="1"/>
  <c r="E21" i="5"/>
  <c r="Z19" i="5"/>
  <c r="T19" i="5"/>
  <c r="N19" i="5"/>
  <c r="N32" i="5" s="1"/>
  <c r="H19" i="5"/>
  <c r="H32" i="5" s="1"/>
  <c r="D19" i="5"/>
  <c r="D32" i="5" s="1"/>
  <c r="C19" i="5"/>
  <c r="C32" i="5" s="1"/>
  <c r="Y18" i="5"/>
  <c r="AA18" i="5" s="1"/>
  <c r="AB18" i="5" s="1"/>
  <c r="W18" i="5"/>
  <c r="V18" i="5"/>
  <c r="U18" i="5"/>
  <c r="S18" i="5"/>
  <c r="R18" i="5"/>
  <c r="L18" i="5"/>
  <c r="M18" i="5" s="1"/>
  <c r="O18" i="5" s="1"/>
  <c r="P18" i="5" s="1"/>
  <c r="J18" i="5"/>
  <c r="I18" i="5"/>
  <c r="G18" i="5"/>
  <c r="F18" i="5"/>
  <c r="E18" i="5"/>
  <c r="X17" i="5"/>
  <c r="Y17" i="5" s="1"/>
  <c r="AA17" i="5" s="1"/>
  <c r="AB17" i="5" s="1"/>
  <c r="W17" i="5"/>
  <c r="V17" i="5"/>
  <c r="U17" i="5"/>
  <c r="S17" i="5"/>
  <c r="R17" i="5"/>
  <c r="M17" i="5"/>
  <c r="O17" i="5" s="1"/>
  <c r="P17" i="5" s="1"/>
  <c r="L17" i="5"/>
  <c r="J17" i="5"/>
  <c r="I17" i="5"/>
  <c r="F17" i="5"/>
  <c r="E17" i="5"/>
  <c r="Y16" i="5"/>
  <c r="X16" i="5"/>
  <c r="R16" i="5"/>
  <c r="M16" i="5"/>
  <c r="L16" i="5"/>
  <c r="E16" i="5"/>
  <c r="Y15" i="5"/>
  <c r="X15" i="5"/>
  <c r="M15" i="5"/>
  <c r="L15" i="5"/>
  <c r="F15" i="5"/>
  <c r="E15" i="5"/>
  <c r="Y14" i="5"/>
  <c r="X14" i="5"/>
  <c r="M14" i="5"/>
  <c r="L14" i="5"/>
  <c r="E14" i="5"/>
  <c r="Y13" i="5"/>
  <c r="X13" i="5"/>
  <c r="R13" i="5"/>
  <c r="M13" i="5"/>
  <c r="L13" i="5"/>
  <c r="F13" i="5"/>
  <c r="E13" i="5"/>
  <c r="Y12" i="5"/>
  <c r="X12" i="5"/>
  <c r="M12" i="5"/>
  <c r="L12" i="5"/>
  <c r="E12" i="5"/>
  <c r="R12" i="5" s="1"/>
  <c r="Y11" i="5"/>
  <c r="X11" i="5"/>
  <c r="M11" i="5"/>
  <c r="L11" i="5"/>
  <c r="F11" i="5"/>
  <c r="E11" i="5"/>
  <c r="Y10" i="5"/>
  <c r="X10" i="5"/>
  <c r="M10" i="5"/>
  <c r="L10" i="5"/>
  <c r="L19" i="5" s="1"/>
  <c r="L32" i="5" s="1"/>
  <c r="E10" i="5"/>
  <c r="R10" i="5" s="1"/>
  <c r="T56" i="3"/>
  <c r="R56" i="3"/>
  <c r="K56" i="3"/>
  <c r="G56" i="3"/>
  <c r="E56" i="3"/>
  <c r="C56" i="3"/>
  <c r="N56" i="3" s="1"/>
  <c r="T55" i="3"/>
  <c r="R55" i="3"/>
  <c r="K55" i="3"/>
  <c r="G55" i="3"/>
  <c r="E55" i="3"/>
  <c r="C55" i="3"/>
  <c r="N55" i="3" s="1"/>
  <c r="T54" i="3"/>
  <c r="R54" i="3"/>
  <c r="W54" i="3" s="1"/>
  <c r="K54" i="3"/>
  <c r="G54" i="3"/>
  <c r="E54" i="3"/>
  <c r="C54" i="3"/>
  <c r="T53" i="3"/>
  <c r="R53" i="3"/>
  <c r="K53" i="3"/>
  <c r="G53" i="3"/>
  <c r="E53" i="3"/>
  <c r="C53" i="3"/>
  <c r="N53" i="3" s="1"/>
  <c r="T52" i="3"/>
  <c r="R52" i="3"/>
  <c r="P52" i="3"/>
  <c r="M52" i="3"/>
  <c r="K52" i="3"/>
  <c r="I52" i="3"/>
  <c r="G52" i="3"/>
  <c r="N52" i="3" s="1"/>
  <c r="E52" i="3"/>
  <c r="C52" i="3"/>
  <c r="U50" i="3"/>
  <c r="S50" i="3"/>
  <c r="Q50" i="3"/>
  <c r="O50" i="3"/>
  <c r="O57" i="3" s="1"/>
  <c r="L50" i="3"/>
  <c r="L57" i="3" s="1"/>
  <c r="J50" i="3"/>
  <c r="J57" i="3" s="1"/>
  <c r="H50" i="3"/>
  <c r="G50" i="3"/>
  <c r="D50" i="3"/>
  <c r="D57" i="3" s="1"/>
  <c r="B50" i="3"/>
  <c r="B57" i="3" s="1"/>
  <c r="T49" i="3"/>
  <c r="R49" i="3"/>
  <c r="R50" i="3" s="1"/>
  <c r="K49" i="3"/>
  <c r="G49" i="3"/>
  <c r="E49" i="3"/>
  <c r="C49" i="3"/>
  <c r="N49" i="3" s="1"/>
  <c r="T48" i="3"/>
  <c r="R48" i="3"/>
  <c r="P48" i="3"/>
  <c r="M48" i="3"/>
  <c r="M50" i="3" s="1"/>
  <c r="K48" i="3"/>
  <c r="K50" i="3" s="1"/>
  <c r="I48" i="3"/>
  <c r="I50" i="3" s="1"/>
  <c r="G48" i="3"/>
  <c r="E48" i="3"/>
  <c r="E50" i="3" s="1"/>
  <c r="C48" i="3"/>
  <c r="C50" i="3" s="1"/>
  <c r="T47" i="3"/>
  <c r="T50" i="3" s="1"/>
  <c r="R47" i="3"/>
  <c r="U45" i="3"/>
  <c r="U57" i="3" s="1"/>
  <c r="S45" i="3"/>
  <c r="S57" i="3" s="1"/>
  <c r="Q45" i="3"/>
  <c r="Q57" i="3" s="1"/>
  <c r="O45" i="3"/>
  <c r="L45" i="3"/>
  <c r="J45" i="3"/>
  <c r="H45" i="3"/>
  <c r="H57" i="3" s="1"/>
  <c r="D45" i="3"/>
  <c r="B45" i="3"/>
  <c r="AA44" i="3"/>
  <c r="AP44" i="3" s="1"/>
  <c r="Y44" i="3"/>
  <c r="V44" i="3"/>
  <c r="T44" i="3"/>
  <c r="R44" i="3"/>
  <c r="P44" i="3"/>
  <c r="W44" i="3" s="1"/>
  <c r="K44" i="3"/>
  <c r="G44" i="3"/>
  <c r="E44" i="3"/>
  <c r="C44" i="3"/>
  <c r="AA43" i="3"/>
  <c r="AP43" i="3" s="1"/>
  <c r="Y43" i="3"/>
  <c r="V43" i="3"/>
  <c r="T43" i="3"/>
  <c r="R43" i="3"/>
  <c r="P43" i="3"/>
  <c r="W43" i="3" s="1"/>
  <c r="K43" i="3"/>
  <c r="G43" i="3"/>
  <c r="E43" i="3"/>
  <c r="C43" i="3"/>
  <c r="N43" i="3" s="1"/>
  <c r="AA42" i="3"/>
  <c r="AP42" i="3" s="1"/>
  <c r="Y42" i="3"/>
  <c r="V42" i="3"/>
  <c r="T42" i="3"/>
  <c r="R42" i="3"/>
  <c r="P42" i="3"/>
  <c r="W42" i="3" s="1"/>
  <c r="M42" i="3"/>
  <c r="K42" i="3"/>
  <c r="I42" i="3"/>
  <c r="G42" i="3"/>
  <c r="E42" i="3"/>
  <c r="E45" i="3" s="1"/>
  <c r="E57" i="3" s="1"/>
  <c r="C42" i="3"/>
  <c r="AA41" i="3"/>
  <c r="Y41" i="3"/>
  <c r="V41" i="3"/>
  <c r="T41" i="3"/>
  <c r="R41" i="3"/>
  <c r="P41" i="3"/>
  <c r="W41" i="3" s="1"/>
  <c r="I41" i="3"/>
  <c r="E41" i="3"/>
  <c r="C41" i="3"/>
  <c r="N41" i="3" s="1"/>
  <c r="AA40" i="3"/>
  <c r="Y40" i="3"/>
  <c r="V40" i="3"/>
  <c r="T40" i="3"/>
  <c r="R40" i="3"/>
  <c r="P40" i="3"/>
  <c r="M40" i="3"/>
  <c r="K40" i="3"/>
  <c r="I40" i="3"/>
  <c r="G40" i="3"/>
  <c r="N40" i="3" s="1"/>
  <c r="E40" i="3"/>
  <c r="C40" i="3"/>
  <c r="AA39" i="3"/>
  <c r="Y39" i="3"/>
  <c r="V39" i="3"/>
  <c r="T39" i="3"/>
  <c r="R39" i="3"/>
  <c r="P39" i="3"/>
  <c r="W39" i="3" s="1"/>
  <c r="M39" i="3"/>
  <c r="K39" i="3"/>
  <c r="I39" i="3"/>
  <c r="G39" i="3"/>
  <c r="N39" i="3" s="1"/>
  <c r="E39" i="3"/>
  <c r="C39" i="3"/>
  <c r="AA38" i="3"/>
  <c r="Y38" i="3"/>
  <c r="V38" i="3"/>
  <c r="T38" i="3"/>
  <c r="R38" i="3"/>
  <c r="R45" i="3" s="1"/>
  <c r="R57" i="3" s="1"/>
  <c r="P38" i="3"/>
  <c r="M38" i="3"/>
  <c r="K38" i="3"/>
  <c r="K45" i="3" s="1"/>
  <c r="K57" i="3" s="1"/>
  <c r="I38" i="3"/>
  <c r="G38" i="3"/>
  <c r="E38" i="3"/>
  <c r="C38" i="3"/>
  <c r="C45" i="3" s="1"/>
  <c r="C57" i="3" s="1"/>
  <c r="AA28" i="3"/>
  <c r="Y28" i="3"/>
  <c r="V28" i="3"/>
  <c r="T28" i="3"/>
  <c r="R28" i="3"/>
  <c r="P28" i="3"/>
  <c r="W28" i="3" s="1"/>
  <c r="M28" i="3"/>
  <c r="K28" i="3"/>
  <c r="I28" i="3"/>
  <c r="G28" i="3"/>
  <c r="E28" i="3"/>
  <c r="C28" i="3"/>
  <c r="AA27" i="3"/>
  <c r="Y27" i="3"/>
  <c r="V27" i="3"/>
  <c r="T27" i="3"/>
  <c r="R27" i="3"/>
  <c r="P27" i="3"/>
  <c r="W27" i="3" s="1"/>
  <c r="M27" i="3"/>
  <c r="K27" i="3"/>
  <c r="I27" i="3"/>
  <c r="G27" i="3"/>
  <c r="E27" i="3"/>
  <c r="C27" i="3"/>
  <c r="AA26" i="3"/>
  <c r="Y26" i="3"/>
  <c r="V26" i="3"/>
  <c r="T26" i="3"/>
  <c r="R26" i="3"/>
  <c r="P26" i="3"/>
  <c r="W26" i="3" s="1"/>
  <c r="M26" i="3"/>
  <c r="K26" i="3"/>
  <c r="I26" i="3"/>
  <c r="G26" i="3"/>
  <c r="E26" i="3"/>
  <c r="C26" i="3"/>
  <c r="AA25" i="3"/>
  <c r="Y25" i="3"/>
  <c r="V25" i="3"/>
  <c r="T25" i="3"/>
  <c r="R25" i="3"/>
  <c r="P25" i="3"/>
  <c r="W25" i="3" s="1"/>
  <c r="M25" i="3"/>
  <c r="K25" i="3"/>
  <c r="I25" i="3"/>
  <c r="G25" i="3"/>
  <c r="E25" i="3"/>
  <c r="C25" i="3"/>
  <c r="AA24" i="3"/>
  <c r="Y24" i="3"/>
  <c r="V24" i="3"/>
  <c r="T24" i="3"/>
  <c r="R24" i="3"/>
  <c r="P24" i="3"/>
  <c r="W24" i="3" s="1"/>
  <c r="M24" i="3"/>
  <c r="K24" i="3"/>
  <c r="I24" i="3"/>
  <c r="G24" i="3"/>
  <c r="E24" i="3"/>
  <c r="C24" i="3"/>
  <c r="AB22" i="3"/>
  <c r="Z22" i="3"/>
  <c r="X22" i="3"/>
  <c r="U22" i="3"/>
  <c r="S22" i="3"/>
  <c r="Q22" i="3"/>
  <c r="O22" i="3"/>
  <c r="L22" i="3"/>
  <c r="J22" i="3"/>
  <c r="H22" i="3"/>
  <c r="F22" i="3"/>
  <c r="D22" i="3"/>
  <c r="D29" i="3" s="1"/>
  <c r="B22" i="3"/>
  <c r="AA21" i="3"/>
  <c r="Y21" i="3"/>
  <c r="V21" i="3"/>
  <c r="T21" i="3"/>
  <c r="R21" i="3"/>
  <c r="P21" i="3"/>
  <c r="M21" i="3"/>
  <c r="K21" i="3"/>
  <c r="I21" i="3"/>
  <c r="G21" i="3"/>
  <c r="E21" i="3"/>
  <c r="C21" i="3"/>
  <c r="AA20" i="3"/>
  <c r="Y20" i="3"/>
  <c r="V20" i="3"/>
  <c r="T20" i="3"/>
  <c r="R20" i="3"/>
  <c r="P20" i="3"/>
  <c r="M20" i="3"/>
  <c r="K20" i="3"/>
  <c r="I20" i="3"/>
  <c r="G20" i="3"/>
  <c r="E20" i="3"/>
  <c r="C20" i="3"/>
  <c r="AA19" i="3"/>
  <c r="Y19" i="3"/>
  <c r="Y22" i="3" s="1"/>
  <c r="V19" i="3"/>
  <c r="V22" i="3" s="1"/>
  <c r="T19" i="3"/>
  <c r="T22" i="3" s="1"/>
  <c r="R19" i="3"/>
  <c r="P19" i="3"/>
  <c r="M19" i="3"/>
  <c r="M22" i="3" s="1"/>
  <c r="K19" i="3"/>
  <c r="I19" i="3"/>
  <c r="I22" i="3" s="1"/>
  <c r="G19" i="3"/>
  <c r="E19" i="3"/>
  <c r="E22" i="3" s="1"/>
  <c r="C19" i="3"/>
  <c r="AB17" i="3"/>
  <c r="Z17" i="3"/>
  <c r="X17" i="3"/>
  <c r="U17" i="3"/>
  <c r="U29" i="3" s="1"/>
  <c r="S17" i="3"/>
  <c r="S29" i="3" s="1"/>
  <c r="Q17" i="3"/>
  <c r="O17" i="3"/>
  <c r="O29" i="3" s="1"/>
  <c r="L17" i="3"/>
  <c r="J17" i="3"/>
  <c r="H17" i="3"/>
  <c r="F17" i="3"/>
  <c r="F29" i="3" s="1"/>
  <c r="D17" i="3"/>
  <c r="B17" i="3"/>
  <c r="B29" i="3" s="1"/>
  <c r="AA16" i="3"/>
  <c r="Y16" i="3"/>
  <c r="V16" i="3"/>
  <c r="T16" i="3"/>
  <c r="R16" i="3"/>
  <c r="P16" i="3"/>
  <c r="W16" i="3" s="1"/>
  <c r="M16" i="3"/>
  <c r="K16" i="3"/>
  <c r="I16" i="3"/>
  <c r="G16" i="3"/>
  <c r="N16" i="3" s="1"/>
  <c r="E16" i="3"/>
  <c r="C16" i="3"/>
  <c r="AC15" i="3"/>
  <c r="AA15" i="3"/>
  <c r="Y15" i="3"/>
  <c r="V15" i="3"/>
  <c r="T15" i="3"/>
  <c r="R15" i="3"/>
  <c r="P15" i="3"/>
  <c r="M15" i="3"/>
  <c r="K15" i="3"/>
  <c r="I15" i="3"/>
  <c r="G15" i="3"/>
  <c r="E15" i="3"/>
  <c r="C15" i="3"/>
  <c r="AK14" i="3"/>
  <c r="AI14" i="3"/>
  <c r="AG14" i="3"/>
  <c r="AE14" i="3"/>
  <c r="AC14" i="3"/>
  <c r="AA14" i="3"/>
  <c r="Y14" i="3"/>
  <c r="V14" i="3"/>
  <c r="T14" i="3"/>
  <c r="R14" i="3"/>
  <c r="P14" i="3"/>
  <c r="M14" i="3"/>
  <c r="K14" i="3"/>
  <c r="I14" i="3"/>
  <c r="G14" i="3"/>
  <c r="E14" i="3"/>
  <c r="C14" i="3"/>
  <c r="N14" i="3" s="1"/>
  <c r="AG13" i="3"/>
  <c r="AE13" i="3"/>
  <c r="AC13" i="3"/>
  <c r="AA13" i="3"/>
  <c r="Y13" i="3"/>
  <c r="V13" i="3"/>
  <c r="T13" i="3"/>
  <c r="R13" i="3"/>
  <c r="P13" i="3"/>
  <c r="M13" i="3"/>
  <c r="K13" i="3"/>
  <c r="I13" i="3"/>
  <c r="G13" i="3"/>
  <c r="E13" i="3"/>
  <c r="C13" i="3"/>
  <c r="AK12" i="3"/>
  <c r="AI12" i="3"/>
  <c r="AG12" i="3"/>
  <c r="AE12" i="3"/>
  <c r="AC12" i="3"/>
  <c r="AA12" i="3"/>
  <c r="Y12" i="3"/>
  <c r="V12" i="3"/>
  <c r="T12" i="3"/>
  <c r="R12" i="3"/>
  <c r="P12" i="3"/>
  <c r="M12" i="3"/>
  <c r="K12" i="3"/>
  <c r="I12" i="3"/>
  <c r="G12" i="3"/>
  <c r="E12" i="3"/>
  <c r="C12" i="3"/>
  <c r="N12" i="3" s="1"/>
  <c r="AG11" i="3"/>
  <c r="AE11" i="3"/>
  <c r="AC11" i="3"/>
  <c r="AA11" i="3"/>
  <c r="Y11" i="3"/>
  <c r="V11" i="3"/>
  <c r="T11" i="3"/>
  <c r="R11" i="3"/>
  <c r="R17" i="3" s="1"/>
  <c r="P11" i="3"/>
  <c r="M11" i="3"/>
  <c r="K11" i="3"/>
  <c r="I11" i="3"/>
  <c r="G11" i="3"/>
  <c r="E11" i="3"/>
  <c r="C11" i="3"/>
  <c r="AG10" i="3"/>
  <c r="AE10" i="3"/>
  <c r="AC10" i="3"/>
  <c r="AA10" i="3"/>
  <c r="Y10" i="3"/>
  <c r="V10" i="3"/>
  <c r="T10" i="3"/>
  <c r="R10" i="3"/>
  <c r="P10" i="3"/>
  <c r="P17" i="3" s="1"/>
  <c r="M10" i="3"/>
  <c r="K10" i="3"/>
  <c r="I10" i="3"/>
  <c r="G10" i="3"/>
  <c r="G17" i="3" s="1"/>
  <c r="E10" i="3"/>
  <c r="C10" i="3"/>
  <c r="J44" i="4"/>
  <c r="F44" i="4"/>
  <c r="G44" i="4" s="1"/>
  <c r="D44" i="4"/>
  <c r="J43" i="4"/>
  <c r="F43" i="4"/>
  <c r="G43" i="4" s="1"/>
  <c r="D43" i="4"/>
  <c r="J40" i="4"/>
  <c r="I40" i="4"/>
  <c r="F40" i="4"/>
  <c r="G40" i="4" s="1"/>
  <c r="D40" i="4"/>
  <c r="J39" i="4"/>
  <c r="I39" i="4"/>
  <c r="F39" i="4"/>
  <c r="G39" i="4" s="1"/>
  <c r="D39" i="4"/>
  <c r="J38" i="4"/>
  <c r="I38" i="4"/>
  <c r="F38" i="4"/>
  <c r="G38" i="4" s="1"/>
  <c r="D38" i="4"/>
  <c r="J37" i="4"/>
  <c r="I37" i="4"/>
  <c r="F37" i="4"/>
  <c r="G37" i="4" s="1"/>
  <c r="D37" i="4"/>
  <c r="J36" i="4"/>
  <c r="I36" i="4"/>
  <c r="F36" i="4"/>
  <c r="G36" i="4" s="1"/>
  <c r="D36" i="4"/>
  <c r="J35" i="4"/>
  <c r="I35" i="4"/>
  <c r="F35" i="4"/>
  <c r="G35" i="4" s="1"/>
  <c r="G41" i="4" s="1"/>
  <c r="D35" i="4"/>
  <c r="D41" i="4" s="1"/>
  <c r="J32" i="4"/>
  <c r="I32" i="4"/>
  <c r="F32" i="4"/>
  <c r="G32" i="4" s="1"/>
  <c r="D32" i="4"/>
  <c r="J31" i="4"/>
  <c r="I31" i="4"/>
  <c r="F31" i="4"/>
  <c r="G31" i="4" s="1"/>
  <c r="D31" i="4"/>
  <c r="J30" i="4"/>
  <c r="I30" i="4"/>
  <c r="F30" i="4"/>
  <c r="G30" i="4" s="1"/>
  <c r="D30" i="4"/>
  <c r="J29" i="4"/>
  <c r="I29" i="4"/>
  <c r="F29" i="4"/>
  <c r="G29" i="4" s="1"/>
  <c r="D29" i="4"/>
  <c r="J28" i="4"/>
  <c r="I28" i="4"/>
  <c r="F28" i="4"/>
  <c r="G28" i="4" s="1"/>
  <c r="D28" i="4"/>
  <c r="J27" i="4"/>
  <c r="I27" i="4"/>
  <c r="F27" i="4"/>
  <c r="G27" i="4" s="1"/>
  <c r="D27" i="4"/>
  <c r="J26" i="4"/>
  <c r="I26" i="4"/>
  <c r="F26" i="4"/>
  <c r="G26" i="4" s="1"/>
  <c r="D26" i="4"/>
  <c r="J25" i="4"/>
  <c r="I25" i="4"/>
  <c r="F25" i="4"/>
  <c r="G25" i="4" s="1"/>
  <c r="D25" i="4"/>
  <c r="J24" i="4"/>
  <c r="I24" i="4"/>
  <c r="I33" i="4" s="1"/>
  <c r="F24" i="4"/>
  <c r="G24" i="4" s="1"/>
  <c r="G33" i="4" s="1"/>
  <c r="D24" i="4"/>
  <c r="D33" i="4" s="1"/>
  <c r="J21" i="4"/>
  <c r="I21" i="4"/>
  <c r="F21" i="4"/>
  <c r="G21" i="4" s="1"/>
  <c r="D21" i="4"/>
  <c r="J20" i="4"/>
  <c r="I20" i="4"/>
  <c r="F20" i="4"/>
  <c r="G20" i="4" s="1"/>
  <c r="D20" i="4"/>
  <c r="J19" i="4"/>
  <c r="I19" i="4"/>
  <c r="G19" i="4"/>
  <c r="F19" i="4"/>
  <c r="D19" i="4"/>
  <c r="J18" i="4"/>
  <c r="J22" i="4" s="1"/>
  <c r="I18" i="4"/>
  <c r="F18" i="4"/>
  <c r="G18" i="4" s="1"/>
  <c r="D18" i="4"/>
  <c r="I15" i="4"/>
  <c r="J15" i="4" s="1"/>
  <c r="F15" i="4"/>
  <c r="G15" i="4" s="1"/>
  <c r="D15" i="4"/>
  <c r="I14" i="4"/>
  <c r="J14" i="4" s="1"/>
  <c r="F14" i="4"/>
  <c r="G14" i="4" s="1"/>
  <c r="D14" i="4"/>
  <c r="I13" i="4"/>
  <c r="J13" i="4" s="1"/>
  <c r="F13" i="4"/>
  <c r="G13" i="4" s="1"/>
  <c r="D13" i="4"/>
  <c r="I12" i="4"/>
  <c r="J12" i="4" s="1"/>
  <c r="F12" i="4"/>
  <c r="G12" i="4" s="1"/>
  <c r="D12" i="4"/>
  <c r="I11" i="4"/>
  <c r="J11" i="4" s="1"/>
  <c r="F11" i="4"/>
  <c r="G11" i="4" s="1"/>
  <c r="D11" i="4"/>
  <c r="I10" i="4"/>
  <c r="J10" i="4" s="1"/>
  <c r="F10" i="4"/>
  <c r="G10" i="4" s="1"/>
  <c r="G16" i="4" s="1"/>
  <c r="D10" i="4"/>
  <c r="I94" i="18"/>
  <c r="I92" i="18"/>
  <c r="H90" i="18"/>
  <c r="I90" i="18" s="1"/>
  <c r="E90" i="18"/>
  <c r="D90" i="18"/>
  <c r="H89" i="18"/>
  <c r="I89" i="18" s="1"/>
  <c r="D89" i="18"/>
  <c r="E89" i="18" s="1"/>
  <c r="G88" i="18"/>
  <c r="C88" i="18"/>
  <c r="D88" i="18" s="1"/>
  <c r="E88" i="18" s="1"/>
  <c r="B88" i="18"/>
  <c r="H86" i="18"/>
  <c r="I86" i="18" s="1"/>
  <c r="E86" i="18"/>
  <c r="D86" i="18"/>
  <c r="H85" i="18"/>
  <c r="I85" i="18" s="1"/>
  <c r="D85" i="18"/>
  <c r="E85" i="18" s="1"/>
  <c r="H84" i="18"/>
  <c r="I84" i="18" s="1"/>
  <c r="D84" i="18"/>
  <c r="E84" i="18" s="1"/>
  <c r="G82" i="18"/>
  <c r="C82" i="18"/>
  <c r="B82" i="18"/>
  <c r="D82" i="18" s="1"/>
  <c r="E82" i="18" s="1"/>
  <c r="H80" i="18"/>
  <c r="I80" i="18" s="1"/>
  <c r="E80" i="18"/>
  <c r="D80" i="18"/>
  <c r="H79" i="18"/>
  <c r="I79" i="18" s="1"/>
  <c r="E79" i="18"/>
  <c r="D79" i="18"/>
  <c r="H78" i="18"/>
  <c r="I78" i="18" s="1"/>
  <c r="D78" i="18"/>
  <c r="E78" i="18" s="1"/>
  <c r="H77" i="18"/>
  <c r="I77" i="18" s="1"/>
  <c r="D77" i="18"/>
  <c r="E77" i="18" s="1"/>
  <c r="G76" i="18"/>
  <c r="H76" i="18" s="1"/>
  <c r="C76" i="18"/>
  <c r="D76" i="18" s="1"/>
  <c r="B76" i="18"/>
  <c r="H74" i="18"/>
  <c r="I74" i="18" s="1"/>
  <c r="D74" i="18"/>
  <c r="E74" i="18" s="1"/>
  <c r="G73" i="18"/>
  <c r="H73" i="18" s="1"/>
  <c r="C73" i="18"/>
  <c r="D73" i="18" s="1"/>
  <c r="E73" i="18" s="1"/>
  <c r="B73" i="18"/>
  <c r="G72" i="18"/>
  <c r="H72" i="18" s="1"/>
  <c r="E72" i="18"/>
  <c r="C72" i="18"/>
  <c r="D72" i="18" s="1"/>
  <c r="B72" i="18"/>
  <c r="H71" i="18"/>
  <c r="G71" i="18"/>
  <c r="C71" i="18"/>
  <c r="B71" i="18"/>
  <c r="B70" i="18"/>
  <c r="H69" i="18"/>
  <c r="E69" i="18"/>
  <c r="D69" i="18"/>
  <c r="G68" i="18"/>
  <c r="D68" i="18"/>
  <c r="C68" i="18"/>
  <c r="B68" i="18"/>
  <c r="H67" i="18"/>
  <c r="I67" i="18" s="1"/>
  <c r="E67" i="18"/>
  <c r="D67" i="18"/>
  <c r="H66" i="18"/>
  <c r="I66" i="18" s="1"/>
  <c r="D66" i="18"/>
  <c r="E66" i="18" s="1"/>
  <c r="I65" i="18"/>
  <c r="H65" i="18"/>
  <c r="D65" i="18"/>
  <c r="E65" i="18" s="1"/>
  <c r="H63" i="18"/>
  <c r="E63" i="18"/>
  <c r="D63" i="18"/>
  <c r="I62" i="18"/>
  <c r="H62" i="18"/>
  <c r="E62" i="18"/>
  <c r="D62" i="18"/>
  <c r="G60" i="18"/>
  <c r="C60" i="18"/>
  <c r="B60" i="18"/>
  <c r="H59" i="18"/>
  <c r="I59" i="18" s="1"/>
  <c r="D59" i="18"/>
  <c r="E59" i="18" s="1"/>
  <c r="I58" i="18"/>
  <c r="E58" i="18"/>
  <c r="H57" i="18"/>
  <c r="I57" i="18" s="1"/>
  <c r="E57" i="18"/>
  <c r="D57" i="18"/>
  <c r="G56" i="18"/>
  <c r="H56" i="18" s="1"/>
  <c r="C56" i="18"/>
  <c r="B56" i="18"/>
  <c r="H55" i="18"/>
  <c r="I55" i="18" s="1"/>
  <c r="E55" i="18"/>
  <c r="D55" i="18"/>
  <c r="H54" i="18"/>
  <c r="I54" i="18" s="1"/>
  <c r="E54" i="18"/>
  <c r="D54" i="18"/>
  <c r="H53" i="18"/>
  <c r="I53" i="18" s="1"/>
  <c r="D53" i="18"/>
  <c r="E53" i="18" s="1"/>
  <c r="G52" i="18"/>
  <c r="C52" i="18"/>
  <c r="D52" i="18" s="1"/>
  <c r="E52" i="18" s="1"/>
  <c r="B52" i="18"/>
  <c r="H50" i="18"/>
  <c r="I50" i="18" s="1"/>
  <c r="E50" i="18"/>
  <c r="D50" i="18"/>
  <c r="G49" i="18"/>
  <c r="H49" i="18" s="1"/>
  <c r="C49" i="18"/>
  <c r="D49" i="18" s="1"/>
  <c r="E49" i="18" s="1"/>
  <c r="B49" i="18"/>
  <c r="G48" i="18"/>
  <c r="C48" i="18"/>
  <c r="B48" i="18"/>
  <c r="B47" i="18"/>
  <c r="I45" i="18"/>
  <c r="H45" i="18"/>
  <c r="E45" i="18"/>
  <c r="D45" i="18"/>
  <c r="G44" i="18"/>
  <c r="E44" i="18"/>
  <c r="D44" i="18"/>
  <c r="C44" i="18"/>
  <c r="B44" i="18"/>
  <c r="I44" i="18" s="1"/>
  <c r="H43" i="18"/>
  <c r="E43" i="18"/>
  <c r="D43" i="18"/>
  <c r="I42" i="18"/>
  <c r="H42" i="18"/>
  <c r="E42" i="18"/>
  <c r="D42" i="18"/>
  <c r="E41" i="18"/>
  <c r="D41" i="18"/>
  <c r="C40" i="18"/>
  <c r="D40" i="18" s="1"/>
  <c r="B40" i="18"/>
  <c r="I39" i="18"/>
  <c r="H39" i="18"/>
  <c r="E39" i="18"/>
  <c r="D39" i="18"/>
  <c r="H38" i="18"/>
  <c r="I38" i="18" s="1"/>
  <c r="D38" i="18"/>
  <c r="E38" i="18" s="1"/>
  <c r="H37" i="18"/>
  <c r="I37" i="18" s="1"/>
  <c r="D37" i="18"/>
  <c r="E37" i="18" s="1"/>
  <c r="G36" i="18"/>
  <c r="H36" i="18" s="1"/>
  <c r="C36" i="18"/>
  <c r="B36" i="18"/>
  <c r="I35" i="18"/>
  <c r="H35" i="18"/>
  <c r="D35" i="18"/>
  <c r="E35" i="18" s="1"/>
  <c r="I34" i="18"/>
  <c r="H34" i="18"/>
  <c r="D34" i="18"/>
  <c r="E34" i="18" s="1"/>
  <c r="I33" i="18"/>
  <c r="H33" i="18"/>
  <c r="D33" i="18"/>
  <c r="E33" i="18" s="1"/>
  <c r="G32" i="18"/>
  <c r="C32" i="18"/>
  <c r="B32" i="18"/>
  <c r="H31" i="18"/>
  <c r="I31" i="18" s="1"/>
  <c r="D31" i="18"/>
  <c r="E31" i="18" s="1"/>
  <c r="I30" i="18"/>
  <c r="H30" i="18"/>
  <c r="D30" i="18"/>
  <c r="E30" i="18" s="1"/>
  <c r="I29" i="18"/>
  <c r="H29" i="18"/>
  <c r="D29" i="18"/>
  <c r="E29" i="18" s="1"/>
  <c r="G28" i="18"/>
  <c r="H28" i="18" s="1"/>
  <c r="I28" i="18" s="1"/>
  <c r="C28" i="18"/>
  <c r="D28" i="18" s="1"/>
  <c r="E28" i="18" s="1"/>
  <c r="B28" i="18"/>
  <c r="H27" i="18"/>
  <c r="I27" i="18" s="1"/>
  <c r="E27" i="18"/>
  <c r="D27" i="18"/>
  <c r="H26" i="18"/>
  <c r="I26" i="18" s="1"/>
  <c r="E26" i="18"/>
  <c r="D26" i="18"/>
  <c r="H25" i="18"/>
  <c r="I25" i="18" s="1"/>
  <c r="E25" i="18"/>
  <c r="D25" i="18"/>
  <c r="G24" i="18"/>
  <c r="H24" i="18" s="1"/>
  <c r="C24" i="18"/>
  <c r="D24" i="18" s="1"/>
  <c r="B24" i="18"/>
  <c r="H23" i="18"/>
  <c r="I23" i="18" s="1"/>
  <c r="D23" i="18"/>
  <c r="E23" i="18" s="1"/>
  <c r="H22" i="18"/>
  <c r="I22" i="18" s="1"/>
  <c r="E22" i="18"/>
  <c r="D22" i="18"/>
  <c r="H21" i="18"/>
  <c r="I21" i="18" s="1"/>
  <c r="D21" i="18"/>
  <c r="E21" i="18" s="1"/>
  <c r="G20" i="18"/>
  <c r="C20" i="18"/>
  <c r="D20" i="18" s="1"/>
  <c r="B20" i="18"/>
  <c r="H19" i="18"/>
  <c r="I19" i="18" s="1"/>
  <c r="D19" i="18"/>
  <c r="E19" i="18" s="1"/>
  <c r="I18" i="18"/>
  <c r="H18" i="18"/>
  <c r="E18" i="18"/>
  <c r="D18" i="18"/>
  <c r="I17" i="18"/>
  <c r="H17" i="18"/>
  <c r="D17" i="18"/>
  <c r="E17" i="18" s="1"/>
  <c r="G16" i="18"/>
  <c r="C16" i="18"/>
  <c r="D16" i="18" s="1"/>
  <c r="E16" i="18" s="1"/>
  <c r="B16" i="18"/>
  <c r="H15" i="18"/>
  <c r="I15" i="18" s="1"/>
  <c r="D15" i="18"/>
  <c r="E15" i="18" s="1"/>
  <c r="H14" i="18"/>
  <c r="I14" i="18" s="1"/>
  <c r="D14" i="18"/>
  <c r="E14" i="18" s="1"/>
  <c r="H13" i="18"/>
  <c r="I13" i="18" s="1"/>
  <c r="D13" i="18"/>
  <c r="E13" i="18" s="1"/>
  <c r="G12" i="18"/>
  <c r="H12" i="18" s="1"/>
  <c r="I12" i="18" s="1"/>
  <c r="C12" i="18"/>
  <c r="D12" i="18" s="1"/>
  <c r="E12" i="18" s="1"/>
  <c r="B12" i="18"/>
  <c r="H11" i="18"/>
  <c r="I11" i="18" s="1"/>
  <c r="D11" i="18"/>
  <c r="E11" i="18" s="1"/>
  <c r="I10" i="18"/>
  <c r="H10" i="18"/>
  <c r="D10" i="18"/>
  <c r="E10" i="18" s="1"/>
  <c r="I9" i="18"/>
  <c r="H9" i="18"/>
  <c r="D9" i="18"/>
  <c r="E9" i="18" s="1"/>
  <c r="G8" i="18"/>
  <c r="H8" i="18" s="1"/>
  <c r="I8" i="18" s="1"/>
  <c r="C8" i="18"/>
  <c r="D8" i="18" s="1"/>
  <c r="E8" i="18" s="1"/>
  <c r="B8" i="18"/>
  <c r="G17" i="17"/>
  <c r="C17" i="17"/>
  <c r="B17" i="17"/>
  <c r="B18" i="17" s="1"/>
  <c r="H16" i="17"/>
  <c r="H17" i="17" s="1"/>
  <c r="D16" i="17"/>
  <c r="D17" i="17" s="1"/>
  <c r="B14" i="17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9" i="17"/>
  <c r="H9" i="17"/>
  <c r="D9" i="17"/>
  <c r="E9" i="17" s="1"/>
  <c r="I16" i="17" l="1"/>
  <c r="I13" i="15"/>
  <c r="G10" i="15"/>
  <c r="G25" i="15"/>
  <c r="F21" i="15"/>
  <c r="E21" i="15"/>
  <c r="G9" i="15"/>
  <c r="I17" i="6"/>
  <c r="C27" i="6"/>
  <c r="N17" i="6"/>
  <c r="I10" i="6"/>
  <c r="I14" i="6"/>
  <c r="F15" i="6"/>
  <c r="F27" i="6" s="1"/>
  <c r="I12" i="6"/>
  <c r="Y19" i="5"/>
  <c r="Y32" i="5" s="1"/>
  <c r="G41" i="18"/>
  <c r="I17" i="3"/>
  <c r="I29" i="3" s="1"/>
  <c r="AA17" i="3"/>
  <c r="C17" i="3"/>
  <c r="K17" i="3"/>
  <c r="N15" i="3"/>
  <c r="AP16" i="3"/>
  <c r="Q29" i="3"/>
  <c r="Z29" i="3"/>
  <c r="W19" i="3"/>
  <c r="N20" i="3"/>
  <c r="W20" i="3"/>
  <c r="W22" i="3" s="1"/>
  <c r="L29" i="3"/>
  <c r="AB29" i="3"/>
  <c r="AP26" i="3"/>
  <c r="AP28" i="3"/>
  <c r="BH27" i="3"/>
  <c r="BH21" i="3"/>
  <c r="BB22" i="3"/>
  <c r="BH16" i="3"/>
  <c r="R29" i="3"/>
  <c r="BG17" i="3"/>
  <c r="T17" i="3"/>
  <c r="T29" i="3" s="1"/>
  <c r="AC17" i="3"/>
  <c r="AC29" i="3" s="1"/>
  <c r="W12" i="3"/>
  <c r="W14" i="3"/>
  <c r="J29" i="3"/>
  <c r="R22" i="3"/>
  <c r="H29" i="3"/>
  <c r="BG22" i="3"/>
  <c r="BB17" i="3"/>
  <c r="BB29" i="3" s="1"/>
  <c r="P29" i="3"/>
  <c r="AX22" i="3"/>
  <c r="AX29" i="3" s="1"/>
  <c r="AV29" i="3"/>
  <c r="N10" i="3"/>
  <c r="M17" i="3"/>
  <c r="M29" i="3" s="1"/>
  <c r="V17" i="3"/>
  <c r="V29" i="3" s="1"/>
  <c r="AE17" i="3"/>
  <c r="Y17" i="3"/>
  <c r="N13" i="3"/>
  <c r="N21" i="3"/>
  <c r="P22" i="3"/>
  <c r="X29" i="3"/>
  <c r="N27" i="3"/>
  <c r="AD29" i="3"/>
  <c r="BH14" i="3"/>
  <c r="AZ17" i="3"/>
  <c r="AZ29" i="3" s="1"/>
  <c r="C70" i="18"/>
  <c r="D70" i="18" s="1"/>
  <c r="E70" i="18" s="1"/>
  <c r="E64" i="18"/>
  <c r="E20" i="18"/>
  <c r="C46" i="18"/>
  <c r="C111" i="18" s="1"/>
  <c r="D47" i="18"/>
  <c r="E47" i="18" s="1"/>
  <c r="G45" i="4"/>
  <c r="J16" i="4"/>
  <c r="Y29" i="3"/>
  <c r="G22" i="4"/>
  <c r="W10" i="3"/>
  <c r="N11" i="3"/>
  <c r="G45" i="3"/>
  <c r="G57" i="3" s="1"/>
  <c r="N38" i="3"/>
  <c r="V45" i="3"/>
  <c r="R14" i="5"/>
  <c r="F14" i="5"/>
  <c r="G23" i="14"/>
  <c r="L23" i="14"/>
  <c r="L10" i="15"/>
  <c r="I10" i="15"/>
  <c r="E40" i="18"/>
  <c r="I56" i="18"/>
  <c r="E16" i="17"/>
  <c r="H16" i="18"/>
  <c r="I16" i="18" s="1"/>
  <c r="E24" i="18"/>
  <c r="D32" i="18"/>
  <c r="E32" i="18" s="1"/>
  <c r="I36" i="18"/>
  <c r="H44" i="18"/>
  <c r="D48" i="18"/>
  <c r="E48" i="18" s="1"/>
  <c r="I49" i="18"/>
  <c r="H52" i="18"/>
  <c r="I52" i="18" s="1"/>
  <c r="G70" i="18"/>
  <c r="H70" i="18" s="1"/>
  <c r="I70" i="18" s="1"/>
  <c r="D71" i="18"/>
  <c r="E71" i="18" s="1"/>
  <c r="I72" i="18"/>
  <c r="H88" i="18"/>
  <c r="I88" i="18" s="1"/>
  <c r="J45" i="4"/>
  <c r="W11" i="3"/>
  <c r="W15" i="3"/>
  <c r="E17" i="3"/>
  <c r="E29" i="3" s="1"/>
  <c r="G22" i="3"/>
  <c r="G29" i="3" s="1"/>
  <c r="N19" i="3"/>
  <c r="W21" i="3"/>
  <c r="N24" i="3"/>
  <c r="AP24" i="3"/>
  <c r="N28" i="3"/>
  <c r="Y45" i="3"/>
  <c r="Y57" i="3" s="1"/>
  <c r="N54" i="3"/>
  <c r="J41" i="4"/>
  <c r="I17" i="17"/>
  <c r="I24" i="18"/>
  <c r="D36" i="18"/>
  <c r="E36" i="18" s="1"/>
  <c r="B46" i="18"/>
  <c r="D56" i="18"/>
  <c r="E56" i="18" s="1"/>
  <c r="I60" i="18"/>
  <c r="H60" i="18"/>
  <c r="I68" i="18"/>
  <c r="E68" i="18"/>
  <c r="H68" i="18"/>
  <c r="D16" i="4"/>
  <c r="J33" i="4"/>
  <c r="D45" i="4"/>
  <c r="E19" i="5"/>
  <c r="F10" i="5"/>
  <c r="F12" i="5"/>
  <c r="E17" i="17"/>
  <c r="H20" i="18"/>
  <c r="I20" i="18" s="1"/>
  <c r="H32" i="18"/>
  <c r="I32" i="18" s="1"/>
  <c r="H48" i="18"/>
  <c r="I48" i="18" s="1"/>
  <c r="D60" i="18"/>
  <c r="E60" i="18" s="1"/>
  <c r="I76" i="18"/>
  <c r="E76" i="18"/>
  <c r="H82" i="18"/>
  <c r="I82" i="18" s="1"/>
  <c r="D22" i="4"/>
  <c r="F33" i="4"/>
  <c r="W13" i="3"/>
  <c r="C22" i="3"/>
  <c r="K22" i="3"/>
  <c r="AA22" i="3"/>
  <c r="AA29" i="3" s="1"/>
  <c r="N25" i="3"/>
  <c r="N26" i="3"/>
  <c r="T45" i="3"/>
  <c r="T57" i="3" s="1"/>
  <c r="W40" i="3"/>
  <c r="BI40" i="3" s="1"/>
  <c r="N42" i="3"/>
  <c r="N44" i="3"/>
  <c r="W48" i="3"/>
  <c r="P50" i="3"/>
  <c r="L26" i="15"/>
  <c r="I26" i="15"/>
  <c r="N8" i="6"/>
  <c r="N10" i="6"/>
  <c r="N12" i="6"/>
  <c r="N14" i="6"/>
  <c r="G22" i="14"/>
  <c r="L22" i="14"/>
  <c r="I12" i="15"/>
  <c r="L12" i="15"/>
  <c r="M61" i="12"/>
  <c r="B93" i="12"/>
  <c r="B94" i="12" s="1"/>
  <c r="E92" i="12"/>
  <c r="E94" i="12" s="1"/>
  <c r="AG30" i="9"/>
  <c r="BC48" i="3"/>
  <c r="AK57" i="3"/>
  <c r="AP41" i="3"/>
  <c r="BI41" i="3" s="1"/>
  <c r="AM45" i="3"/>
  <c r="AM57" i="3" s="1"/>
  <c r="AE57" i="3"/>
  <c r="BC11" i="3"/>
  <c r="AT17" i="3"/>
  <c r="AT29" i="3" s="1"/>
  <c r="M45" i="3"/>
  <c r="M57" i="3" s="1"/>
  <c r="AA45" i="3"/>
  <c r="AA57" i="3" s="1"/>
  <c r="W52" i="3"/>
  <c r="BI52" i="3" s="1"/>
  <c r="W53" i="3"/>
  <c r="BI53" i="3" s="1"/>
  <c r="R11" i="5"/>
  <c r="R19" i="5" s="1"/>
  <c r="R15" i="5"/>
  <c r="F21" i="5"/>
  <c r="F25" i="5" s="1"/>
  <c r="F28" i="5"/>
  <c r="F31" i="5"/>
  <c r="I22" i="6"/>
  <c r="I24" i="6"/>
  <c r="I26" i="6"/>
  <c r="G42" i="7"/>
  <c r="L42" i="7"/>
  <c r="T13" i="8"/>
  <c r="T15" i="8"/>
  <c r="T19" i="8"/>
  <c r="K22" i="8"/>
  <c r="T32" i="8"/>
  <c r="AE18" i="9"/>
  <c r="AG23" i="9"/>
  <c r="AE24" i="9"/>
  <c r="AE26" i="9"/>
  <c r="AE28" i="9"/>
  <c r="G23" i="15"/>
  <c r="G19" i="15"/>
  <c r="F16" i="15"/>
  <c r="F28" i="15" s="1"/>
  <c r="L15" i="15"/>
  <c r="E16" i="13"/>
  <c r="B28" i="13"/>
  <c r="O93" i="12"/>
  <c r="P35" i="12"/>
  <c r="O92" i="12"/>
  <c r="E20" i="6"/>
  <c r="M20" i="6"/>
  <c r="N20" i="6" s="1"/>
  <c r="B27" i="6"/>
  <c r="S9" i="8"/>
  <c r="R19" i="8"/>
  <c r="D19" i="8"/>
  <c r="F33" i="8"/>
  <c r="AE16" i="9"/>
  <c r="AE22" i="9"/>
  <c r="AG25" i="9"/>
  <c r="AG27" i="9"/>
  <c r="AG29" i="9"/>
  <c r="AE32" i="9"/>
  <c r="AE33" i="9"/>
  <c r="AE34" i="9"/>
  <c r="AG35" i="9"/>
  <c r="AG36" i="9"/>
  <c r="M18" i="12"/>
  <c r="F18" i="12"/>
  <c r="E21" i="13"/>
  <c r="L13" i="15"/>
  <c r="G16" i="15"/>
  <c r="E16" i="14"/>
  <c r="B23" i="14"/>
  <c r="G28" i="13"/>
  <c r="H93" i="12"/>
  <c r="H94" i="12" s="1"/>
  <c r="W56" i="3"/>
  <c r="BI56" i="3" s="1"/>
  <c r="I71" i="18"/>
  <c r="I73" i="18"/>
  <c r="AG17" i="3"/>
  <c r="AG29" i="3" s="1"/>
  <c r="AP20" i="3"/>
  <c r="BI20" i="3" s="1"/>
  <c r="I45" i="3"/>
  <c r="I57" i="3" s="1"/>
  <c r="P45" i="3"/>
  <c r="P57" i="3" s="1"/>
  <c r="W38" i="3"/>
  <c r="W45" i="3" s="1"/>
  <c r="W47" i="3"/>
  <c r="N48" i="3"/>
  <c r="M19" i="5"/>
  <c r="M32" i="5" s="1"/>
  <c r="X19" i="5"/>
  <c r="X32" i="5" s="1"/>
  <c r="F16" i="5"/>
  <c r="E25" i="5"/>
  <c r="H20" i="6"/>
  <c r="I20" i="6" s="1"/>
  <c r="J9" i="8"/>
  <c r="I19" i="8"/>
  <c r="T9" i="8"/>
  <c r="T11" i="8"/>
  <c r="M33" i="8"/>
  <c r="V33" i="8"/>
  <c r="I26" i="8"/>
  <c r="K26" i="8" s="1"/>
  <c r="R26" i="8"/>
  <c r="T29" i="8"/>
  <c r="H16" i="13"/>
  <c r="B28" i="15"/>
  <c r="G27" i="15"/>
  <c r="I24" i="15"/>
  <c r="L24" i="15"/>
  <c r="I20" i="15"/>
  <c r="L20" i="15"/>
  <c r="L14" i="15"/>
  <c r="I14" i="15"/>
  <c r="E16" i="15"/>
  <c r="D16" i="13"/>
  <c r="D28" i="13" s="1"/>
  <c r="I91" i="12"/>
  <c r="I47" i="12"/>
  <c r="P47" i="12"/>
  <c r="M35" i="12"/>
  <c r="BC56" i="3"/>
  <c r="BC52" i="3"/>
  <c r="BH47" i="3"/>
  <c r="BH50" i="3" s="1"/>
  <c r="BG50" i="3"/>
  <c r="AN29" i="3"/>
  <c r="R24" i="5"/>
  <c r="R25" i="5" s="1"/>
  <c r="R27" i="5"/>
  <c r="R30" i="5"/>
  <c r="M19" i="8"/>
  <c r="V19" i="8"/>
  <c r="W55" i="3"/>
  <c r="BI55" i="3" s="1"/>
  <c r="BC53" i="3"/>
  <c r="W49" i="3"/>
  <c r="BI49" i="3" s="1"/>
  <c r="AI45" i="3"/>
  <c r="AI57" i="3" s="1"/>
  <c r="BC41" i="3"/>
  <c r="AT45" i="3"/>
  <c r="AT57" i="3" s="1"/>
  <c r="AZ57" i="3"/>
  <c r="AR45" i="3"/>
  <c r="BC38" i="3"/>
  <c r="AP25" i="3"/>
  <c r="BE22" i="3"/>
  <c r="BH19" i="3"/>
  <c r="BH22" i="3" s="1"/>
  <c r="AP15" i="3"/>
  <c r="BC10" i="3"/>
  <c r="AR17" i="3"/>
  <c r="AR29" i="3" s="1"/>
  <c r="AG18" i="9"/>
  <c r="BH56" i="3"/>
  <c r="AP53" i="3"/>
  <c r="BH52" i="3"/>
  <c r="BH42" i="3"/>
  <c r="BE45" i="3"/>
  <c r="BE57" i="3" s="1"/>
  <c r="BH45" i="3"/>
  <c r="BH57" i="3" s="1"/>
  <c r="AP38" i="3"/>
  <c r="AP45" i="3" s="1"/>
  <c r="AP27" i="3"/>
  <c r="BI27" i="3" s="1"/>
  <c r="AP21" i="3"/>
  <c r="BC15" i="3"/>
  <c r="AP13" i="3"/>
  <c r="H15" i="6"/>
  <c r="I15" i="6" s="1"/>
  <c r="K19" i="8"/>
  <c r="V26" i="8"/>
  <c r="AG16" i="9"/>
  <c r="AG20" i="9"/>
  <c r="I18" i="12"/>
  <c r="AP54" i="3"/>
  <c r="AZ50" i="3"/>
  <c r="AR50" i="3"/>
  <c r="BC47" i="3"/>
  <c r="BC50" i="3" s="1"/>
  <c r="BG45" i="3"/>
  <c r="BG57" i="3" s="1"/>
  <c r="AP39" i="3"/>
  <c r="BI39" i="3" s="1"/>
  <c r="BC27" i="3"/>
  <c r="AM17" i="3"/>
  <c r="AP11" i="3"/>
  <c r="BC25" i="3"/>
  <c r="BC21" i="3"/>
  <c r="BC19" i="3"/>
  <c r="AM22" i="3"/>
  <c r="AE22" i="3"/>
  <c r="AE29" i="3" s="1"/>
  <c r="BF29" i="3"/>
  <c r="AL29" i="3"/>
  <c r="BC13" i="3"/>
  <c r="BH10" i="3"/>
  <c r="AP10" i="3"/>
  <c r="AO17" i="3"/>
  <c r="AO29" i="3" s="1"/>
  <c r="AP48" i="3"/>
  <c r="AP47" i="3"/>
  <c r="AP50" i="3" s="1"/>
  <c r="BC44" i="3"/>
  <c r="BC43" i="3"/>
  <c r="BI43" i="3" s="1"/>
  <c r="BC42" i="3"/>
  <c r="AX45" i="3"/>
  <c r="AX57" i="3" s="1"/>
  <c r="AV45" i="3"/>
  <c r="AT22" i="3"/>
  <c r="BD29" i="3"/>
  <c r="AJ29" i="3"/>
  <c r="BC16" i="3"/>
  <c r="BH12" i="3"/>
  <c r="AP12" i="3"/>
  <c r="AI17" i="3"/>
  <c r="D94" i="18"/>
  <c r="E94" i="18" s="1"/>
  <c r="BC49" i="3"/>
  <c r="AT50" i="3"/>
  <c r="AV50" i="3"/>
  <c r="V50" i="3"/>
  <c r="AP40" i="3"/>
  <c r="BC28" i="3"/>
  <c r="BC26" i="3"/>
  <c r="BC24" i="3"/>
  <c r="BC20" i="3"/>
  <c r="AP19" i="3"/>
  <c r="AI22" i="3"/>
  <c r="AH29" i="3"/>
  <c r="AP14" i="3"/>
  <c r="BI14" i="3" s="1"/>
  <c r="BE17" i="3"/>
  <c r="AK17" i="3"/>
  <c r="AK29" i="3" s="1"/>
  <c r="E100" i="18"/>
  <c r="O94" i="12" l="1"/>
  <c r="E28" i="15"/>
  <c r="L25" i="15"/>
  <c r="I25" i="15"/>
  <c r="I9" i="15"/>
  <c r="L9" i="15"/>
  <c r="G40" i="18"/>
  <c r="H40" i="18" s="1"/>
  <c r="I40" i="18" s="1"/>
  <c r="G47" i="18"/>
  <c r="H41" i="18"/>
  <c r="I41" i="18" s="1"/>
  <c r="AP22" i="3"/>
  <c r="AM29" i="3"/>
  <c r="C29" i="3"/>
  <c r="BI21" i="3"/>
  <c r="BI15" i="3"/>
  <c r="BI12" i="3"/>
  <c r="K29" i="3"/>
  <c r="BI16" i="3"/>
  <c r="AP17" i="3"/>
  <c r="BI13" i="3"/>
  <c r="N17" i="3"/>
  <c r="BG29" i="3"/>
  <c r="U11" i="5"/>
  <c r="U24" i="5"/>
  <c r="R32" i="5"/>
  <c r="U12" i="5"/>
  <c r="U15" i="5"/>
  <c r="U31" i="5"/>
  <c r="U28" i="5"/>
  <c r="U13" i="5"/>
  <c r="U30" i="5"/>
  <c r="U27" i="5"/>
  <c r="AP57" i="3"/>
  <c r="BI24" i="3"/>
  <c r="BI38" i="3"/>
  <c r="N45" i="3"/>
  <c r="AV57" i="3"/>
  <c r="N50" i="3"/>
  <c r="BI48" i="3"/>
  <c r="E27" i="6"/>
  <c r="M27" i="6"/>
  <c r="H27" i="6"/>
  <c r="I27" i="6" s="1"/>
  <c r="BI44" i="3"/>
  <c r="BE29" i="3"/>
  <c r="AI29" i="3"/>
  <c r="BH17" i="3"/>
  <c r="BH29" i="3" s="1"/>
  <c r="BC45" i="3"/>
  <c r="I33" i="8"/>
  <c r="K33" i="8" s="1"/>
  <c r="W50" i="3"/>
  <c r="W57" i="3" s="1"/>
  <c r="BI47" i="3"/>
  <c r="L18" i="15"/>
  <c r="J19" i="8"/>
  <c r="BI42" i="3"/>
  <c r="BI25" i="3"/>
  <c r="E32" i="5"/>
  <c r="C46" i="4"/>
  <c r="B111" i="18"/>
  <c r="D46" i="18"/>
  <c r="E46" i="18" s="1"/>
  <c r="BI28" i="3"/>
  <c r="W17" i="3"/>
  <c r="W29" i="3" s="1"/>
  <c r="K16" i="4"/>
  <c r="I46" i="4"/>
  <c r="BC17" i="3"/>
  <c r="J26" i="8"/>
  <c r="H21" i="15"/>
  <c r="I21" i="15" s="1"/>
  <c r="I18" i="15"/>
  <c r="BI26" i="3"/>
  <c r="AR57" i="3"/>
  <c r="K16" i="15"/>
  <c r="E23" i="14"/>
  <c r="J23" i="14"/>
  <c r="R33" i="8"/>
  <c r="S19" i="8"/>
  <c r="E28" i="13"/>
  <c r="H28" i="13"/>
  <c r="I19" i="15"/>
  <c r="L19" i="15"/>
  <c r="G21" i="15"/>
  <c r="G28" i="15" s="1"/>
  <c r="E45" i="4"/>
  <c r="K33" i="4"/>
  <c r="K41" i="4"/>
  <c r="BI54" i="3"/>
  <c r="BI19" i="3"/>
  <c r="N22" i="3"/>
  <c r="BC22" i="3"/>
  <c r="BC29" i="3"/>
  <c r="I27" i="15"/>
  <c r="L27" i="15"/>
  <c r="T26" i="8"/>
  <c r="S26" i="8"/>
  <c r="J33" i="8"/>
  <c r="I23" i="15"/>
  <c r="L23" i="15"/>
  <c r="H16" i="15"/>
  <c r="F19" i="5"/>
  <c r="F32" i="5" s="1"/>
  <c r="K45" i="4"/>
  <c r="V57" i="3"/>
  <c r="BI11" i="3"/>
  <c r="AP29" i="3"/>
  <c r="BI10" i="3"/>
  <c r="F46" i="4"/>
  <c r="H22" i="4" s="1"/>
  <c r="H47" i="18" l="1"/>
  <c r="I47" i="18" s="1"/>
  <c r="G46" i="18"/>
  <c r="N29" i="3"/>
  <c r="H45" i="4"/>
  <c r="D111" i="18"/>
  <c r="E111" i="18" s="1"/>
  <c r="BI45" i="3"/>
  <c r="N57" i="3"/>
  <c r="P16" i="5"/>
  <c r="S12" i="5"/>
  <c r="V12" i="5" s="1"/>
  <c r="AA12" i="5" s="1"/>
  <c r="AB12" i="5" s="1"/>
  <c r="P30" i="5"/>
  <c r="BI22" i="3"/>
  <c r="BC57" i="3"/>
  <c r="E40" i="4"/>
  <c r="E38" i="4"/>
  <c r="E36" i="4"/>
  <c r="E31" i="4"/>
  <c r="E29" i="4"/>
  <c r="E27" i="4"/>
  <c r="E25" i="4"/>
  <c r="E37" i="4"/>
  <c r="E32" i="4"/>
  <c r="E30" i="4"/>
  <c r="E28" i="4"/>
  <c r="E26" i="4"/>
  <c r="E44" i="4"/>
  <c r="E39" i="4"/>
  <c r="E35" i="4"/>
  <c r="E24" i="4"/>
  <c r="E15" i="4"/>
  <c r="E41" i="4"/>
  <c r="E11" i="4"/>
  <c r="E43" i="4"/>
  <c r="E14" i="4"/>
  <c r="E13" i="4"/>
  <c r="E20" i="4"/>
  <c r="E18" i="4"/>
  <c r="E10" i="4"/>
  <c r="E12" i="4"/>
  <c r="E33" i="4"/>
  <c r="E21" i="4"/>
  <c r="E19" i="4"/>
  <c r="K21" i="15"/>
  <c r="L21" i="15" s="1"/>
  <c r="U22" i="5"/>
  <c r="U10" i="5"/>
  <c r="P24" i="5"/>
  <c r="W27" i="5"/>
  <c r="S27" i="5"/>
  <c r="V27" i="5" s="1"/>
  <c r="AA27" i="5" s="1"/>
  <c r="AB27" i="5" s="1"/>
  <c r="S28" i="5"/>
  <c r="V28" i="5" s="1"/>
  <c r="AA28" i="5" s="1"/>
  <c r="AB28" i="5" s="1"/>
  <c r="S15" i="5"/>
  <c r="V15" i="5" s="1"/>
  <c r="AA15" i="5" s="1"/>
  <c r="AB15" i="5" s="1"/>
  <c r="P12" i="5"/>
  <c r="P22" i="5"/>
  <c r="W11" i="5"/>
  <c r="S11" i="5"/>
  <c r="V11" i="5" s="1"/>
  <c r="AA11" i="5" s="1"/>
  <c r="AB11" i="5" s="1"/>
  <c r="H39" i="4"/>
  <c r="H37" i="4"/>
  <c r="H35" i="4"/>
  <c r="H32" i="4"/>
  <c r="H30" i="4"/>
  <c r="H28" i="4"/>
  <c r="H26" i="4"/>
  <c r="H38" i="4"/>
  <c r="H36" i="4"/>
  <c r="H33" i="4"/>
  <c r="H31" i="4"/>
  <c r="H29" i="4"/>
  <c r="H27" i="4"/>
  <c r="H25" i="4"/>
  <c r="H40" i="4"/>
  <c r="H11" i="4"/>
  <c r="H19" i="4"/>
  <c r="H13" i="4"/>
  <c r="H10" i="4"/>
  <c r="H24" i="4"/>
  <c r="H20" i="4"/>
  <c r="H18" i="4"/>
  <c r="H21" i="4"/>
  <c r="H12" i="4"/>
  <c r="H44" i="4"/>
  <c r="H15" i="4"/>
  <c r="H41" i="4"/>
  <c r="H16" i="4"/>
  <c r="H14" i="4"/>
  <c r="H43" i="4"/>
  <c r="H28" i="15"/>
  <c r="I16" i="15"/>
  <c r="U29" i="5"/>
  <c r="S33" i="8"/>
  <c r="T33" i="8"/>
  <c r="K19" i="4"/>
  <c r="K15" i="4"/>
  <c r="K37" i="4"/>
  <c r="K24" i="4"/>
  <c r="K31" i="4"/>
  <c r="K40" i="4"/>
  <c r="K12" i="4"/>
  <c r="K44" i="4"/>
  <c r="K11" i="4"/>
  <c r="K22" i="4"/>
  <c r="K10" i="4"/>
  <c r="K14" i="4"/>
  <c r="K39" i="4"/>
  <c r="K26" i="4"/>
  <c r="K18" i="4"/>
  <c r="K25" i="4"/>
  <c r="K30" i="4"/>
  <c r="K43" i="4"/>
  <c r="K20" i="4"/>
  <c r="K28" i="4"/>
  <c r="K35" i="4"/>
  <c r="K27" i="4"/>
  <c r="K36" i="4"/>
  <c r="K21" i="4"/>
  <c r="K13" i="4"/>
  <c r="K32" i="4"/>
  <c r="K29" i="4"/>
  <c r="K38" i="4"/>
  <c r="E16" i="4"/>
  <c r="U14" i="5"/>
  <c r="U21" i="5"/>
  <c r="N27" i="6"/>
  <c r="BI50" i="3"/>
  <c r="E22" i="4"/>
  <c r="W30" i="5"/>
  <c r="S30" i="5"/>
  <c r="V30" i="5" s="1"/>
  <c r="AA30" i="5" s="1"/>
  <c r="AB30" i="5" s="1"/>
  <c r="BI17" i="3"/>
  <c r="K28" i="15"/>
  <c r="L16" i="15"/>
  <c r="U16" i="5"/>
  <c r="P15" i="5"/>
  <c r="S13" i="5"/>
  <c r="V13" i="5" s="1"/>
  <c r="AA13" i="5" s="1"/>
  <c r="AB13" i="5" s="1"/>
  <c r="S31" i="5"/>
  <c r="V31" i="5" s="1"/>
  <c r="AA31" i="5" s="1"/>
  <c r="AB31" i="5" s="1"/>
  <c r="W31" i="5"/>
  <c r="P14" i="5"/>
  <c r="S24" i="5"/>
  <c r="V24" i="5" s="1"/>
  <c r="AA24" i="5" s="1"/>
  <c r="AB24" i="5" s="1"/>
  <c r="P13" i="5"/>
  <c r="I28" i="15" l="1"/>
  <c r="C10" i="17"/>
  <c r="D10" i="17" s="1"/>
  <c r="E10" i="17" s="1"/>
  <c r="L28" i="15"/>
  <c r="G10" i="17"/>
  <c r="H10" i="17" s="1"/>
  <c r="I10" i="17" s="1"/>
  <c r="G111" i="18"/>
  <c r="H111" i="18" s="1"/>
  <c r="I111" i="18" s="1"/>
  <c r="H46" i="18"/>
  <c r="I46" i="18" s="1"/>
  <c r="P27" i="5"/>
  <c r="S22" i="5"/>
  <c r="V22" i="5" s="1"/>
  <c r="AA22" i="5" s="1"/>
  <c r="AB22" i="5" s="1"/>
  <c r="P28" i="5"/>
  <c r="W13" i="5"/>
  <c r="P29" i="5"/>
  <c r="I19" i="5"/>
  <c r="S14" i="5"/>
  <c r="V14" i="5" s="1"/>
  <c r="AA14" i="5" s="1"/>
  <c r="AB14" i="5" s="1"/>
  <c r="W14" i="5"/>
  <c r="W15" i="5"/>
  <c r="S10" i="5"/>
  <c r="U19" i="5"/>
  <c r="I25" i="5"/>
  <c r="BI57" i="3"/>
  <c r="P31" i="5"/>
  <c r="S16" i="5"/>
  <c r="V16" i="5" s="1"/>
  <c r="AA16" i="5" s="1"/>
  <c r="AB16" i="5" s="1"/>
  <c r="BI29" i="3"/>
  <c r="W24" i="5"/>
  <c r="U25" i="5"/>
  <c r="S21" i="5"/>
  <c r="S29" i="5"/>
  <c r="V29" i="5" s="1"/>
  <c r="AA29" i="5" s="1"/>
  <c r="AB29" i="5" s="1"/>
  <c r="W29" i="5"/>
  <c r="P11" i="5"/>
  <c r="W28" i="5"/>
  <c r="BJ22" i="3"/>
  <c r="W12" i="5"/>
  <c r="W16" i="5" l="1"/>
  <c r="Q58" i="3"/>
  <c r="B58" i="3"/>
  <c r="J58" i="3"/>
  <c r="D58" i="3"/>
  <c r="BA58" i="3"/>
  <c r="AB58" i="3"/>
  <c r="AN58" i="3"/>
  <c r="AF58" i="3"/>
  <c r="BJ55" i="3"/>
  <c r="AS58" i="3"/>
  <c r="F58" i="3"/>
  <c r="BJ39" i="3"/>
  <c r="BJ43" i="3"/>
  <c r="BJ53" i="3"/>
  <c r="BD58" i="3"/>
  <c r="BF58" i="3"/>
  <c r="AJ58" i="3"/>
  <c r="AY58" i="3"/>
  <c r="BJ40" i="3"/>
  <c r="X58" i="3"/>
  <c r="O58" i="3"/>
  <c r="L58" i="3"/>
  <c r="BJ49" i="3"/>
  <c r="BJ56" i="3"/>
  <c r="BJ41" i="3"/>
  <c r="BJ52" i="3"/>
  <c r="AL58" i="3"/>
  <c r="AW58" i="3"/>
  <c r="BH58" i="3"/>
  <c r="H58" i="3"/>
  <c r="AH58" i="3"/>
  <c r="AD58" i="3"/>
  <c r="Z58" i="3"/>
  <c r="S58" i="3"/>
  <c r="W58" i="3"/>
  <c r="AP58" i="3"/>
  <c r="AQ58" i="3"/>
  <c r="AU58" i="3"/>
  <c r="BJ44" i="3"/>
  <c r="BJ38" i="3"/>
  <c r="BJ42" i="3"/>
  <c r="U58" i="3"/>
  <c r="BJ48" i="3"/>
  <c r="BJ54" i="3"/>
  <c r="BJ47" i="3"/>
  <c r="S19" i="5"/>
  <c r="S32" i="5" s="1"/>
  <c r="V10" i="5"/>
  <c r="BC58" i="3"/>
  <c r="W22" i="5"/>
  <c r="BJ45" i="3"/>
  <c r="G19" i="5"/>
  <c r="BJ50" i="3"/>
  <c r="S25" i="5"/>
  <c r="V21" i="5"/>
  <c r="O30" i="3"/>
  <c r="Q30" i="3"/>
  <c r="AB30" i="3"/>
  <c r="BA30" i="3"/>
  <c r="H30" i="3"/>
  <c r="AU30" i="3"/>
  <c r="BF30" i="3"/>
  <c r="AY30" i="3"/>
  <c r="S30" i="3"/>
  <c r="AD30" i="3"/>
  <c r="BJ27" i="3"/>
  <c r="Z30" i="3"/>
  <c r="B30" i="3"/>
  <c r="U30" i="3"/>
  <c r="AN30" i="3"/>
  <c r="BJ20" i="3"/>
  <c r="BJ12" i="3"/>
  <c r="F30" i="3"/>
  <c r="J30" i="3"/>
  <c r="BJ21" i="3"/>
  <c r="D30" i="3"/>
  <c r="AS30" i="3"/>
  <c r="AL30" i="3"/>
  <c r="BJ16" i="3"/>
  <c r="AJ30" i="3"/>
  <c r="AF30" i="3"/>
  <c r="BJ13" i="3"/>
  <c r="BJ14" i="3"/>
  <c r="BJ15" i="3"/>
  <c r="AW30" i="3"/>
  <c r="L30" i="3"/>
  <c r="AQ30" i="3"/>
  <c r="X30" i="3"/>
  <c r="BJ10" i="3"/>
  <c r="N30" i="3"/>
  <c r="BJ28" i="3"/>
  <c r="BJ19" i="3"/>
  <c r="AH30" i="3"/>
  <c r="BD30" i="3"/>
  <c r="BJ26" i="3"/>
  <c r="BJ25" i="3"/>
  <c r="BJ24" i="3"/>
  <c r="BC30" i="3"/>
  <c r="AP30" i="3"/>
  <c r="BJ11" i="3"/>
  <c r="W30" i="3"/>
  <c r="BH30" i="3"/>
  <c r="BJ17" i="3"/>
  <c r="G25" i="5"/>
  <c r="U32" i="5"/>
  <c r="I32" i="5"/>
  <c r="N58" i="3"/>
  <c r="AA21" i="5" l="1"/>
  <c r="V25" i="5"/>
  <c r="W25" i="5" s="1"/>
  <c r="W21" i="5"/>
  <c r="G32" i="5"/>
  <c r="J19" i="5"/>
  <c r="J25" i="5"/>
  <c r="V19" i="5"/>
  <c r="AA10" i="5"/>
  <c r="W10" i="5"/>
  <c r="P21" i="5" l="1"/>
  <c r="O25" i="5"/>
  <c r="P25" i="5" s="1"/>
  <c r="AA19" i="5"/>
  <c r="AB10" i="5"/>
  <c r="P10" i="5"/>
  <c r="O19" i="5"/>
  <c r="J32" i="5"/>
  <c r="V32" i="5"/>
  <c r="W32" i="5" s="1"/>
  <c r="W19" i="5"/>
  <c r="AA25" i="5"/>
  <c r="AB25" i="5" s="1"/>
  <c r="AB21" i="5"/>
  <c r="AA32" i="5" l="1"/>
  <c r="AB19" i="5"/>
  <c r="O32" i="5"/>
  <c r="P19" i="5"/>
  <c r="AB32" i="5" l="1"/>
  <c r="G8" i="17"/>
  <c r="P32" i="5"/>
  <c r="C8" i="17"/>
  <c r="H8" i="17" l="1"/>
  <c r="G14" i="17"/>
  <c r="G18" i="17" s="1"/>
  <c r="C14" i="17"/>
  <c r="C18" i="17" s="1"/>
  <c r="D8" i="17"/>
  <c r="I8" i="17" l="1"/>
  <c r="H14" i="17"/>
  <c r="E8" i="17"/>
  <c r="D14" i="17"/>
  <c r="H18" i="17" l="1"/>
  <c r="I18" i="17" s="1"/>
  <c r="I14" i="17"/>
  <c r="D18" i="17"/>
  <c r="E18" i="17" s="1"/>
  <c r="E14" i="17"/>
</calcChain>
</file>

<file path=xl/sharedStrings.xml><?xml version="1.0" encoding="utf-8"?>
<sst xmlns="http://schemas.openxmlformats.org/spreadsheetml/2006/main" count="974" uniqueCount="354">
  <si>
    <t>0%0%0%_7%5%2% CCR Final</t>
  </si>
  <si>
    <t>Run Date: 4/21/2021 10:20 AM</t>
  </si>
  <si>
    <t>Operating Input Summary</t>
  </si>
  <si>
    <t>FY 2022</t>
  </si>
  <si>
    <t>FY 2023</t>
  </si>
  <si>
    <t>Proposed Performance Funding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</si>
  <si>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</si>
  <si>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</si>
  <si>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</si>
  <si>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</si>
  <si>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</si>
  <si>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</si>
  <si>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</si>
  <si>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</si>
  <si>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</si>
  <si>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</si>
  <si>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</si>
  <si>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</si>
  <si>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</si>
  <si>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</si>
  <si>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</si>
  <si>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</si>
  <si>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</si>
  <si>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</si>
  <si>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</si>
  <si>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</si>
  <si>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</si>
  <si>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</si>
  <si>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</si>
  <si>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</si>
  <si>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</si>
  <si>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0%0%0%_7%5%2% CCR Final [4/21/2021 10:20 AM]</t>
  </si>
  <si>
    <t>This report outlines a summary of overall proposed funding</t>
  </si>
  <si>
    <t>FY 2021 Appropriation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</si>
  <si>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</si>
  <si>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</si>
  <si>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</si>
  <si>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</si>
  <si>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</si>
  <si>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</si>
  <si>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</si>
  <si>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</si>
  <si>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</si>
  <si>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</si>
  <si>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</si>
  <si>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</si>
  <si>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</si>
  <si>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</si>
  <si>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</si>
  <si>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</si>
  <si>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</si>
  <si>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</si>
  <si>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</si>
  <si>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</si>
  <si>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</si>
  <si>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</si>
  <si>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</si>
  <si>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</si>
  <si>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</si>
  <si>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</si>
  <si>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</si>
  <si>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</si>
  <si>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</si>
  <si>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</si>
  <si>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</si>
  <si>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</si>
  <si>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</si>
  <si>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</si>
  <si>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</si>
  <si>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</si>
  <si>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</si>
  <si>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</si>
  <si>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</si>
  <si>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</si>
  <si>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</si>
  <si>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</si>
  <si>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</si>
  <si>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</si>
  <si>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</si>
  <si>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</si>
  <si>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</si>
  <si>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</si>
  <si>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</si>
  <si>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</si>
  <si>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</si>
  <si>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</si>
  <si>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</si>
  <si>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</si>
  <si>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</si>
  <si>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</si>
  <si>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</si>
  <si>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</si>
  <si>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</si>
  <si>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</si>
  <si>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</si>
  <si>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</si>
  <si>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</si>
  <si>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</si>
  <si>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</si>
  <si>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</si>
  <si>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</si>
  <si>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</si>
  <si>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</si>
  <si>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</si>
  <si>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</si>
  <si>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</si>
  <si>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</si>
  <si>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</si>
  <si>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</si>
  <si>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</si>
  <si>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</si>
  <si>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</si>
  <si>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</si>
  <si>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</si>
  <si>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</si>
  <si>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</si>
  <si>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</si>
  <si>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</si>
  <si>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</si>
  <si>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</si>
  <si>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</si>
  <si>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Metric Total</t>
  </si>
  <si>
    <t>% of TOTAL</t>
  </si>
  <si>
    <t>Per Unit Value Reduction %</t>
  </si>
  <si>
    <t>At-Risk Degree Completion Metric</t>
  </si>
  <si>
    <t>Non-Research Institution Bachelor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</si>
  <si>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</si>
  <si>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</si>
  <si>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</si>
  <si>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</si>
  <si>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</si>
  <si>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</si>
  <si>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</si>
  <si>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</si>
  <si>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</si>
  <si>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2021
Approp</t>
  </si>
  <si>
    <t>PFF Adjusted Base</t>
  </si>
  <si>
    <t>Operating - Performance Funding</t>
  </si>
  <si>
    <t>Operating - Non PFF</t>
  </si>
  <si>
    <t>Oth Ops
Adjustments</t>
  </si>
  <si>
    <t>Total FY 2022
Appropriation</t>
  </si>
  <si>
    <t>FY 2022
vs
FY 2021</t>
  </si>
  <si>
    <t>Total FY 2023
Appropriation</t>
  </si>
  <si>
    <t>FY 2023
vs
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</si>
  <si>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</si>
  <si>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</si>
  <si>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</si>
  <si>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</si>
  <si>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</si>
  <si>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</si>
  <si>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</si>
  <si>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</si>
  <si>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</si>
  <si>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</si>
  <si>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</si>
  <si>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</si>
  <si>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2021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</si>
  <si>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</si>
  <si>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</si>
  <si>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</si>
  <si>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</si>
  <si>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</si>
  <si>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</si>
  <si>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</si>
  <si>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</si>
  <si>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</si>
  <si>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</si>
  <si>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2018-19
Resident FTE</t>
  </si>
  <si>
    <t>FY 2021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</si>
  <si>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</si>
  <si>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</si>
  <si>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</si>
  <si>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</si>
  <si>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</si>
  <si>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</si>
  <si>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</si>
  <si>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</si>
  <si>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</si>
  <si>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</si>
  <si>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</si>
  <si>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</si>
  <si>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</si>
  <si>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</si>
  <si>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</si>
  <si>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</si>
  <si>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</si>
  <si>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</si>
  <si>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</si>
  <si>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</si>
  <si>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</si>
  <si>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</si>
  <si>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IU School of Medicine Education and Research Building - Indianapolis Academic Health Center</t>
  </si>
  <si>
    <t>A-2-21-1-01</t>
  </si>
  <si>
    <t>School of Public Health Renovation</t>
  </si>
  <si>
    <t>A-1-21-2-02</t>
  </si>
  <si>
    <t>Regional Campus Deferred Maintenance - Phase V</t>
  </si>
  <si>
    <t>A-0-21-2-03</t>
  </si>
  <si>
    <t>School of Dentistry Renovation</t>
  </si>
  <si>
    <t>A-2-21-2-04</t>
  </si>
  <si>
    <t>Multidisciplinary Research/Informatics Science (Artificial Intelligence) Building IV</t>
  </si>
  <si>
    <t>A-1-21-1-05</t>
  </si>
  <si>
    <t>IU Regional Deferred Maintenance</t>
  </si>
  <si>
    <t>A-0-23-2-00</t>
  </si>
  <si>
    <t>Indiana University System Total</t>
  </si>
  <si>
    <t>Purdue University System</t>
  </si>
  <si>
    <t>Active Clinical Learning Building</t>
  </si>
  <si>
    <t>B-1-21-1-02</t>
  </si>
  <si>
    <t>South Campus Renovations Phase II</t>
  </si>
  <si>
    <t>B-3-15-2-11</t>
  </si>
  <si>
    <t>IPFW</t>
  </si>
  <si>
    <t>Chiller Plant Upgrade and Chilled Water Line Replacement</t>
  </si>
  <si>
    <t>B-2-19-2-09</t>
  </si>
  <si>
    <t>Purdue Regional Deferred Maintenance</t>
  </si>
  <si>
    <t>B-0-23-2-00</t>
  </si>
  <si>
    <t>Purdue University System Total</t>
  </si>
  <si>
    <t>Ball State University</t>
  </si>
  <si>
    <t>North Campus Building Renovations</t>
  </si>
  <si>
    <t>D-1-21-2-01</t>
  </si>
  <si>
    <t>Infrastructure Improvements</t>
  </si>
  <si>
    <t>D-1-21-2-02</t>
  </si>
  <si>
    <t>Ball State University Total</t>
  </si>
  <si>
    <t>Indiana State University</t>
  </si>
  <si>
    <t>Engineering/Manufacturing Center (Technology Building) Renovation</t>
  </si>
  <si>
    <t>C-1-21-2-02</t>
  </si>
  <si>
    <t>Indiana State University Total</t>
  </si>
  <si>
    <t>University of Southern Indiana</t>
  </si>
  <si>
    <t>Wright Building Renovation Project</t>
  </si>
  <si>
    <t>G-0-21-2-01</t>
  </si>
  <si>
    <t>University of Southern Indiana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</si>
  <si>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</si>
  <si>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</si>
  <si>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</si>
  <si>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</si>
  <si>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</si>
  <si>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</si>
  <si>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</si>
  <si>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</si>
  <si>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Ivy Tech Community College</t>
  </si>
  <si>
    <t>East Chicago Technology Center Renovation</t>
  </si>
  <si>
    <t>F-0-21-2-01</t>
  </si>
  <si>
    <t>Fort Wayne Campus Restructure Phase I</t>
  </si>
  <si>
    <t>F-0-21-1-02</t>
  </si>
  <si>
    <t>Ivy Tech Community College Total</t>
  </si>
  <si>
    <t>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</si>
  <si>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</si>
  <si>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</si>
  <si>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</si>
  <si>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</si>
  <si>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</si>
  <si>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</si>
  <si>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</si>
  <si>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</si>
  <si>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</si>
  <si>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</si>
  <si>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</si>
  <si>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2022</t>
  </si>
  <si>
    <t>New Debt Starting in FY 2023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</si>
  <si>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</si>
  <si>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</si>
  <si>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</si>
  <si>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</si>
  <si>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</si>
  <si>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</si>
  <si>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>Recommended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</si>
  <si>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</si>
  <si>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</si>
  <si>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</si>
  <si>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</si>
  <si>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</si>
  <si>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</si>
  <si>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</si>
  <si>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Spinal Cord and Head Injury Research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</si>
  <si>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</si>
  <si>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</si>
  <si>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</si>
  <si>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</si>
  <si>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</si>
  <si>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Indiana Technical Assistance and Advanced Manufacturing Competitiveness Program</t>
  </si>
  <si>
    <t>Statewide Technology</t>
  </si>
  <si>
    <t>Veterinary Research</t>
  </si>
  <si>
    <t>Wine and Grape Market Fund</t>
  </si>
  <si>
    <t>Purdue University Fort Wayne Academic Expansion*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</si>
  <si>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</si>
  <si>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</si>
  <si>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</si>
  <si>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</si>
  <si>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</si>
  <si>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</si>
  <si>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</si>
  <si>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</si>
  <si>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Historic New Harmony</t>
  </si>
  <si>
    <t>Nursing Expansion Initiative*</t>
  </si>
  <si>
    <t>Strong Start to Completion Program*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</si>
  <si>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</si>
  <si>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</si>
  <si>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</si>
  <si>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</si>
  <si>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Indiana Rural Education Initiative</t>
  </si>
  <si>
    <t>Statewide Nursing</t>
  </si>
  <si>
    <t>Testing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</si>
  <si>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</si>
  <si>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</si>
  <si>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</si>
  <si>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</si>
  <si>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</si>
  <si>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</si>
  <si>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</si>
  <si>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</si>
  <si>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Adult Student Grant</t>
  </si>
  <si>
    <t>EARN Indiana</t>
  </si>
  <si>
    <t>Freedom of Choice Grants</t>
  </si>
  <si>
    <t>High Need Student Teaching Stipend</t>
  </si>
  <si>
    <t>High Value Workforce Ready Grant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</si>
  <si>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</si>
  <si>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</si>
  <si>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</si>
  <si>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</si>
  <si>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</si>
  <si>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Next Generation Hoosier Educators</t>
  </si>
  <si>
    <t>Primary Care Shortage Area Scholarship</t>
  </si>
  <si>
    <t>Statutory Fee Remission (CVO Program)</t>
  </si>
  <si>
    <t>Teacher Residency Grant Program*</t>
  </si>
  <si>
    <t>Work and Learn Indiana*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</si>
  <si>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</si>
  <si>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</si>
  <si>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</si>
  <si>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</si>
  <si>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</si>
  <si>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</si>
  <si>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</si>
  <si>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</si>
  <si>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</si>
  <si>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</si>
  <si>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</si>
  <si>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</si>
  <si>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proposed dual credit line item funding</t>
  </si>
  <si>
    <t>FY 2021
Funding</t>
  </si>
  <si>
    <t>2018-19 T+HP Credit Awarded</t>
  </si>
  <si>
    <t>Per Credit Value</t>
  </si>
  <si>
    <t>Credits awarded represent total dual  credit Technical + High Priority credits earned from institutions by high school students taking off-campus dual credit courses in the 2018-19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</si>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</sst>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0.0%"/>
    <numFmt numFmtId="166" formatCode="0.00\ %"/>
    <numFmt numFmtId="167" formatCode="\$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B2BEB5"/>
        <bgColor rgb="FFB2BEB5"/>
      </patternFill>
    </fill>
    <fill>
      <patternFill patternType="solid">
        <fgColor rgb="FFD0F0C0"/>
        <bgColor rgb="FFD0F0C0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26">
    <xf numFmtId="0" fontId="0" fillId="0" borderId="0" xfId="0"/>
    <xf numFmtId="0" fontId="0" fillId="0" borderId="0" xfId="0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1" fillId="0" borderId="0" xfId="0" applyFont="1" applyFill="1" applyProtection="1"/>
    <xf numFmtId="167" fontId="0" fillId="0" borderId="0" xfId="0" applyNumberFormat="1" applyFill="1" applyProtection="1"/>
    <xf numFmtId="166" fontId="0" fillId="0" borderId="0" xfId="0" applyNumberForma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0" fillId="7" borderId="1" xfId="0" applyFill="1" applyBorder="1" applyProtection="1"/>
    <xf numFmtId="167" fontId="5" fillId="14" borderId="60" xfId="0" applyNumberFormat="1" applyFont="1" applyFill="1" applyBorder="1" applyAlignment="1" applyProtection="1">
      <alignment horizontal="center" vertical="center" wrapText="1"/>
    </xf>
    <xf numFmtId="167" fontId="5" fillId="14" borderId="61" xfId="0" applyNumberFormat="1" applyFont="1" applyFill="1" applyBorder="1" applyAlignment="1" applyProtection="1">
      <alignment horizontal="center" vertical="center" wrapText="1"/>
    </xf>
    <xf numFmtId="166" fontId="5" fillId="14" borderId="55" xfId="0" applyNumberFormat="1" applyFont="1" applyFill="1" applyBorder="1" applyAlignment="1" applyProtection="1">
      <alignment horizontal="center" vertical="center" wrapText="1"/>
    </xf>
    <xf numFmtId="0" fontId="0" fillId="7" borderId="8" xfId="0" applyFill="1" applyBorder="1" applyProtection="1"/>
    <xf numFmtId="0" fontId="0" fillId="0" borderId="2" xfId="0" applyFill="1" applyBorder="1" applyAlignment="1" applyProtection="1">
      <alignment vertical="center"/>
    </xf>
    <xf numFmtId="167" fontId="0" fillId="0" borderId="8" xfId="0" applyNumberFormat="1" applyFill="1" applyBorder="1" applyAlignment="1" applyProtection="1">
      <alignment vertical="center"/>
    </xf>
    <xf numFmtId="167" fontId="0" fillId="0" borderId="9" xfId="0" applyNumberFormat="1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6" fontId="0" fillId="0" borderId="11" xfId="0" applyNumberFormat="1" applyFill="1" applyBorder="1" applyAlignment="1" applyProtection="1">
      <alignment horizontal="center" vertical="center"/>
    </xf>
    <xf numFmtId="167" fontId="0" fillId="7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5" fillId="0" borderId="73" xfId="0" applyFont="1" applyFill="1" applyBorder="1" applyAlignment="1" applyProtection="1">
      <alignment vertical="center"/>
    </xf>
    <xf numFmtId="167" fontId="5" fillId="0" borderId="51" xfId="0" applyNumberFormat="1" applyFont="1" applyFill="1" applyBorder="1" applyAlignment="1" applyProtection="1">
      <alignment vertical="center"/>
    </xf>
    <xf numFmtId="167" fontId="5" fillId="0" borderId="71" xfId="0" applyNumberFormat="1" applyFont="1" applyFill="1" applyBorder="1" applyAlignment="1" applyProtection="1">
      <alignment vertical="center"/>
    </xf>
    <xf numFmtId="167" fontId="5" fillId="0" borderId="72" xfId="0" applyNumberFormat="1" applyFont="1" applyFill="1" applyBorder="1" applyAlignment="1" applyProtection="1">
      <alignment vertical="center"/>
    </xf>
    <xf numFmtId="166" fontId="5" fillId="0" borderId="52" xfId="0" applyNumberFormat="1" applyFont="1" applyFill="1" applyBorder="1" applyAlignment="1" applyProtection="1">
      <alignment horizontal="center" vertical="center"/>
    </xf>
    <xf numFmtId="167" fontId="5" fillId="7" borderId="51" xfId="0" applyNumberFormat="1" applyFont="1" applyFill="1" applyBorder="1" applyAlignment="1" applyProtection="1">
      <alignment vertical="center"/>
    </xf>
    <xf numFmtId="0" fontId="5" fillId="8" borderId="53" xfId="0" applyFont="1" applyFill="1" applyBorder="1" applyAlignment="1" applyProtection="1">
      <alignment vertical="center"/>
    </xf>
    <xf numFmtId="167" fontId="5" fillId="8" borderId="58" xfId="0" applyNumberFormat="1" applyFont="1" applyFill="1" applyBorder="1" applyAlignment="1" applyProtection="1">
      <alignment vertical="center"/>
    </xf>
    <xf numFmtId="167" fontId="5" fillId="8" borderId="60" xfId="0" applyNumberFormat="1" applyFont="1" applyFill="1" applyBorder="1" applyAlignment="1" applyProtection="1">
      <alignment vertical="center"/>
    </xf>
    <xf numFmtId="167" fontId="5" fillId="8" borderId="61" xfId="0" applyNumberFormat="1" applyFont="1" applyFill="1" applyBorder="1" applyAlignment="1" applyProtection="1">
      <alignment vertical="center"/>
    </xf>
    <xf numFmtId="166" fontId="5" fillId="8" borderId="65" xfId="0" applyNumberFormat="1" applyFont="1" applyFill="1" applyBorder="1" applyAlignment="1" applyProtection="1">
      <alignment horizontal="center" vertical="center"/>
    </xf>
    <xf numFmtId="167" fontId="5" fillId="7" borderId="58" xfId="0" applyNumberFormat="1" applyFont="1" applyFill="1" applyBorder="1" applyAlignment="1" applyProtection="1">
      <alignment vertical="center"/>
    </xf>
    <xf numFmtId="0" fontId="5" fillId="7" borderId="15" xfId="0" applyFont="1" applyFill="1" applyBorder="1" applyAlignment="1" applyProtection="1">
      <alignment vertical="center"/>
    </xf>
    <xf numFmtId="167" fontId="0" fillId="7" borderId="9" xfId="0" applyNumberFormat="1" applyFill="1" applyBorder="1" applyAlignment="1" applyProtection="1">
      <alignment vertical="center"/>
    </xf>
    <xf numFmtId="167" fontId="0" fillId="7" borderId="10" xfId="0" applyNumberFormat="1" applyFill="1" applyBorder="1" applyAlignment="1" applyProtection="1">
      <alignment vertical="center"/>
    </xf>
    <xf numFmtId="166" fontId="0" fillId="7" borderId="11" xfId="0" applyNumberForma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vertical="center"/>
    </xf>
    <xf numFmtId="167" fontId="5" fillId="0" borderId="38" xfId="0" applyNumberFormat="1" applyFont="1" applyFill="1" applyBorder="1" applyAlignment="1" applyProtection="1">
      <alignment vertical="center"/>
    </xf>
    <xf numFmtId="167" fontId="5" fillId="0" borderId="62" xfId="0" applyNumberFormat="1" applyFont="1" applyFill="1" applyBorder="1" applyAlignment="1" applyProtection="1">
      <alignment vertical="center"/>
    </xf>
    <xf numFmtId="167" fontId="5" fillId="0" borderId="63" xfId="0" applyNumberFormat="1" applyFont="1" applyFill="1" applyBorder="1" applyAlignment="1" applyProtection="1">
      <alignment vertical="center"/>
    </xf>
    <xf numFmtId="166" fontId="5" fillId="0" borderId="64" xfId="0" applyNumberFormat="1" applyFont="1" applyFill="1" applyBorder="1" applyAlignment="1" applyProtection="1">
      <alignment horizontal="center" vertical="center"/>
    </xf>
    <xf numFmtId="167" fontId="5" fillId="7" borderId="38" xfId="0" applyNumberFormat="1" applyFont="1" applyFill="1" applyBorder="1" applyAlignment="1" applyProtection="1">
      <alignment vertical="center"/>
    </xf>
    <xf numFmtId="167" fontId="5" fillId="14" borderId="27" xfId="0" applyNumberFormat="1" applyFont="1" applyFill="1" applyBorder="1" applyAlignment="1" applyProtection="1">
      <alignment horizontal="center" vertical="center" wrapText="1"/>
    </xf>
    <xf numFmtId="167" fontId="5" fillId="14" borderId="10" xfId="0" applyNumberFormat="1" applyFont="1" applyFill="1" applyBorder="1" applyAlignment="1" applyProtection="1">
      <alignment horizontal="center" vertical="center" wrapText="1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 wrapText="1"/>
    </xf>
    <xf numFmtId="167" fontId="5" fillId="14" borderId="28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Protection="1"/>
    <xf numFmtId="167" fontId="5" fillId="0" borderId="1" xfId="0" applyNumberFormat="1" applyFont="1" applyFill="1" applyBorder="1" applyAlignment="1" applyProtection="1">
      <alignment vertical="center"/>
    </xf>
    <xf numFmtId="167" fontId="5" fillId="0" borderId="28" xfId="0" applyNumberFormat="1" applyFont="1" applyFill="1" applyBorder="1" applyAlignment="1" applyProtection="1">
      <alignment vertical="center"/>
    </xf>
    <xf numFmtId="167" fontId="5" fillId="0" borderId="7" xfId="0" applyNumberFormat="1" applyFont="1" applyFill="1" applyBorder="1" applyAlignment="1" applyProtection="1">
      <alignment vertical="center"/>
    </xf>
    <xf numFmtId="166" fontId="5" fillId="0" borderId="4" xfId="0" applyNumberFormat="1" applyFont="1" applyFill="1" applyBorder="1" applyAlignment="1" applyProtection="1">
      <alignment horizontal="center" vertical="center"/>
    </xf>
    <xf numFmtId="167" fontId="5" fillId="7" borderId="1" xfId="0" applyNumberFormat="1" applyFont="1" applyFill="1" applyBorder="1" applyAlignment="1" applyProtection="1">
      <alignment vertical="center"/>
    </xf>
    <xf numFmtId="167" fontId="5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167" fontId="0" fillId="0" borderId="8" xfId="0" applyNumberFormat="1" applyFill="1" applyBorder="1" applyProtection="1"/>
    <xf numFmtId="167" fontId="0" fillId="0" borderId="27" xfId="0" applyNumberFormat="1" applyFill="1" applyBorder="1" applyProtection="1"/>
    <xf numFmtId="166" fontId="0" fillId="0" borderId="76" xfId="0" applyNumberFormat="1" applyFill="1" applyBorder="1" applyAlignment="1" applyProtection="1">
      <alignment horizontal="center" vertical="center"/>
    </xf>
    <xf numFmtId="167" fontId="0" fillId="0" borderId="9" xfId="0" applyNumberFormat="1" applyFill="1" applyBorder="1" applyProtection="1"/>
    <xf numFmtId="0" fontId="5" fillId="8" borderId="59" xfId="0" applyFont="1" applyFill="1" applyBorder="1" applyProtection="1"/>
    <xf numFmtId="167" fontId="5" fillId="8" borderId="38" xfId="0" applyNumberFormat="1" applyFont="1" applyFill="1" applyBorder="1" applyAlignment="1" applyProtection="1">
      <alignment vertical="center"/>
    </xf>
    <xf numFmtId="167" fontId="5" fillId="8" borderId="39" xfId="0" applyNumberFormat="1" applyFont="1" applyFill="1" applyBorder="1" applyAlignment="1" applyProtection="1">
      <alignment vertical="center"/>
    </xf>
    <xf numFmtId="167" fontId="5" fillId="8" borderId="63" xfId="0" applyNumberFormat="1" applyFont="1" applyFill="1" applyBorder="1" applyAlignment="1" applyProtection="1">
      <alignment vertical="center"/>
    </xf>
    <xf numFmtId="166" fontId="5" fillId="8" borderId="42" xfId="0" applyNumberFormat="1" applyFont="1" applyFill="1" applyBorder="1" applyAlignment="1" applyProtection="1">
      <alignment horizontal="center" vertical="center"/>
    </xf>
    <xf numFmtId="167" fontId="5" fillId="8" borderId="62" xfId="0" applyNumberFormat="1" applyFont="1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left" indent="3"/>
    </xf>
    <xf numFmtId="167" fontId="0" fillId="8" borderId="8" xfId="0" applyNumberFormat="1" applyFill="1" applyBorder="1" applyProtection="1"/>
    <xf numFmtId="167" fontId="0" fillId="8" borderId="27" xfId="0" applyNumberFormat="1" applyFill="1" applyBorder="1" applyProtection="1"/>
    <xf numFmtId="167" fontId="0" fillId="8" borderId="10" xfId="0" applyNumberFormat="1" applyFill="1" applyBorder="1" applyAlignment="1" applyProtection="1">
      <alignment vertical="center"/>
    </xf>
    <xf numFmtId="166" fontId="0" fillId="8" borderId="76" xfId="0" applyNumberFormat="1" applyFill="1" applyBorder="1" applyAlignment="1" applyProtection="1">
      <alignment horizontal="center" vertical="center"/>
    </xf>
    <xf numFmtId="166" fontId="0" fillId="8" borderId="11" xfId="0" applyNumberFormat="1" applyFill="1" applyBorder="1" applyAlignment="1" applyProtection="1">
      <alignment horizontal="center" vertical="center"/>
    </xf>
    <xf numFmtId="167" fontId="0" fillId="8" borderId="9" xfId="0" applyNumberFormat="1" applyFill="1" applyBorder="1" applyProtection="1"/>
    <xf numFmtId="0" fontId="0" fillId="7" borderId="53" xfId="0" applyFill="1" applyBorder="1" applyProtection="1"/>
    <xf numFmtId="167" fontId="0" fillId="7" borderId="58" xfId="0" applyNumberFormat="1" applyFill="1" applyBorder="1" applyProtection="1"/>
    <xf numFmtId="167" fontId="0" fillId="7" borderId="54" xfId="0" applyNumberFormat="1" applyFill="1" applyBorder="1" applyProtection="1"/>
    <xf numFmtId="166" fontId="0" fillId="7" borderId="54" xfId="0" applyNumberFormat="1" applyFill="1" applyBorder="1" applyProtection="1"/>
    <xf numFmtId="0" fontId="0" fillId="7" borderId="54" xfId="0" applyFill="1" applyBorder="1" applyProtection="1"/>
    <xf numFmtId="166" fontId="0" fillId="7" borderId="55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167" fontId="0" fillId="0" borderId="5" xfId="0" applyNumberFormat="1" applyFill="1" applyBorder="1" applyProtection="1"/>
    <xf numFmtId="167" fontId="0" fillId="0" borderId="29" xfId="0" applyNumberFormat="1" applyFill="1" applyBorder="1" applyProtection="1"/>
    <xf numFmtId="167" fontId="0" fillId="0" borderId="17" xfId="0" applyNumberFormat="1" applyFill="1" applyBorder="1" applyAlignment="1" applyProtection="1">
      <alignment vertical="center"/>
    </xf>
    <xf numFmtId="166" fontId="0" fillId="0" borderId="18" xfId="0" applyNumberFormat="1" applyFill="1" applyBorder="1" applyAlignment="1" applyProtection="1">
      <alignment horizontal="center" vertical="center"/>
    </xf>
    <xf numFmtId="0" fontId="0" fillId="7" borderId="5" xfId="0" applyFill="1" applyBorder="1" applyProtection="1"/>
    <xf numFmtId="167" fontId="0" fillId="0" borderId="16" xfId="0" applyNumberFormat="1" applyFill="1" applyBorder="1" applyProtection="1"/>
    <xf numFmtId="0" fontId="5" fillId="8" borderId="58" xfId="0" applyFont="1" applyFill="1" applyBorder="1" applyAlignment="1" applyProtection="1">
      <alignment horizontal="left"/>
    </xf>
    <xf numFmtId="167" fontId="5" fillId="8" borderId="5" xfId="0" applyNumberFormat="1" applyFont="1" applyFill="1" applyBorder="1" applyProtection="1"/>
    <xf numFmtId="167" fontId="5" fillId="8" borderId="60" xfId="0" applyNumberFormat="1" applyFont="1" applyFill="1" applyBorder="1" applyProtection="1"/>
    <xf numFmtId="167" fontId="5" fillId="8" borderId="29" xfId="0" applyNumberFormat="1" applyFont="1" applyFill="1" applyBorder="1" applyAlignment="1" applyProtection="1">
      <alignment vertical="center"/>
    </xf>
    <xf numFmtId="166" fontId="5" fillId="8" borderId="18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Protection="1"/>
    <xf numFmtId="167" fontId="0" fillId="0" borderId="15" xfId="0" applyNumberFormat="1" applyFill="1" applyBorder="1" applyProtection="1"/>
    <xf numFmtId="167" fontId="5" fillId="0" borderId="2" xfId="0" applyNumberFormat="1" applyFont="1" applyFill="1" applyBorder="1" applyAlignment="1" applyProtection="1">
      <alignment vertical="center"/>
    </xf>
    <xf numFmtId="164" fontId="1" fillId="3" borderId="19" xfId="0" applyNumberFormat="1" applyFont="1" applyFill="1" applyBorder="1" applyAlignment="1" applyProtection="1">
      <alignment vertical="center" wrapText="1"/>
    </xf>
    <xf numFmtId="164" fontId="1" fillId="3" borderId="20" xfId="0" applyNumberFormat="1" applyFont="1" applyFill="1" applyBorder="1" applyAlignment="1" applyProtection="1">
      <alignment vertical="center" wrapText="1"/>
    </xf>
    <xf numFmtId="164" fontId="1" fillId="3" borderId="18" xfId="0" applyNumberFormat="1" applyFont="1" applyFill="1" applyBorder="1" applyAlignment="1" applyProtection="1">
      <alignment vertical="center" wrapText="1"/>
    </xf>
    <xf numFmtId="164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29" xfId="0" applyNumberFormat="1" applyFont="1" applyFill="1" applyBorder="1" applyAlignment="1" applyProtection="1">
      <alignment horizontal="center" vertical="center" wrapText="1"/>
    </xf>
    <xf numFmtId="164" fontId="2" fillId="3" borderId="35" xfId="0" applyNumberFormat="1" applyFont="1" applyFill="1" applyBorder="1" applyAlignment="1" applyProtection="1">
      <alignment horizontal="center" vertical="center" wrapText="1"/>
    </xf>
    <xf numFmtId="164" fontId="2" fillId="3" borderId="17" xfId="0" applyNumberFormat="1" applyFont="1" applyFill="1" applyBorder="1" applyAlignment="1" applyProtection="1">
      <alignment horizontal="center" vertical="center" wrapText="1"/>
    </xf>
    <xf numFmtId="164" fontId="2" fillId="3" borderId="37" xfId="0" applyNumberFormat="1" applyFont="1" applyFill="1" applyBorder="1" applyAlignment="1" applyProtection="1">
      <alignment horizontal="center" vertical="center" wrapText="1"/>
    </xf>
    <xf numFmtId="164" fontId="2" fillId="4" borderId="16" xfId="0" applyNumberFormat="1" applyFont="1" applyFill="1" applyBorder="1" applyAlignment="1" applyProtection="1">
      <alignment horizontal="center" vertical="center" wrapText="1"/>
    </xf>
    <xf numFmtId="164" fontId="2" fillId="4" borderId="29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</xf>
    <xf numFmtId="164" fontId="2" fillId="4" borderId="35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37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65" fontId="0" fillId="0" borderId="30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wrapText="1"/>
    </xf>
    <xf numFmtId="0" fontId="0" fillId="0" borderId="5" xfId="0" applyFill="1" applyBorder="1" applyProtection="1"/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0" fontId="0" fillId="0" borderId="35" xfId="0" applyFill="1" applyBorder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167" fontId="1" fillId="0" borderId="0" xfId="0" applyNumberFormat="1" applyFont="1" applyFill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Protection="1"/>
    <xf numFmtId="0" fontId="5" fillId="9" borderId="1" xfId="0" applyFont="1" applyFill="1" applyBorder="1" applyProtection="1"/>
    <xf numFmtId="0" fontId="0" fillId="0" borderId="1" xfId="0" applyFill="1" applyBorder="1" applyAlignment="1" applyProtection="1">
      <alignment horizontal="center" wrapText="1"/>
    </xf>
    <xf numFmtId="167" fontId="0" fillId="0" borderId="6" xfId="0" applyNumberFormat="1" applyFill="1" applyBorder="1" applyAlignment="1" applyProtection="1">
      <alignment horizontal="center" vertical="center"/>
    </xf>
    <xf numFmtId="167" fontId="0" fillId="0" borderId="7" xfId="0" applyNumberFormat="1" applyFill="1" applyBorder="1" applyAlignment="1" applyProtection="1">
      <alignment horizontal="center" vertical="center"/>
    </xf>
    <xf numFmtId="166" fontId="0" fillId="0" borderId="4" xfId="0" applyNumberFormat="1" applyFill="1" applyBorder="1" applyAlignment="1" applyProtection="1">
      <alignment horizontal="center" vertical="center"/>
    </xf>
    <xf numFmtId="167" fontId="0" fillId="0" borderId="6" xfId="0" applyNumberFormat="1" applyFill="1" applyBorder="1" applyAlignment="1" applyProtection="1">
      <alignment horizontal="center"/>
    </xf>
    <xf numFmtId="167" fontId="0" fillId="0" borderId="7" xfId="0" applyNumberFormat="1" applyFill="1" applyBorder="1" applyAlignment="1" applyProtection="1">
      <alignment horizontal="center"/>
    </xf>
    <xf numFmtId="166" fontId="0" fillId="0" borderId="4" xfId="0" applyNumberFormat="1" applyFill="1" applyBorder="1" applyAlignment="1" applyProtection="1">
      <alignment horizontal="center"/>
    </xf>
    <xf numFmtId="0" fontId="0" fillId="9" borderId="8" xfId="0" applyFill="1" applyBorder="1" applyAlignment="1" applyProtection="1">
      <alignment horizontal="left" indent="2"/>
    </xf>
    <xf numFmtId="0" fontId="0" fillId="0" borderId="8" xfId="0" applyFill="1" applyBorder="1" applyAlignment="1" applyProtection="1">
      <alignment horizontal="center"/>
    </xf>
    <xf numFmtId="167" fontId="0" fillId="0" borderId="10" xfId="0" applyNumberFormat="1" applyFill="1" applyBorder="1" applyProtection="1"/>
    <xf numFmtId="166" fontId="0" fillId="0" borderId="11" xfId="0" applyNumberFormat="1" applyFill="1" applyBorder="1" applyAlignment="1" applyProtection="1">
      <alignment horizontal="center"/>
    </xf>
    <xf numFmtId="0" fontId="5" fillId="9" borderId="5" xfId="0" applyFont="1" applyFill="1" applyBorder="1" applyAlignment="1" applyProtection="1">
      <alignment horizontal="left" indent="2"/>
    </xf>
    <xf numFmtId="0" fontId="5" fillId="0" borderId="51" xfId="0" applyFont="1" applyFill="1" applyBorder="1" applyProtection="1"/>
    <xf numFmtId="167" fontId="5" fillId="0" borderId="71" xfId="0" applyNumberFormat="1" applyFont="1" applyFill="1" applyBorder="1" applyProtection="1"/>
    <xf numFmtId="167" fontId="5" fillId="0" borderId="72" xfId="0" applyNumberFormat="1" applyFont="1" applyFill="1" applyBorder="1" applyProtection="1"/>
    <xf numFmtId="166" fontId="5" fillId="0" borderId="52" xfId="0" applyNumberFormat="1" applyFont="1" applyFill="1" applyBorder="1" applyAlignment="1" applyProtection="1">
      <alignment horizontal="center"/>
    </xf>
    <xf numFmtId="0" fontId="5" fillId="12" borderId="1" xfId="0" applyFont="1" applyFill="1" applyBorder="1" applyProtection="1"/>
    <xf numFmtId="166" fontId="0" fillId="0" borderId="4" xfId="0" applyNumberForma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5" fillId="12" borderId="5" xfId="0" applyFont="1" applyFill="1" applyBorder="1" applyAlignment="1" applyProtection="1">
      <alignment horizontal="left" indent="2"/>
    </xf>
    <xf numFmtId="0" fontId="5" fillId="11" borderId="1" xfId="0" applyFont="1" applyFill="1" applyBorder="1" applyProtection="1"/>
    <xf numFmtId="0" fontId="0" fillId="11" borderId="15" xfId="0" applyFill="1" applyBorder="1" applyAlignment="1" applyProtection="1">
      <alignment horizontal="left" indent="2"/>
    </xf>
    <xf numFmtId="0" fontId="0" fillId="11" borderId="8" xfId="0" applyFill="1" applyBorder="1" applyAlignment="1" applyProtection="1">
      <alignment horizontal="left" indent="2"/>
    </xf>
    <xf numFmtId="0" fontId="0" fillId="0" borderId="78" xfId="0" applyFill="1" applyBorder="1" applyAlignment="1" applyProtection="1">
      <alignment horizontal="center"/>
    </xf>
    <xf numFmtId="167" fontId="0" fillId="0" borderId="79" xfId="0" applyNumberFormat="1" applyFill="1" applyBorder="1" applyProtection="1"/>
    <xf numFmtId="167" fontId="0" fillId="0" borderId="80" xfId="0" applyNumberFormat="1" applyFill="1" applyBorder="1" applyProtection="1"/>
    <xf numFmtId="166" fontId="0" fillId="0" borderId="81" xfId="0" applyNumberFormat="1" applyFill="1" applyBorder="1" applyAlignment="1" applyProtection="1">
      <alignment horizontal="center"/>
    </xf>
    <xf numFmtId="0" fontId="5" fillId="11" borderId="5" xfId="0" applyFont="1" applyFill="1" applyBorder="1" applyAlignment="1" applyProtection="1">
      <alignment horizontal="left" indent="2"/>
    </xf>
    <xf numFmtId="0" fontId="0" fillId="0" borderId="5" xfId="0" applyFill="1" applyBorder="1" applyAlignment="1" applyProtection="1">
      <alignment horizontal="center"/>
    </xf>
    <xf numFmtId="167" fontId="5" fillId="0" borderId="17" xfId="0" applyNumberFormat="1" applyFont="1" applyFill="1" applyBorder="1" applyProtection="1"/>
    <xf numFmtId="166" fontId="5" fillId="0" borderId="18" xfId="0" applyNumberFormat="1" applyFont="1" applyFill="1" applyBorder="1" applyAlignment="1" applyProtection="1">
      <alignment horizontal="center"/>
    </xf>
    <xf numFmtId="167" fontId="5" fillId="0" borderId="16" xfId="0" applyNumberFormat="1" applyFont="1" applyFill="1" applyBorder="1" applyProtection="1"/>
    <xf numFmtId="0" fontId="5" fillId="10" borderId="1" xfId="0" applyFont="1" applyFill="1" applyBorder="1" applyProtection="1"/>
    <xf numFmtId="0" fontId="0" fillId="0" borderId="8" xfId="0" applyFill="1" applyBorder="1" applyAlignment="1" applyProtection="1">
      <alignment horizontal="center" wrapText="1"/>
    </xf>
    <xf numFmtId="0" fontId="0" fillId="10" borderId="8" xfId="0" applyFill="1" applyBorder="1" applyAlignment="1" applyProtection="1">
      <alignment horizontal="left" indent="2"/>
    </xf>
    <xf numFmtId="0" fontId="5" fillId="10" borderId="5" xfId="0" applyFont="1" applyFill="1" applyBorder="1" applyAlignment="1" applyProtection="1">
      <alignment horizontal="left" indent="2"/>
    </xf>
    <xf numFmtId="0" fontId="5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5" fillId="13" borderId="5" xfId="0" applyFont="1" applyFill="1" applyBorder="1" applyAlignment="1" applyProtection="1">
      <alignment horizontal="left" indent="2"/>
    </xf>
    <xf numFmtId="166" fontId="5" fillId="8" borderId="55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6" fillId="0" borderId="3" xfId="0" applyFont="1" applyFill="1" applyBorder="1" applyAlignment="1" applyProtection="1">
      <alignment horizontal="center"/>
    </xf>
    <xf numFmtId="167" fontId="6" fillId="0" borderId="28" xfId="0" applyNumberFormat="1" applyFont="1" applyFill="1" applyBorder="1" applyProtection="1"/>
    <xf numFmtId="0" fontId="6" fillId="0" borderId="3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7" fontId="6" fillId="0" borderId="11" xfId="0" applyNumberFormat="1" applyFont="1" applyFill="1" applyBorder="1" applyProtection="1"/>
    <xf numFmtId="167" fontId="5" fillId="8" borderId="46" xfId="0" applyNumberFormat="1" applyFont="1" applyFill="1" applyBorder="1" applyProtection="1"/>
    <xf numFmtId="165" fontId="5" fillId="8" borderId="47" xfId="0" applyNumberFormat="1" applyFont="1" applyFill="1" applyBorder="1" applyAlignment="1" applyProtection="1">
      <alignment horizontal="center"/>
    </xf>
    <xf numFmtId="167" fontId="6" fillId="0" borderId="27" xfId="0" applyNumberFormat="1" applyFont="1" applyFill="1" applyBorder="1" applyProtection="1"/>
    <xf numFmtId="0" fontId="6" fillId="0" borderId="30" xfId="0" applyFont="1" applyFill="1" applyBorder="1" applyAlignment="1" applyProtection="1">
      <alignment horizontal="center"/>
    </xf>
    <xf numFmtId="167" fontId="5" fillId="8" borderId="48" xfId="0" applyNumberFormat="1" applyFont="1" applyFill="1" applyBorder="1" applyProtection="1"/>
    <xf numFmtId="165" fontId="5" fillId="8" borderId="36" xfId="0" applyNumberFormat="1" applyFont="1" applyFill="1" applyBorder="1" applyAlignment="1" applyProtection="1">
      <alignment horizontal="center"/>
    </xf>
    <xf numFmtId="0" fontId="5" fillId="0" borderId="38" xfId="0" applyFont="1" applyFill="1" applyBorder="1" applyProtection="1"/>
    <xf numFmtId="0" fontId="7" fillId="0" borderId="41" xfId="0" applyFont="1" applyFill="1" applyBorder="1" applyAlignment="1" applyProtection="1">
      <alignment horizontal="center"/>
    </xf>
    <xf numFmtId="167" fontId="7" fillId="0" borderId="39" xfId="0" applyNumberFormat="1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167" fontId="7" fillId="0" borderId="42" xfId="0" applyNumberFormat="1" applyFont="1" applyFill="1" applyBorder="1" applyProtection="1"/>
    <xf numFmtId="167" fontId="5" fillId="8" borderId="49" xfId="0" applyNumberFormat="1" applyFont="1" applyFill="1" applyBorder="1" applyProtection="1"/>
    <xf numFmtId="165" fontId="5" fillId="8" borderId="50" xfId="0" applyNumberFormat="1" applyFont="1" applyFill="1" applyBorder="1" applyAlignment="1" applyProtection="1">
      <alignment horizontal="center"/>
    </xf>
    <xf numFmtId="0" fontId="5" fillId="7" borderId="8" xfId="0" applyFont="1" applyFill="1" applyBorder="1" applyProtection="1"/>
    <xf numFmtId="0" fontId="6" fillId="7" borderId="0" xfId="0" applyFont="1" applyFill="1" applyAlignment="1" applyProtection="1">
      <alignment horizontal="center"/>
    </xf>
    <xf numFmtId="167" fontId="6" fillId="7" borderId="27" xfId="0" applyNumberFormat="1" applyFont="1" applyFill="1" applyBorder="1" applyProtection="1"/>
    <xf numFmtId="167" fontId="6" fillId="7" borderId="0" xfId="0" applyNumberFormat="1" applyFont="1" applyFill="1" applyProtection="1"/>
    <xf numFmtId="0" fontId="6" fillId="7" borderId="30" xfId="0" applyFont="1" applyFill="1" applyBorder="1" applyAlignment="1" applyProtection="1">
      <alignment horizontal="center"/>
    </xf>
    <xf numFmtId="167" fontId="6" fillId="7" borderId="11" xfId="0" applyNumberFormat="1" applyFont="1" applyFill="1" applyBorder="1" applyProtection="1"/>
    <xf numFmtId="167" fontId="5" fillId="7" borderId="46" xfId="0" applyNumberFormat="1" applyFont="1" applyFill="1" applyBorder="1" applyProtection="1"/>
    <xf numFmtId="0" fontId="5" fillId="7" borderId="47" xfId="0" applyFont="1" applyFill="1" applyBorder="1" applyProtection="1"/>
    <xf numFmtId="0" fontId="7" fillId="7" borderId="0" xfId="0" applyFont="1" applyFill="1" applyAlignment="1" applyProtection="1">
      <alignment horizontal="center"/>
    </xf>
    <xf numFmtId="167" fontId="7" fillId="7" borderId="27" xfId="0" applyNumberFormat="1" applyFont="1" applyFill="1" applyBorder="1" applyProtection="1"/>
    <xf numFmtId="167" fontId="7" fillId="7" borderId="0" xfId="0" applyNumberFormat="1" applyFont="1" applyFill="1" applyProtection="1"/>
    <xf numFmtId="0" fontId="7" fillId="7" borderId="30" xfId="0" applyFont="1" applyFill="1" applyBorder="1" applyAlignment="1" applyProtection="1">
      <alignment horizontal="center"/>
    </xf>
    <xf numFmtId="167" fontId="7" fillId="7" borderId="11" xfId="0" applyNumberFormat="1" applyFont="1" applyFill="1" applyBorder="1" applyProtection="1"/>
    <xf numFmtId="0" fontId="5" fillId="8" borderId="1" xfId="0" applyFont="1" applyFill="1" applyBorder="1" applyProtection="1"/>
    <xf numFmtId="0" fontId="7" fillId="8" borderId="43" xfId="0" applyFont="1" applyFill="1" applyBorder="1" applyAlignment="1" applyProtection="1">
      <alignment horizontal="center"/>
    </xf>
    <xf numFmtId="167" fontId="7" fillId="8" borderId="44" xfId="0" applyNumberFormat="1" applyFont="1" applyFill="1" applyBorder="1" applyProtection="1"/>
    <xf numFmtId="0" fontId="7" fillId="8" borderId="77" xfId="0" applyFont="1" applyFill="1" applyBorder="1" applyAlignment="1" applyProtection="1">
      <alignment horizontal="center"/>
    </xf>
    <xf numFmtId="0" fontId="7" fillId="8" borderId="44" xfId="0" applyFont="1" applyFill="1" applyBorder="1" applyAlignment="1" applyProtection="1">
      <alignment horizontal="center"/>
    </xf>
    <xf numFmtId="167" fontId="7" fillId="8" borderId="45" xfId="0" applyNumberFormat="1" applyFont="1" applyFill="1" applyBorder="1" applyProtection="1"/>
    <xf numFmtId="167" fontId="5" fillId="8" borderId="2" xfId="0" applyNumberFormat="1" applyFont="1" applyFill="1" applyBorder="1" applyProtection="1"/>
    <xf numFmtId="167" fontId="5" fillId="8" borderId="4" xfId="0" applyNumberFormat="1" applyFont="1" applyFill="1" applyBorder="1" applyProtection="1"/>
    <xf numFmtId="0" fontId="5" fillId="8" borderId="25" xfId="0" applyFont="1" applyFill="1" applyBorder="1" applyAlignment="1" applyProtection="1">
      <alignment wrapText="1"/>
    </xf>
    <xf numFmtId="165" fontId="7" fillId="8" borderId="24" xfId="0" applyNumberFormat="1" applyFont="1" applyFill="1" applyBorder="1" applyAlignment="1" applyProtection="1">
      <alignment horizontal="center" vertical="center"/>
    </xf>
    <xf numFmtId="167" fontId="5" fillId="8" borderId="19" xfId="0" applyNumberFormat="1" applyFont="1" applyFill="1" applyBorder="1" applyProtection="1"/>
    <xf numFmtId="167" fontId="5" fillId="8" borderId="18" xfId="0" applyNumberFormat="1" applyFont="1" applyFill="1" applyBorder="1" applyProtection="1"/>
    <xf numFmtId="0" fontId="0" fillId="0" borderId="3" xfId="0" applyFill="1" applyBorder="1" applyProtection="1"/>
    <xf numFmtId="0" fontId="5" fillId="15" borderId="48" xfId="0" applyFont="1" applyFill="1" applyBorder="1" applyAlignment="1" applyProtection="1">
      <alignment horizontal="center"/>
    </xf>
    <xf numFmtId="0" fontId="5" fillId="16" borderId="48" xfId="0" applyFont="1" applyFill="1" applyBorder="1" applyAlignment="1" applyProtection="1">
      <alignment horizontal="center"/>
    </xf>
    <xf numFmtId="166" fontId="5" fillId="15" borderId="16" xfId="0" applyNumberFormat="1" applyFont="1" applyFill="1" applyBorder="1" applyAlignment="1" applyProtection="1">
      <alignment horizontal="center" vertical="top"/>
    </xf>
    <xf numFmtId="166" fontId="5" fillId="16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167" fontId="0" fillId="0" borderId="1" xfId="0" applyNumberFormat="1" applyFill="1" applyBorder="1" applyProtection="1"/>
    <xf numFmtId="167" fontId="0" fillId="0" borderId="11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0" fillId="0" borderId="15" xfId="0" applyFill="1" applyBorder="1" applyProtection="1"/>
    <xf numFmtId="0" fontId="5" fillId="0" borderId="59" xfId="0" applyFont="1" applyFill="1" applyBorder="1" applyProtection="1"/>
    <xf numFmtId="167" fontId="5" fillId="0" borderId="38" xfId="0" applyNumberFormat="1" applyFont="1" applyFill="1" applyBorder="1" applyProtection="1"/>
    <xf numFmtId="167" fontId="5" fillId="0" borderId="62" xfId="0" applyNumberFormat="1" applyFont="1" applyFill="1" applyBorder="1" applyProtection="1"/>
    <xf numFmtId="167" fontId="5" fillId="0" borderId="42" xfId="0" applyNumberFormat="1" applyFont="1" applyFill="1" applyBorder="1" applyProtection="1"/>
    <xf numFmtId="167" fontId="5" fillId="0" borderId="63" xfId="0" applyNumberFormat="1" applyFont="1" applyFill="1" applyBorder="1" applyProtection="1"/>
    <xf numFmtId="167" fontId="5" fillId="0" borderId="39" xfId="0" applyNumberFormat="1" applyFont="1" applyFill="1" applyBorder="1" applyProtection="1"/>
    <xf numFmtId="165" fontId="5" fillId="0" borderId="64" xfId="0" applyNumberFormat="1" applyFont="1" applyFill="1" applyBorder="1" applyAlignment="1" applyProtection="1">
      <alignment horizontal="center"/>
    </xf>
    <xf numFmtId="0" fontId="5" fillId="7" borderId="15" xfId="0" applyFont="1" applyFill="1" applyBorder="1" applyProtection="1"/>
    <xf numFmtId="167" fontId="0" fillId="7" borderId="8" xfId="0" applyNumberFormat="1" applyFill="1" applyBorder="1" applyProtection="1"/>
    <xf numFmtId="167" fontId="0" fillId="7" borderId="9" xfId="0" applyNumberFormat="1" applyFill="1" applyBorder="1" applyProtection="1"/>
    <xf numFmtId="167" fontId="0" fillId="7" borderId="0" xfId="0" applyNumberFormat="1" applyFill="1" applyProtection="1"/>
    <xf numFmtId="167" fontId="0" fillId="7" borderId="10" xfId="0" applyNumberFormat="1" applyFill="1" applyBorder="1" applyProtection="1"/>
    <xf numFmtId="167" fontId="0" fillId="7" borderId="27" xfId="0" applyNumberFormat="1" applyFill="1" applyBorder="1" applyProtection="1"/>
    <xf numFmtId="167" fontId="0" fillId="7" borderId="0" xfId="0" applyNumberFormat="1" applyFill="1" applyAlignment="1" applyProtection="1">
      <alignment horizontal="center"/>
    </xf>
    <xf numFmtId="167" fontId="0" fillId="7" borderId="11" xfId="0" applyNumberFormat="1" applyFill="1" applyBorder="1" applyProtection="1"/>
    <xf numFmtId="0" fontId="0" fillId="7" borderId="11" xfId="0" applyFill="1" applyBorder="1" applyAlignment="1" applyProtection="1">
      <alignment horizontal="center"/>
    </xf>
    <xf numFmtId="0" fontId="5" fillId="8" borderId="60" xfId="0" applyFont="1" applyFill="1" applyBorder="1" applyProtection="1"/>
    <xf numFmtId="0" fontId="5" fillId="8" borderId="66" xfId="0" applyFont="1" applyFill="1" applyBorder="1" applyProtection="1"/>
    <xf numFmtId="167" fontId="5" fillId="8" borderId="58" xfId="0" applyNumberFormat="1" applyFont="1" applyFill="1" applyBorder="1" applyProtection="1"/>
    <xf numFmtId="167" fontId="5" fillId="8" borderId="55" xfId="0" applyNumberFormat="1" applyFont="1" applyFill="1" applyBorder="1" applyProtection="1"/>
    <xf numFmtId="167" fontId="5" fillId="8" borderId="61" xfId="0" applyNumberFormat="1" applyFont="1" applyFill="1" applyBorder="1" applyProtection="1"/>
    <xf numFmtId="167" fontId="5" fillId="8" borderId="67" xfId="0" applyNumberFormat="1" applyFont="1" applyFill="1" applyBorder="1" applyProtection="1"/>
    <xf numFmtId="165" fontId="5" fillId="8" borderId="65" xfId="0" applyNumberFormat="1" applyFont="1" applyFill="1" applyBorder="1" applyAlignment="1" applyProtection="1">
      <alignment horizontal="center"/>
    </xf>
    <xf numFmtId="167" fontId="5" fillId="8" borderId="65" xfId="0" applyNumberFormat="1" applyFont="1" applyFill="1" applyBorder="1" applyProtection="1"/>
    <xf numFmtId="166" fontId="5" fillId="8" borderId="65" xfId="0" applyNumberFormat="1" applyFont="1" applyFill="1" applyBorder="1" applyAlignment="1" applyProtection="1">
      <alignment horizontal="center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7" fontId="5" fillId="8" borderId="60" xfId="0" applyNumberFormat="1" applyFont="1" applyFill="1" applyBorder="1" applyAlignment="1" applyProtection="1">
      <alignment horizontal="center" vertical="center" wrapText="1"/>
    </xf>
    <xf numFmtId="167" fontId="5" fillId="8" borderId="61" xfId="0" applyNumberFormat="1" applyFont="1" applyFill="1" applyBorder="1" applyAlignment="1" applyProtection="1">
      <alignment horizontal="center" vertical="center" wrapText="1"/>
    </xf>
    <xf numFmtId="166" fontId="5" fillId="14" borderId="65" xfId="0" applyNumberFormat="1" applyFont="1" applyFill="1" applyBorder="1" applyAlignment="1" applyProtection="1">
      <alignment horizontal="center" vertical="center" wrapText="1"/>
    </xf>
    <xf numFmtId="0" fontId="5" fillId="7" borderId="54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7" borderId="0" xfId="0" applyNumberFormat="1" applyFill="1" applyAlignment="1" applyProtection="1">
      <alignment horizontal="center"/>
    </xf>
    <xf numFmtId="37" fontId="5" fillId="0" borderId="59" xfId="0" applyNumberFormat="1" applyFont="1" applyFill="1" applyBorder="1" applyAlignment="1" applyProtection="1">
      <alignment horizontal="center"/>
    </xf>
    <xf numFmtId="167" fontId="5" fillId="0" borderId="64" xfId="0" applyNumberFormat="1" applyFont="1" applyFill="1" applyBorder="1" applyProtection="1"/>
    <xf numFmtId="166" fontId="5" fillId="0" borderId="64" xfId="0" applyNumberFormat="1" applyFont="1" applyFill="1" applyBorder="1" applyAlignment="1" applyProtection="1">
      <alignment horizontal="center"/>
    </xf>
    <xf numFmtId="165" fontId="5" fillId="7" borderId="41" xfId="0" applyNumberFormat="1" applyFont="1" applyFill="1" applyBorder="1" applyAlignment="1" applyProtection="1">
      <alignment horizontal="center"/>
    </xf>
    <xf numFmtId="37" fontId="0" fillId="7" borderId="15" xfId="0" applyNumberFormat="1" applyFill="1" applyBorder="1" applyAlignment="1" applyProtection="1">
      <alignment horizontal="center"/>
    </xf>
    <xf numFmtId="166" fontId="0" fillId="7" borderId="11" xfId="0" applyNumberFormat="1" applyFill="1" applyBorder="1" applyAlignment="1" applyProtection="1">
      <alignment horizontal="center"/>
    </xf>
    <xf numFmtId="37" fontId="5" fillId="8" borderId="53" xfId="0" applyNumberFormat="1" applyFont="1" applyFill="1" applyBorder="1" applyAlignment="1" applyProtection="1">
      <alignment horizontal="center"/>
    </xf>
    <xf numFmtId="165" fontId="5" fillId="7" borderId="54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5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167" fontId="0" fillId="24" borderId="82" xfId="0" applyNumberFormat="1" applyFill="1" applyBorder="1" applyProtection="1"/>
    <xf numFmtId="0" fontId="0" fillId="24" borderId="82" xfId="0" applyFill="1" applyBorder="1" applyProtection="1"/>
    <xf numFmtId="0" fontId="8" fillId="24" borderId="82" xfId="0" applyFont="1" applyFill="1" applyBorder="1" applyProtection="1"/>
    <xf numFmtId="0" fontId="0" fillId="25" borderId="0" xfId="0" applyFill="1" applyProtection="1"/>
    <xf numFmtId="0" fontId="8" fillId="25" borderId="0" xfId="0" applyFont="1" applyFill="1" applyProtection="1"/>
    <xf numFmtId="0" fontId="8" fillId="26" borderId="82" xfId="0" applyFont="1" applyFill="1" applyBorder="1" applyProtection="1"/>
    <xf numFmtId="0" fontId="0" fillId="26" borderId="82" xfId="0" applyFill="1" applyBorder="1" applyProtection="1"/>
    <xf numFmtId="167" fontId="0" fillId="26" borderId="82" xfId="0" applyNumberFormat="1" applyFill="1" applyBorder="1" applyProtection="1"/>
    <xf numFmtId="167" fontId="5" fillId="7" borderId="1" xfId="0" applyNumberFormat="1" applyFont="1" applyFill="1" applyBorder="1" applyProtection="1"/>
    <xf numFmtId="167" fontId="5" fillId="7" borderId="8" xfId="0" applyNumberFormat="1" applyFont="1" applyFill="1" applyBorder="1" applyProtection="1"/>
    <xf numFmtId="167" fontId="5" fillId="18" borderId="9" xfId="0" applyNumberFormat="1" applyFont="1" applyFill="1" applyBorder="1" applyAlignment="1" applyProtection="1">
      <alignment horizontal="center" vertical="center" wrapText="1"/>
    </xf>
    <xf numFmtId="167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7" xfId="0" applyNumberFormat="1" applyFont="1" applyFill="1" applyBorder="1" applyAlignment="1" applyProtection="1">
      <alignment horizontal="center" vertical="center" wrapText="1"/>
    </xf>
    <xf numFmtId="166" fontId="5" fillId="18" borderId="11" xfId="0" applyNumberFormat="1" applyFont="1" applyFill="1" applyBorder="1" applyAlignment="1" applyProtection="1">
      <alignment horizontal="center" vertical="center" wrapText="1"/>
    </xf>
    <xf numFmtId="167" fontId="5" fillId="15" borderId="48" xfId="0" applyNumberFormat="1" applyFont="1" applyFill="1" applyBorder="1" applyAlignment="1" applyProtection="1">
      <alignment horizontal="center" vertical="center" wrapText="1"/>
    </xf>
    <xf numFmtId="166" fontId="5" fillId="15" borderId="11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Fill="1" applyBorder="1" applyProtection="1"/>
    <xf numFmtId="166" fontId="0" fillId="0" borderId="3" xfId="0" applyNumberFormat="1" applyFill="1" applyBorder="1" applyAlignment="1" applyProtection="1">
      <alignment horizontal="center"/>
    </xf>
    <xf numFmtId="167" fontId="0" fillId="0" borderId="4" xfId="0" applyNumberFormat="1" applyFill="1" applyBorder="1" applyProtection="1"/>
    <xf numFmtId="167" fontId="0" fillId="0" borderId="7" xfId="0" applyNumberFormat="1" applyFill="1" applyBorder="1" applyProtection="1"/>
    <xf numFmtId="166" fontId="0" fillId="0" borderId="7" xfId="0" applyNumberFormat="1" applyFill="1" applyBorder="1" applyAlignment="1" applyProtection="1">
      <alignment horizontal="center"/>
    </xf>
    <xf numFmtId="167" fontId="0" fillId="7" borderId="1" xfId="0" applyNumberFormat="1" applyFill="1" applyBorder="1" applyProtection="1"/>
    <xf numFmtId="166" fontId="0" fillId="0" borderId="10" xfId="0" applyNumberFormat="1" applyFill="1" applyBorder="1" applyAlignment="1" applyProtection="1">
      <alignment horizontal="center"/>
    </xf>
    <xf numFmtId="166" fontId="5" fillId="0" borderId="42" xfId="0" applyNumberFormat="1" applyFont="1" applyFill="1" applyBorder="1" applyAlignment="1" applyProtection="1">
      <alignment horizontal="center"/>
    </xf>
    <xf numFmtId="166" fontId="5" fillId="0" borderId="63" xfId="0" applyNumberFormat="1" applyFont="1" applyFill="1" applyBorder="1" applyAlignment="1" applyProtection="1">
      <alignment horizontal="center"/>
    </xf>
    <xf numFmtId="167" fontId="5" fillId="7" borderId="38" xfId="0" applyNumberFormat="1" applyFont="1" applyFill="1" applyBorder="1" applyProtection="1"/>
    <xf numFmtId="166" fontId="0" fillId="7" borderId="0" xfId="0" applyNumberFormat="1" applyFill="1" applyAlignment="1" applyProtection="1">
      <alignment horizontal="center"/>
    </xf>
    <xf numFmtId="166" fontId="0" fillId="7" borderId="10" xfId="0" applyNumberFormat="1" applyFill="1" applyBorder="1" applyAlignment="1" applyProtection="1">
      <alignment horizontal="center"/>
    </xf>
    <xf numFmtId="0" fontId="5" fillId="8" borderId="53" xfId="0" applyFont="1" applyFill="1" applyBorder="1" applyProtection="1"/>
    <xf numFmtId="166" fontId="5" fillId="8" borderId="61" xfId="0" applyNumberFormat="1" applyFont="1" applyFill="1" applyBorder="1" applyAlignment="1" applyProtection="1">
      <alignment horizontal="center"/>
    </xf>
    <xf numFmtId="167" fontId="5" fillId="7" borderId="58" xfId="0" applyNumberFormat="1" applyFont="1" applyFill="1" applyBorder="1" applyProtection="1"/>
    <xf numFmtId="0" fontId="5" fillId="8" borderId="15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5" fillId="8" borderId="11" xfId="0" applyFont="1" applyFill="1" applyBorder="1" applyAlignment="1" applyProtection="1">
      <alignment horizontal="center"/>
    </xf>
    <xf numFmtId="0" fontId="5" fillId="18" borderId="21" xfId="0" applyFont="1" applyFill="1" applyBorder="1" applyAlignment="1" applyProtection="1">
      <alignment horizontal="center" vertical="center"/>
    </xf>
    <xf numFmtId="0" fontId="5" fillId="18" borderId="23" xfId="0" applyFont="1" applyFill="1" applyBorder="1" applyAlignment="1" applyProtection="1">
      <alignment horizontal="center" vertical="center"/>
    </xf>
    <xf numFmtId="0" fontId="5" fillId="20" borderId="23" xfId="0" applyFont="1" applyFill="1" applyBorder="1" applyAlignment="1" applyProtection="1">
      <alignment horizontal="center" vertical="center"/>
    </xf>
    <xf numFmtId="0" fontId="5" fillId="20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167" fontId="0" fillId="0" borderId="15" xfId="0" applyNumberFormat="1" applyFill="1" applyBorder="1" applyAlignment="1" applyProtection="1">
      <alignment vertical="center"/>
    </xf>
    <xf numFmtId="167" fontId="0" fillId="0" borderId="27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5" fillId="0" borderId="15" xfId="0" applyNumberFormat="1" applyFont="1" applyFill="1" applyBorder="1" applyAlignment="1" applyProtection="1">
      <alignment vertical="center"/>
    </xf>
    <xf numFmtId="167" fontId="5" fillId="0" borderId="27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Alignment="1" applyProtection="1">
      <alignment vertical="center"/>
    </xf>
    <xf numFmtId="167" fontId="5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167" fontId="0" fillId="0" borderId="19" xfId="0" applyNumberFormat="1" applyFill="1" applyBorder="1" applyAlignment="1" applyProtection="1">
      <alignment vertical="center"/>
    </xf>
    <xf numFmtId="167" fontId="0" fillId="0" borderId="29" xfId="0" applyNumberFormat="1" applyFill="1" applyBorder="1" applyAlignment="1" applyProtection="1">
      <alignment vertical="center"/>
    </xf>
    <xf numFmtId="167" fontId="0" fillId="0" borderId="20" xfId="0" applyNumberFormat="1" applyFill="1" applyBorder="1" applyAlignment="1" applyProtection="1">
      <alignment vertical="center"/>
    </xf>
    <xf numFmtId="167" fontId="0" fillId="0" borderId="18" xfId="0" applyNumberFormat="1" applyFill="1" applyBorder="1" applyAlignment="1" applyProtection="1">
      <alignment vertical="center"/>
    </xf>
    <xf numFmtId="167" fontId="5" fillId="0" borderId="19" xfId="0" applyNumberFormat="1" applyFont="1" applyFill="1" applyBorder="1" applyAlignment="1" applyProtection="1">
      <alignment vertical="center"/>
    </xf>
    <xf numFmtId="167" fontId="5" fillId="0" borderId="29" xfId="0" applyNumberFormat="1" applyFont="1" applyFill="1" applyBorder="1" applyAlignment="1" applyProtection="1">
      <alignment vertical="center"/>
    </xf>
    <xf numFmtId="167" fontId="5" fillId="0" borderId="35" xfId="0" applyNumberFormat="1" applyFont="1" applyFill="1" applyBorder="1" applyAlignment="1" applyProtection="1">
      <alignment vertical="center"/>
    </xf>
    <xf numFmtId="167" fontId="5" fillId="0" borderId="18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7" borderId="58" xfId="0" applyFont="1" applyFill="1" applyBorder="1" applyAlignment="1" applyProtection="1">
      <alignment horizontal="center" vertical="center"/>
    </xf>
    <xf numFmtId="0" fontId="5" fillId="7" borderId="74" xfId="0" applyFont="1" applyFill="1" applyBorder="1" applyAlignment="1" applyProtection="1">
      <alignment horizontal="center" vertical="center"/>
    </xf>
    <xf numFmtId="0" fontId="5" fillId="22" borderId="18" xfId="0" applyFont="1" applyFill="1" applyBorder="1" applyAlignment="1" applyProtection="1">
      <alignment horizontal="center" vertical="center" wrapText="1"/>
    </xf>
    <xf numFmtId="0" fontId="5" fillId="22" borderId="17" xfId="0" applyFont="1" applyFill="1" applyBorder="1" applyAlignment="1" applyProtection="1">
      <alignment horizontal="center" vertical="center" wrapText="1"/>
    </xf>
    <xf numFmtId="0" fontId="5" fillId="22" borderId="16" xfId="0" applyFont="1" applyFill="1" applyBorder="1" applyAlignment="1" applyProtection="1">
      <alignment horizontal="center" vertical="center" wrapText="1"/>
    </xf>
    <xf numFmtId="0" fontId="5" fillId="23" borderId="18" xfId="0" applyFont="1" applyFill="1" applyBorder="1" applyAlignment="1" applyProtection="1">
      <alignment horizontal="center" vertical="center" wrapText="1"/>
    </xf>
    <xf numFmtId="0" fontId="5" fillId="23" borderId="17" xfId="0" applyFont="1" applyFill="1" applyBorder="1" applyAlignment="1" applyProtection="1">
      <alignment horizontal="center" vertical="center" wrapText="1"/>
    </xf>
    <xf numFmtId="0" fontId="5" fillId="23" borderId="16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166" fontId="0" fillId="24" borderId="82" xfId="0" applyNumberFormat="1" applyFill="1" applyBorder="1" applyProtection="1"/>
    <xf numFmtId="0" fontId="5" fillId="7" borderId="54" xfId="0" applyFont="1" applyFill="1" applyBorder="1" applyAlignment="1" applyProtection="1">
      <alignment horizontal="center" vertical="center"/>
    </xf>
    <xf numFmtId="167" fontId="5" fillId="23" borderId="9" xfId="0" applyNumberFormat="1" applyFont="1" applyFill="1" applyBorder="1" applyAlignment="1" applyProtection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top"/>
    </xf>
    <xf numFmtId="0" fontId="5" fillId="7" borderId="20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5" fillId="8" borderId="58" xfId="0" applyFont="1" applyFill="1" applyBorder="1" applyAlignment="1" applyProtection="1">
      <alignment horizontal="center"/>
    </xf>
    <xf numFmtId="0" fontId="5" fillId="7" borderId="55" xfId="0" applyFont="1" applyFill="1" applyBorder="1" applyAlignment="1" applyProtection="1">
      <alignment horizontal="center" vertical="center"/>
    </xf>
    <xf numFmtId="0" fontId="5" fillId="7" borderId="69" xfId="0" applyFont="1" applyFill="1" applyBorder="1" applyAlignment="1" applyProtection="1">
      <alignment horizontal="center" vertical="center"/>
    </xf>
    <xf numFmtId="166" fontId="5" fillId="22" borderId="18" xfId="0" applyNumberFormat="1" applyFont="1" applyFill="1" applyBorder="1" applyAlignment="1" applyProtection="1">
      <alignment horizontal="center" vertical="center" wrapText="1"/>
    </xf>
    <xf numFmtId="167" fontId="5" fillId="22" borderId="29" xfId="0" applyNumberFormat="1" applyFont="1" applyFill="1" applyBorder="1" applyAlignment="1" applyProtection="1">
      <alignment horizontal="center" vertical="center" wrapText="1"/>
    </xf>
    <xf numFmtId="166" fontId="5" fillId="23" borderId="18" xfId="0" applyNumberFormat="1" applyFont="1" applyFill="1" applyBorder="1" applyAlignment="1" applyProtection="1">
      <alignment horizontal="center" vertical="center" wrapText="1"/>
    </xf>
    <xf numFmtId="167" fontId="5" fillId="23" borderId="16" xfId="0" applyNumberFormat="1" applyFont="1" applyFill="1" applyBorder="1" applyAlignment="1" applyProtection="1">
      <alignment horizontal="center" vertical="center" wrapText="1"/>
    </xf>
    <xf numFmtId="0" fontId="5" fillId="7" borderId="18" xfId="0" applyFont="1" applyFill="1" applyBorder="1" applyAlignment="1" applyProtection="1">
      <alignment horizontal="center" vertical="center" wrapText="1"/>
    </xf>
    <xf numFmtId="0" fontId="5" fillId="0" borderId="73" xfId="0" applyFont="1" applyFill="1" applyBorder="1" applyProtection="1"/>
    <xf numFmtId="167" fontId="5" fillId="0" borderId="51" xfId="0" applyNumberFormat="1" applyFont="1" applyFill="1" applyBorder="1" applyProtection="1"/>
    <xf numFmtId="167" fontId="5" fillId="0" borderId="52" xfId="0" applyNumberFormat="1" applyFont="1" applyFill="1" applyBorder="1" applyProtection="1"/>
    <xf numFmtId="0" fontId="0" fillId="7" borderId="58" xfId="0" applyFill="1" applyBorder="1" applyProtection="1"/>
    <xf numFmtId="167" fontId="5" fillId="23" borderId="9" xfId="0" applyNumberFormat="1" applyFont="1" applyFill="1" applyBorder="1" applyAlignment="1" applyProtection="1">
      <alignment horizontal="center"/>
    </xf>
    <xf numFmtId="167" fontId="5" fillId="23" borderId="7" xfId="0" applyNumberFormat="1" applyFont="1" applyFill="1" applyBorder="1" applyAlignment="1" applyProtection="1">
      <alignment horizontal="center"/>
    </xf>
    <xf numFmtId="166" fontId="5" fillId="23" borderId="16" xfId="0" applyNumberFormat="1" applyFont="1" applyFill="1" applyBorder="1" applyAlignment="1" applyProtection="1">
      <alignment horizontal="center" vertical="top"/>
    </xf>
    <xf numFmtId="166" fontId="5" fillId="23" borderId="17" xfId="0" applyNumberFormat="1" applyFont="1" applyFill="1" applyBorder="1" applyAlignment="1" applyProtection="1">
      <alignment horizontal="center" vertical="top"/>
    </xf>
    <xf numFmtId="167" fontId="5" fillId="0" borderId="41" xfId="0" applyNumberFormat="1" applyFont="1" applyFill="1" applyBorder="1" applyProtection="1"/>
    <xf numFmtId="167" fontId="5" fillId="8" borderId="54" xfId="0" applyNumberFormat="1" applyFont="1" applyFill="1" applyBorder="1" applyProtection="1"/>
    <xf numFmtId="0" fontId="1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66" fontId="0" fillId="0" borderId="0" xfId="0" applyNumberFormat="1" applyFill="1" applyAlignment="1" applyProtection="1">
      <alignment horizontal="center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167" fontId="5" fillId="8" borderId="1" xfId="0" applyNumberFormat="1" applyFont="1" applyFill="1" applyBorder="1" applyAlignment="1" applyProtection="1">
      <alignment horizontal="center" vertical="center" wrapText="1"/>
    </xf>
    <xf numFmtId="167" fontId="5" fillId="8" borderId="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/>
    </xf>
    <xf numFmtId="167" fontId="5" fillId="14" borderId="3" xfId="0" applyNumberFormat="1" applyFont="1" applyFill="1" applyBorder="1" applyAlignment="1" applyProtection="1">
      <alignment horizontal="center" vertical="center"/>
    </xf>
    <xf numFmtId="166" fontId="5" fillId="14" borderId="4" xfId="0" applyNumberFormat="1" applyFont="1" applyFill="1" applyBorder="1" applyAlignment="1" applyProtection="1">
      <alignment horizontal="center" vertical="center"/>
    </xf>
    <xf numFmtId="167" fontId="5" fillId="8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167" fontId="5" fillId="14" borderId="54" xfId="0" applyNumberFormat="1" applyFont="1" applyFill="1" applyBorder="1" applyAlignment="1" applyProtection="1">
      <alignment horizontal="center" vertical="center"/>
    </xf>
    <xf numFmtId="166" fontId="5" fillId="14" borderId="55" xfId="0" applyNumberFormat="1" applyFont="1" applyFill="1" applyBorder="1" applyAlignment="1" applyProtection="1">
      <alignment horizontal="center" vertical="center"/>
    </xf>
    <xf numFmtId="164" fontId="2" fillId="5" borderId="35" xfId="0" applyNumberFormat="1" applyFont="1" applyFill="1" applyBorder="1" applyAlignment="1" applyProtection="1">
      <alignment horizontal="center" vertical="center" wrapText="1"/>
    </xf>
    <xf numFmtId="164" fontId="2" fillId="5" borderId="29" xfId="0" applyNumberFormat="1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wrapText="1"/>
    </xf>
    <xf numFmtId="0" fontId="3" fillId="6" borderId="20" xfId="0" applyFont="1" applyFill="1" applyBorder="1" applyAlignment="1" applyProtection="1">
      <alignment horizontal="center" wrapText="1"/>
    </xf>
    <xf numFmtId="0" fontId="3" fillId="6" borderId="18" xfId="0" applyFont="1" applyFill="1" applyBorder="1" applyAlignment="1" applyProtection="1">
      <alignment horizontal="center" wrapText="1"/>
    </xf>
    <xf numFmtId="164" fontId="3" fillId="2" borderId="19" xfId="0" applyNumberFormat="1" applyFont="1" applyFill="1" applyBorder="1" applyAlignment="1" applyProtection="1">
      <alignment horizontal="center" wrapText="1"/>
    </xf>
    <xf numFmtId="164" fontId="3" fillId="2" borderId="20" xfId="0" applyNumberFormat="1" applyFont="1" applyFill="1" applyBorder="1" applyAlignment="1" applyProtection="1">
      <alignment horizontal="center" wrapText="1"/>
    </xf>
    <xf numFmtId="164" fontId="3" fillId="2" borderId="18" xfId="0" applyNumberFormat="1" applyFont="1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164" fontId="2" fillId="6" borderId="19" xfId="0" applyNumberFormat="1" applyFont="1" applyFill="1" applyBorder="1" applyAlignment="1" applyProtection="1">
      <alignment horizontal="center" vertical="center" wrapText="1"/>
    </xf>
    <xf numFmtId="164" fontId="2" fillId="6" borderId="29" xfId="0" applyNumberFormat="1" applyFont="1" applyFill="1" applyBorder="1" applyAlignment="1" applyProtection="1">
      <alignment horizontal="center" vertical="center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164" fontId="2" fillId="6" borderId="18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</xf>
    <xf numFmtId="164" fontId="3" fillId="5" borderId="19" xfId="0" applyNumberFormat="1" applyFont="1" applyFill="1" applyBorder="1" applyAlignment="1" applyProtection="1">
      <alignment horizontal="center" wrapText="1"/>
    </xf>
    <xf numFmtId="164" fontId="3" fillId="5" borderId="20" xfId="0" applyNumberFormat="1" applyFont="1" applyFill="1" applyBorder="1" applyAlignment="1" applyProtection="1">
      <alignment horizontal="center" wrapText="1"/>
    </xf>
    <xf numFmtId="164" fontId="3" fillId="5" borderId="18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4" fontId="1" fillId="5" borderId="4" xfId="0" applyNumberFormat="1" applyFont="1" applyFill="1" applyBorder="1" applyAlignment="1" applyProtection="1">
      <alignment horizontal="center" vertical="center" wrapText="1"/>
    </xf>
    <xf numFmtId="164" fontId="1" fillId="5" borderId="15" xfId="0" applyNumberFormat="1" applyFont="1" applyFill="1" applyBorder="1" applyAlignment="1" applyProtection="1">
      <alignment horizontal="center" vertical="center" wrapText="1"/>
    </xf>
    <xf numFmtId="164" fontId="1" fillId="5" borderId="0" xfId="0" applyNumberFormat="1" applyFont="1" applyFill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2" fillId="5" borderId="20" xfId="0" applyNumberFormat="1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/>
    </xf>
    <xf numFmtId="0" fontId="5" fillId="11" borderId="3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5" fillId="11" borderId="15" xfId="0" applyFont="1" applyFill="1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 vertical="center"/>
    </xf>
    <xf numFmtId="0" fontId="5" fillId="11" borderId="11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 vertical="center" wrapText="1"/>
    </xf>
    <xf numFmtId="0" fontId="5" fillId="12" borderId="53" xfId="0" applyFont="1" applyFill="1" applyBorder="1" applyAlignment="1" applyProtection="1">
      <alignment horizontal="center"/>
    </xf>
    <xf numFmtId="0" fontId="5" fillId="12" borderId="54" xfId="0" applyFont="1" applyFill="1" applyBorder="1" applyAlignment="1" applyProtection="1">
      <alignment horizontal="center"/>
    </xf>
    <xf numFmtId="0" fontId="5" fillId="12" borderId="55" xfId="0" applyFont="1" applyFill="1" applyBorder="1" applyAlignment="1" applyProtection="1">
      <alignment horizontal="center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3" fillId="4" borderId="19" xfId="0" applyNumberFormat="1" applyFont="1" applyFill="1" applyBorder="1" applyAlignment="1" applyProtection="1">
      <alignment horizontal="center" wrapText="1"/>
    </xf>
    <xf numFmtId="164" fontId="3" fillId="4" borderId="20" xfId="0" applyNumberFormat="1" applyFont="1" applyFill="1" applyBorder="1" applyAlignment="1" applyProtection="1">
      <alignment horizontal="center" wrapText="1"/>
    </xf>
    <xf numFmtId="164" fontId="3" fillId="4" borderId="18" xfId="0" applyNumberFormat="1" applyFont="1" applyFill="1" applyBorder="1" applyAlignment="1" applyProtection="1">
      <alignment horizontal="center" wrapText="1"/>
    </xf>
    <xf numFmtId="167" fontId="5" fillId="8" borderId="53" xfId="0" applyNumberFormat="1" applyFont="1" applyFill="1" applyBorder="1" applyAlignment="1" applyProtection="1">
      <alignment horizontal="center"/>
    </xf>
    <xf numFmtId="167" fontId="5" fillId="8" borderId="54" xfId="0" applyNumberFormat="1" applyFont="1" applyFill="1" applyBorder="1" applyAlignment="1" applyProtection="1">
      <alignment horizontal="center"/>
    </xf>
    <xf numFmtId="166" fontId="5" fillId="8" borderId="55" xfId="0" applyNumberFormat="1" applyFont="1" applyFill="1" applyBorder="1" applyAlignment="1" applyProtection="1">
      <alignment horizontal="center"/>
    </xf>
    <xf numFmtId="0" fontId="5" fillId="8" borderId="53" xfId="0" applyFont="1" applyFill="1" applyBorder="1" applyAlignment="1" applyProtection="1">
      <alignment horizontal="center"/>
    </xf>
    <xf numFmtId="0" fontId="5" fillId="8" borderId="55" xfId="0" applyFont="1" applyFill="1" applyBorder="1" applyAlignment="1" applyProtection="1">
      <alignment horizontal="center"/>
    </xf>
    <xf numFmtId="167" fontId="5" fillId="8" borderId="2" xfId="0" applyNumberFormat="1" applyFont="1" applyFill="1" applyBorder="1" applyAlignment="1" applyProtection="1">
      <alignment horizontal="center" vertical="center"/>
    </xf>
    <xf numFmtId="167" fontId="5" fillId="8" borderId="3" xfId="0" applyNumberFormat="1" applyFont="1" applyFill="1" applyBorder="1" applyAlignment="1" applyProtection="1">
      <alignment horizontal="center" vertical="center"/>
    </xf>
    <xf numFmtId="166" fontId="5" fillId="8" borderId="4" xfId="0" applyNumberFormat="1" applyFont="1" applyFill="1" applyBorder="1" applyAlignment="1" applyProtection="1">
      <alignment horizontal="center" vertical="center"/>
    </xf>
    <xf numFmtId="167" fontId="3" fillId="14" borderId="15" xfId="0" applyNumberFormat="1" applyFont="1" applyFill="1" applyBorder="1" applyAlignment="1" applyProtection="1">
      <alignment horizontal="center"/>
    </xf>
    <xf numFmtId="167" fontId="3" fillId="14" borderId="0" xfId="0" applyNumberFormat="1" applyFont="1" applyFill="1" applyAlignment="1" applyProtection="1">
      <alignment horizontal="center"/>
    </xf>
    <xf numFmtId="166" fontId="3" fillId="14" borderId="11" xfId="0" applyNumberFormat="1" applyFont="1" applyFill="1" applyBorder="1" applyAlignment="1" applyProtection="1">
      <alignment horizontal="center"/>
    </xf>
    <xf numFmtId="167" fontId="5" fillId="8" borderId="48" xfId="0" applyNumberFormat="1" applyFont="1" applyFill="1" applyBorder="1" applyAlignment="1" applyProtection="1">
      <alignment horizontal="center" vertical="center" wrapText="1"/>
    </xf>
    <xf numFmtId="167" fontId="5" fillId="8" borderId="16" xfId="0" applyNumberFormat="1" applyFont="1" applyFill="1" applyBorder="1" applyAlignment="1" applyProtection="1">
      <alignment horizontal="center" vertical="center" wrapText="1"/>
    </xf>
    <xf numFmtId="167" fontId="5" fillId="8" borderId="57" xfId="0" applyNumberFormat="1" applyFont="1" applyFill="1" applyBorder="1" applyAlignment="1" applyProtection="1">
      <alignment horizontal="center" vertical="center" wrapText="1"/>
    </xf>
    <xf numFmtId="167" fontId="5" fillId="8" borderId="17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/>
    </xf>
    <xf numFmtId="167" fontId="5" fillId="14" borderId="3" xfId="0" applyNumberFormat="1" applyFont="1" applyFill="1" applyBorder="1" applyAlignment="1" applyProtection="1">
      <alignment horizontal="center"/>
    </xf>
    <xf numFmtId="166" fontId="5" fillId="14" borderId="4" xfId="0" applyNumberFormat="1" applyFont="1" applyFill="1" applyBorder="1" applyAlignment="1" applyProtection="1">
      <alignment horizontal="center"/>
    </xf>
    <xf numFmtId="167" fontId="0" fillId="14" borderId="19" xfId="0" applyNumberFormat="1" applyFill="1" applyBorder="1" applyAlignment="1" applyProtection="1">
      <alignment horizontal="center" vertical="center"/>
    </xf>
    <xf numFmtId="167" fontId="0" fillId="14" borderId="20" xfId="0" applyNumberFormat="1" applyFill="1" applyBorder="1" applyAlignment="1" applyProtection="1">
      <alignment horizontal="center" vertical="center"/>
    </xf>
    <xf numFmtId="166" fontId="0" fillId="14" borderId="18" xfId="0" applyNumberForma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166" fontId="5" fillId="8" borderId="56" xfId="0" applyNumberFormat="1" applyFont="1" applyFill="1" applyBorder="1" applyAlignment="1" applyProtection="1">
      <alignment horizontal="center" vertical="center" wrapText="1"/>
    </xf>
    <xf numFmtId="166" fontId="5" fillId="8" borderId="18" xfId="0" applyNumberFormat="1" applyFont="1" applyFill="1" applyBorder="1" applyAlignment="1" applyProtection="1">
      <alignment horizontal="center" vertical="center" wrapText="1"/>
    </xf>
    <xf numFmtId="164" fontId="2" fillId="3" borderId="36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horizontal="center" vertic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2" fillId="4" borderId="34" xfId="0" applyNumberFormat="1" applyFont="1" applyFill="1" applyBorder="1" applyAlignment="1" applyProtection="1">
      <alignment horizontal="center" vertical="center"/>
    </xf>
    <xf numFmtId="164" fontId="2" fillId="4" borderId="32" xfId="0" applyNumberFormat="1" applyFont="1" applyFill="1" applyBorder="1" applyAlignment="1" applyProtection="1">
      <alignment horizontal="center" vertical="center"/>
    </xf>
    <xf numFmtId="164" fontId="2" fillId="4" borderId="33" xfId="0" applyNumberFormat="1" applyFont="1" applyFill="1" applyBorder="1" applyAlignment="1" applyProtection="1">
      <alignment horizontal="center" vertical="center"/>
    </xf>
    <xf numFmtId="164" fontId="2" fillId="4" borderId="36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7" fontId="2" fillId="4" borderId="0" xfId="0" applyNumberFormat="1" applyFont="1" applyFill="1" applyAlignment="1" applyProtection="1">
      <alignment horizontal="center"/>
    </xf>
    <xf numFmtId="167" fontId="2" fillId="4" borderId="27" xfId="0" applyNumberFormat="1" applyFont="1" applyFill="1" applyBorder="1" applyAlignment="1" applyProtection="1">
      <alignment horizontal="center"/>
    </xf>
    <xf numFmtId="167" fontId="2" fillId="4" borderId="30" xfId="0" applyNumberFormat="1" applyFont="1" applyFill="1" applyBorder="1" applyAlignment="1" applyProtection="1">
      <alignment horizontal="center"/>
    </xf>
    <xf numFmtId="165" fontId="7" fillId="8" borderId="23" xfId="0" applyNumberFormat="1" applyFont="1" applyFill="1" applyBorder="1" applyAlignment="1" applyProtection="1">
      <alignment horizontal="center" vertical="center"/>
    </xf>
    <xf numFmtId="167" fontId="2" fillId="3" borderId="30" xfId="0" applyNumberFormat="1" applyFont="1" applyFill="1" applyBorder="1" applyAlignment="1" applyProtection="1">
      <alignment horizontal="center"/>
    </xf>
    <xf numFmtId="167" fontId="2" fillId="3" borderId="27" xfId="0" applyNumberFormat="1" applyFont="1" applyFill="1" applyBorder="1" applyAlignment="1" applyProtection="1">
      <alignment horizontal="center"/>
    </xf>
    <xf numFmtId="164" fontId="2" fillId="3" borderId="33" xfId="0" applyNumberFormat="1" applyFont="1" applyFill="1" applyBorder="1" applyAlignment="1" applyProtection="1">
      <alignment horizontal="center" vertical="center"/>
    </xf>
    <xf numFmtId="164" fontId="2" fillId="3" borderId="32" xfId="0" applyNumberFormat="1" applyFont="1" applyFill="1" applyBorder="1" applyAlignment="1" applyProtection="1">
      <alignment horizontal="center" vertical="center"/>
    </xf>
    <xf numFmtId="167" fontId="2" fillId="3" borderId="37" xfId="0" applyNumberFormat="1" applyFont="1" applyFill="1" applyBorder="1" applyAlignment="1" applyProtection="1">
      <alignment horizontal="center"/>
    </xf>
    <xf numFmtId="167" fontId="2" fillId="3" borderId="29" xfId="0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center"/>
    </xf>
    <xf numFmtId="164" fontId="2" fillId="3" borderId="34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3" fillId="2" borderId="14" xfId="0" applyNumberFormat="1" applyFont="1" applyFill="1" applyBorder="1" applyAlignment="1" applyProtection="1">
      <alignment horizontal="center" wrapText="1"/>
      <protection locked="0"/>
    </xf>
    <xf numFmtId="164" fontId="3" fillId="2" borderId="12" xfId="0" applyNumberFormat="1" applyFont="1" applyFill="1" applyBorder="1" applyAlignment="1" applyProtection="1">
      <alignment horizontal="center" wrapText="1"/>
      <protection locked="0"/>
    </xf>
    <xf numFmtId="164" fontId="3" fillId="2" borderId="13" xfId="0" applyNumberFormat="1" applyFont="1" applyFill="1" applyBorder="1" applyAlignment="1" applyProtection="1">
      <alignment horizontal="center" wrapText="1"/>
      <protection locked="0"/>
    </xf>
    <xf numFmtId="164" fontId="2" fillId="2" borderId="33" xfId="0" applyNumberFormat="1" applyFont="1" applyFill="1" applyBorder="1" applyAlignment="1" applyProtection="1">
      <alignment horizontal="center" vertical="center" wrapText="1"/>
    </xf>
    <xf numFmtId="164" fontId="2" fillId="2" borderId="32" xfId="0" applyNumberFormat="1" applyFont="1" applyFill="1" applyBorder="1" applyAlignment="1" applyProtection="1">
      <alignment horizontal="center" vertical="center" wrapText="1"/>
    </xf>
    <xf numFmtId="167" fontId="2" fillId="2" borderId="37" xfId="0" applyNumberFormat="1" applyFont="1" applyFill="1" applyBorder="1" applyAlignment="1" applyProtection="1">
      <alignment horizontal="center"/>
    </xf>
    <xf numFmtId="167" fontId="2" fillId="2" borderId="29" xfId="0" applyNumberFormat="1" applyFont="1" applyFill="1" applyBorder="1" applyAlignment="1" applyProtection="1">
      <alignment horizontal="center"/>
    </xf>
    <xf numFmtId="165" fontId="7" fillId="8" borderId="21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 vertical="center"/>
    </xf>
    <xf numFmtId="164" fontId="2" fillId="2" borderId="37" xfId="0" applyNumberFormat="1" applyFont="1" applyFill="1" applyBorder="1" applyAlignment="1" applyProtection="1">
      <alignment horizontal="center"/>
    </xf>
    <xf numFmtId="167" fontId="2" fillId="2" borderId="35" xfId="0" applyNumberFormat="1" applyFont="1" applyFill="1" applyBorder="1" applyAlignment="1" applyProtection="1">
      <alignment horizontal="center"/>
    </xf>
    <xf numFmtId="167" fontId="2" fillId="2" borderId="30" xfId="0" applyNumberFormat="1" applyFont="1" applyFill="1" applyBorder="1" applyAlignment="1" applyProtection="1">
      <alignment horizontal="center"/>
    </xf>
    <xf numFmtId="167" fontId="2" fillId="2" borderId="27" xfId="0" applyNumberFormat="1" applyFont="1" applyFill="1" applyBorder="1" applyAlignment="1" applyProtection="1">
      <alignment horizontal="center"/>
    </xf>
    <xf numFmtId="164" fontId="2" fillId="2" borderId="33" xfId="0" applyNumberFormat="1" applyFont="1" applyFill="1" applyBorder="1" applyAlignment="1" applyProtection="1">
      <alignment horizontal="center" vertical="center"/>
    </xf>
    <xf numFmtId="164" fontId="2" fillId="2" borderId="32" xfId="0" applyNumberFormat="1" applyFont="1" applyFill="1" applyBorder="1" applyAlignment="1" applyProtection="1">
      <alignment horizontal="center" vertical="center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2" fillId="5" borderId="34" xfId="0" applyNumberFormat="1" applyFont="1" applyFill="1" applyBorder="1" applyAlignment="1" applyProtection="1">
      <alignment horizontal="center" vertical="center"/>
    </xf>
    <xf numFmtId="164" fontId="2" fillId="5" borderId="32" xfId="0" applyNumberFormat="1" applyFont="1" applyFill="1" applyBorder="1" applyAlignment="1" applyProtection="1">
      <alignment horizontal="center" vertical="center"/>
    </xf>
    <xf numFmtId="164" fontId="2" fillId="5" borderId="33" xfId="0" applyNumberFormat="1" applyFont="1" applyFill="1" applyBorder="1" applyAlignment="1" applyProtection="1">
      <alignment horizontal="center" vertical="center"/>
    </xf>
    <xf numFmtId="164" fontId="2" fillId="5" borderId="36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/>
    </xf>
    <xf numFmtId="167" fontId="2" fillId="5" borderId="0" xfId="0" applyNumberFormat="1" applyFont="1" applyFill="1" applyAlignment="1" applyProtection="1">
      <alignment horizontal="center"/>
    </xf>
    <xf numFmtId="167" fontId="2" fillId="5" borderId="27" xfId="0" applyNumberFormat="1" applyFont="1" applyFill="1" applyBorder="1" applyAlignment="1" applyProtection="1">
      <alignment horizontal="center"/>
    </xf>
    <xf numFmtId="167" fontId="2" fillId="5" borderId="30" xfId="0" applyNumberFormat="1" applyFont="1" applyFill="1" applyBorder="1" applyAlignment="1" applyProtection="1">
      <alignment horizontal="center"/>
    </xf>
    <xf numFmtId="167" fontId="2" fillId="5" borderId="37" xfId="0" applyNumberFormat="1" applyFont="1" applyFill="1" applyBorder="1" applyAlignment="1" applyProtection="1">
      <alignment horizontal="center"/>
    </xf>
    <xf numFmtId="167" fontId="2" fillId="5" borderId="29" xfId="0" applyNumberFormat="1" applyFont="1" applyFill="1" applyBorder="1" applyAlignment="1" applyProtection="1">
      <alignment horizontal="center"/>
    </xf>
    <xf numFmtId="0" fontId="5" fillId="8" borderId="43" xfId="0" applyFont="1" applyFill="1" applyBorder="1" applyAlignment="1" applyProtection="1">
      <alignment horizontal="center"/>
    </xf>
    <xf numFmtId="0" fontId="5" fillId="8" borderId="46" xfId="0" applyFont="1" applyFill="1" applyBorder="1" applyAlignment="1" applyProtection="1">
      <alignment horizontal="center"/>
    </xf>
    <xf numFmtId="0" fontId="5" fillId="8" borderId="45" xfId="0" applyFont="1" applyFill="1" applyBorder="1" applyAlignment="1" applyProtection="1">
      <alignment horizontal="center" wrapText="1"/>
    </xf>
    <xf numFmtId="0" fontId="5" fillId="8" borderId="47" xfId="0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164" fontId="2" fillId="6" borderId="33" xfId="0" applyNumberFormat="1" applyFont="1" applyFill="1" applyBorder="1" applyAlignment="1" applyProtection="1">
      <alignment horizontal="center" vertical="center"/>
    </xf>
    <xf numFmtId="164" fontId="2" fillId="6" borderId="32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 vertical="center"/>
    </xf>
    <xf numFmtId="164" fontId="2" fillId="6" borderId="37" xfId="0" applyNumberFormat="1" applyFont="1" applyFill="1" applyBorder="1" applyAlignment="1" applyProtection="1">
      <alignment horizontal="center"/>
    </xf>
    <xf numFmtId="167" fontId="2" fillId="6" borderId="30" xfId="0" applyNumberFormat="1" applyFont="1" applyFill="1" applyBorder="1" applyAlignment="1" applyProtection="1">
      <alignment horizontal="center"/>
    </xf>
    <xf numFmtId="167" fontId="2" fillId="6" borderId="27" xfId="0" applyNumberFormat="1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5" fontId="7" fillId="8" borderId="22" xfId="0" applyNumberFormat="1" applyFont="1" applyFill="1" applyBorder="1" applyAlignment="1" applyProtection="1">
      <alignment horizontal="center" vertical="center"/>
    </xf>
    <xf numFmtId="165" fontId="7" fillId="8" borderId="26" xfId="0" applyNumberFormat="1" applyFont="1" applyFill="1" applyBorder="1" applyAlignment="1" applyProtection="1">
      <alignment horizontal="center" vertical="center"/>
    </xf>
    <xf numFmtId="0" fontId="5" fillId="14" borderId="53" xfId="0" applyFont="1" applyFill="1" applyBorder="1" applyAlignment="1" applyProtection="1">
      <alignment horizontal="center" vertical="center"/>
    </xf>
    <xf numFmtId="0" fontId="5" fillId="14" borderId="54" xfId="0" applyFont="1" applyFill="1" applyBorder="1" applyAlignment="1" applyProtection="1">
      <alignment horizontal="center" vertical="center"/>
    </xf>
    <xf numFmtId="0" fontId="5" fillId="14" borderId="55" xfId="0" applyFont="1" applyFill="1" applyBorder="1" applyAlignment="1" applyProtection="1">
      <alignment horizontal="center" vertical="center"/>
    </xf>
    <xf numFmtId="0" fontId="5" fillId="14" borderId="4" xfId="0" applyFont="1" applyFill="1" applyBorder="1" applyAlignment="1" applyProtection="1">
      <alignment horizontal="center" vertical="center" wrapText="1"/>
    </xf>
    <xf numFmtId="0" fontId="5" fillId="14" borderId="11" xfId="0" applyFont="1" applyFill="1" applyBorder="1" applyAlignment="1" applyProtection="1">
      <alignment horizontal="center" vertical="center" wrapText="1"/>
    </xf>
    <xf numFmtId="0" fontId="5" fillId="14" borderId="18" xfId="0" applyFont="1" applyFill="1" applyBorder="1" applyAlignment="1" applyProtection="1">
      <alignment horizontal="center" vertical="center" wrapText="1"/>
    </xf>
    <xf numFmtId="0" fontId="5" fillId="14" borderId="28" xfId="0" applyFont="1" applyFill="1" applyBorder="1" applyAlignment="1" applyProtection="1">
      <alignment horizontal="center" vertical="center" wrapText="1"/>
    </xf>
    <xf numFmtId="0" fontId="5" fillId="14" borderId="27" xfId="0" applyFont="1" applyFill="1" applyBorder="1" applyAlignment="1" applyProtection="1">
      <alignment horizontal="center" vertical="center" wrapText="1"/>
    </xf>
    <xf numFmtId="0" fontId="5" fillId="14" borderId="29" xfId="0" applyFont="1" applyFill="1" applyBorder="1" applyAlignment="1" applyProtection="1">
      <alignment horizontal="center" vertical="center" wrapText="1"/>
    </xf>
    <xf numFmtId="0" fontId="5" fillId="14" borderId="6" xfId="0" applyFont="1" applyFill="1" applyBorder="1" applyAlignment="1" applyProtection="1">
      <alignment horizontal="center" vertical="center" wrapText="1"/>
    </xf>
    <xf numFmtId="0" fontId="5" fillId="14" borderId="9" xfId="0" applyFont="1" applyFill="1" applyBorder="1" applyAlignment="1" applyProtection="1">
      <alignment horizontal="center" vertical="center"/>
    </xf>
    <xf numFmtId="0" fontId="5" fillId="14" borderId="16" xfId="0" applyFont="1" applyFill="1" applyBorder="1" applyAlignment="1" applyProtection="1">
      <alignment horizontal="center" vertical="center"/>
    </xf>
    <xf numFmtId="0" fontId="5" fillId="15" borderId="57" xfId="0" applyFont="1" applyFill="1" applyBorder="1" applyAlignment="1" applyProtection="1">
      <alignment horizontal="center" vertical="center"/>
    </xf>
    <xf numFmtId="0" fontId="5" fillId="15" borderId="17" xfId="0" applyFont="1" applyFill="1" applyBorder="1" applyAlignment="1" applyProtection="1">
      <alignment horizontal="center" vertical="center"/>
    </xf>
    <xf numFmtId="0" fontId="5" fillId="15" borderId="57" xfId="0" applyFont="1" applyFill="1" applyBorder="1" applyAlignment="1" applyProtection="1">
      <alignment horizontal="center" vertical="center" wrapText="1"/>
    </xf>
    <xf numFmtId="0" fontId="5" fillId="15" borderId="68" xfId="0" applyFont="1" applyFill="1" applyBorder="1" applyAlignment="1" applyProtection="1">
      <alignment horizontal="center"/>
    </xf>
    <xf numFmtId="0" fontId="5" fillId="15" borderId="70" xfId="0" applyFont="1" applyFill="1" applyBorder="1" applyAlignment="1" applyProtection="1">
      <alignment horizontal="center"/>
    </xf>
    <xf numFmtId="0" fontId="5" fillId="15" borderId="69" xfId="0" applyFont="1" applyFill="1" applyBorder="1" applyAlignment="1" applyProtection="1">
      <alignment horizontal="center"/>
    </xf>
    <xf numFmtId="0" fontId="5" fillId="16" borderId="68" xfId="0" applyFont="1" applyFill="1" applyBorder="1" applyAlignment="1" applyProtection="1">
      <alignment horizontal="center"/>
    </xf>
    <xf numFmtId="0" fontId="5" fillId="16" borderId="69" xfId="0" applyFont="1" applyFill="1" applyBorder="1" applyAlignment="1" applyProtection="1">
      <alignment horizontal="center"/>
    </xf>
    <xf numFmtId="0" fontId="5" fillId="15" borderId="56" xfId="0" applyFont="1" applyFill="1" applyBorder="1" applyAlignment="1" applyProtection="1">
      <alignment horizontal="center" vertical="center" wrapText="1"/>
    </xf>
    <xf numFmtId="0" fontId="5" fillId="15" borderId="18" xfId="0" applyFont="1" applyFill="1" applyBorder="1" applyAlignment="1" applyProtection="1">
      <alignment horizontal="center" vertical="center" wrapText="1"/>
    </xf>
    <xf numFmtId="0" fontId="5" fillId="16" borderId="56" xfId="0" applyFont="1" applyFill="1" applyBorder="1" applyAlignment="1" applyProtection="1">
      <alignment horizontal="center" vertical="center" wrapText="1"/>
    </xf>
    <xf numFmtId="0" fontId="5" fillId="16" borderId="18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 wrapText="1"/>
    </xf>
    <xf numFmtId="0" fontId="5" fillId="15" borderId="4" xfId="0" applyFont="1" applyFill="1" applyBorder="1" applyAlignment="1" applyProtection="1">
      <alignment horizontal="center" vertical="center" wrapText="1"/>
    </xf>
    <xf numFmtId="0" fontId="5" fillId="15" borderId="14" xfId="0" applyFont="1" applyFill="1" applyBorder="1" applyAlignment="1" applyProtection="1">
      <alignment horizontal="center" vertical="center" wrapText="1"/>
    </xf>
    <xf numFmtId="0" fontId="5" fillId="15" borderId="13" xfId="0" applyFont="1" applyFill="1" applyBorder="1" applyAlignment="1" applyProtection="1">
      <alignment horizontal="center" vertical="center" wrapText="1"/>
    </xf>
    <xf numFmtId="0" fontId="5" fillId="15" borderId="48" xfId="0" applyFont="1" applyFill="1" applyBorder="1" applyAlignment="1" applyProtection="1">
      <alignment horizontal="center" vertical="center" wrapText="1"/>
    </xf>
    <xf numFmtId="0" fontId="5" fillId="15" borderId="16" xfId="0" applyFont="1" applyFill="1" applyBorder="1" applyAlignment="1" applyProtection="1">
      <alignment horizontal="center" vertical="center" wrapText="1"/>
    </xf>
    <xf numFmtId="167" fontId="5" fillId="14" borderId="53" xfId="0" applyNumberFormat="1" applyFont="1" applyFill="1" applyBorder="1" applyAlignment="1" applyProtection="1">
      <alignment horizontal="center" vertical="center"/>
    </xf>
    <xf numFmtId="0" fontId="5" fillId="17" borderId="1" xfId="0" applyFont="1" applyFill="1" applyBorder="1" applyAlignment="1" applyProtection="1">
      <alignment horizontal="center" vertical="center" wrapText="1"/>
    </xf>
    <xf numFmtId="0" fontId="5" fillId="17" borderId="5" xfId="0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 wrapText="1"/>
    </xf>
    <xf numFmtId="167" fontId="5" fillId="8" borderId="54" xfId="0" applyNumberFormat="1" applyFont="1" applyFill="1" applyBorder="1" applyAlignment="1" applyProtection="1">
      <alignment horizontal="center" vertical="center" wrapText="1"/>
    </xf>
    <xf numFmtId="167" fontId="5" fillId="8" borderId="55" xfId="0" applyNumberFormat="1" applyFont="1" applyFill="1" applyBorder="1" applyAlignment="1" applyProtection="1">
      <alignment horizontal="center" vertical="center" wrapText="1"/>
    </xf>
    <xf numFmtId="167" fontId="5" fillId="14" borderId="2" xfId="0" applyNumberFormat="1" applyFont="1" applyFill="1" applyBorder="1" applyAlignment="1" applyProtection="1">
      <alignment horizontal="center" vertical="center" wrapText="1"/>
    </xf>
    <xf numFmtId="167" fontId="5" fillId="14" borderId="3" xfId="0" applyNumberFormat="1" applyFont="1" applyFill="1" applyBorder="1" applyAlignment="1" applyProtection="1">
      <alignment horizontal="center" vertical="center" wrapText="1"/>
    </xf>
    <xf numFmtId="166" fontId="5" fillId="14" borderId="4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15" borderId="75" xfId="0" applyFont="1" applyFill="1" applyBorder="1" applyAlignment="1" applyProtection="1">
      <alignment horizontal="center" vertical="center" wrapText="1"/>
    </xf>
    <xf numFmtId="0" fontId="5" fillId="15" borderId="37" xfId="0" applyFont="1" applyFill="1" applyBorder="1" applyAlignment="1" applyProtection="1">
      <alignment horizontal="center" vertical="center" wrapText="1"/>
    </xf>
    <xf numFmtId="167" fontId="0" fillId="24" borderId="82" xfId="0" applyNumberFormat="1" applyFill="1" applyBorder="1" applyAlignment="1" applyProtection="1">
      <alignment horizontal="center"/>
    </xf>
    <xf numFmtId="0" fontId="0" fillId="24" borderId="82" xfId="0" applyFill="1" applyBorder="1" applyAlignment="1" applyProtection="1">
      <alignment horizontal="center"/>
    </xf>
    <xf numFmtId="167" fontId="0" fillId="26" borderId="82" xfId="0" applyNumberFormat="1" applyFill="1" applyBorder="1" applyAlignment="1" applyProtection="1">
      <alignment horizontal="center"/>
    </xf>
    <xf numFmtId="0" fontId="0" fillId="26" borderId="82" xfId="0" applyFill="1" applyBorder="1" applyAlignment="1" applyProtection="1">
      <alignment horizontal="center"/>
    </xf>
    <xf numFmtId="0" fontId="5" fillId="19" borderId="53" xfId="0" applyFont="1" applyFill="1" applyBorder="1" applyAlignment="1" applyProtection="1">
      <alignment horizontal="center" vertical="center" wrapText="1"/>
    </xf>
    <xf numFmtId="0" fontId="5" fillId="19" borderId="54" xfId="0" applyFont="1" applyFill="1" applyBorder="1" applyAlignment="1" applyProtection="1">
      <alignment horizontal="center" vertical="center" wrapText="1"/>
    </xf>
    <xf numFmtId="0" fontId="5" fillId="19" borderId="55" xfId="0" applyFont="1" applyFill="1" applyBorder="1" applyAlignment="1" applyProtection="1">
      <alignment horizontal="center" vertical="center" wrapText="1"/>
    </xf>
    <xf numFmtId="0" fontId="5" fillId="17" borderId="53" xfId="0" applyFont="1" applyFill="1" applyBorder="1" applyAlignment="1" applyProtection="1">
      <alignment horizontal="center" vertical="center" wrapText="1"/>
    </xf>
    <xf numFmtId="0" fontId="5" fillId="17" borderId="55" xfId="0" applyFont="1" applyFill="1" applyBorder="1" applyAlignment="1" applyProtection="1">
      <alignment horizontal="center" vertical="center" wrapText="1"/>
    </xf>
    <xf numFmtId="0" fontId="5" fillId="19" borderId="6" xfId="0" applyFont="1" applyFill="1" applyBorder="1" applyAlignment="1" applyProtection="1">
      <alignment horizontal="center" vertical="center"/>
    </xf>
    <xf numFmtId="0" fontId="5" fillId="19" borderId="16" xfId="0" applyFont="1" applyFill="1" applyBorder="1" applyAlignment="1" applyProtection="1">
      <alignment horizontal="center" vertical="center"/>
    </xf>
    <xf numFmtId="0" fontId="5" fillId="19" borderId="3" xfId="0" applyFont="1" applyFill="1" applyBorder="1" applyAlignment="1" applyProtection="1">
      <alignment horizontal="center" vertical="center" wrapText="1"/>
    </xf>
    <xf numFmtId="0" fontId="5" fillId="19" borderId="20" xfId="0" applyFont="1" applyFill="1" applyBorder="1" applyAlignment="1" applyProtection="1">
      <alignment horizontal="center" vertical="center" wrapText="1"/>
    </xf>
    <xf numFmtId="0" fontId="5" fillId="19" borderId="7" xfId="0" applyFont="1" applyFill="1" applyBorder="1" applyAlignment="1" applyProtection="1">
      <alignment horizontal="center" vertical="center" wrapText="1"/>
    </xf>
    <xf numFmtId="0" fontId="5" fillId="19" borderId="17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8" borderId="16" xfId="0" applyFont="1" applyFill="1" applyBorder="1" applyAlignment="1" applyProtection="1">
      <alignment horizontal="center" vertical="center" wrapText="1"/>
    </xf>
    <xf numFmtId="0" fontId="5" fillId="19" borderId="4" xfId="0" applyFont="1" applyFill="1" applyBorder="1" applyAlignment="1" applyProtection="1">
      <alignment horizontal="center" vertical="center" wrapText="1"/>
    </xf>
    <xf numFmtId="0" fontId="5" fillId="19" borderId="18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16" xfId="0" applyFont="1" applyFill="1" applyBorder="1" applyAlignment="1" applyProtection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</xf>
    <xf numFmtId="0" fontId="5" fillId="17" borderId="18" xfId="0" applyFont="1" applyFill="1" applyBorder="1" applyAlignment="1" applyProtection="1">
      <alignment horizontal="center" vertical="center" wrapText="1"/>
    </xf>
    <xf numFmtId="166" fontId="5" fillId="14" borderId="3" xfId="0" applyNumberFormat="1" applyFont="1" applyFill="1" applyBorder="1" applyAlignment="1" applyProtection="1">
      <alignment horizontal="center" vertical="center"/>
    </xf>
    <xf numFmtId="167" fontId="5" fillId="15" borderId="68" xfId="0" applyNumberFormat="1" applyFont="1" applyFill="1" applyBorder="1" applyAlignment="1" applyProtection="1">
      <alignment horizontal="center"/>
    </xf>
    <xf numFmtId="166" fontId="5" fillId="15" borderId="69" xfId="0" applyNumberFormat="1" applyFont="1" applyFill="1" applyBorder="1" applyAlignment="1" applyProtection="1">
      <alignment horizontal="center"/>
    </xf>
    <xf numFmtId="166" fontId="5" fillId="8" borderId="3" xfId="0" applyNumberFormat="1" applyFont="1" applyFill="1" applyBorder="1" applyAlignment="1" applyProtection="1">
      <alignment horizontal="center" vertical="center"/>
    </xf>
    <xf numFmtId="167" fontId="5" fillId="8" borderId="4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 wrapText="1"/>
    </xf>
    <xf numFmtId="167" fontId="5" fillId="17" borderId="5" xfId="0" applyNumberFormat="1" applyFont="1" applyFill="1" applyBorder="1" applyAlignment="1" applyProtection="1">
      <alignment horizontal="center" vertical="center" wrapText="1"/>
    </xf>
    <xf numFmtId="166" fontId="5" fillId="18" borderId="3" xfId="0" applyNumberFormat="1" applyFont="1" applyFill="1" applyBorder="1" applyAlignment="1" applyProtection="1">
      <alignment horizontal="center" vertical="center" wrapText="1"/>
    </xf>
    <xf numFmtId="166" fontId="5" fillId="18" borderId="20" xfId="0" applyNumberFormat="1" applyFont="1" applyFill="1" applyBorder="1" applyAlignment="1" applyProtection="1">
      <alignment horizontal="center" vertical="center" wrapText="1"/>
    </xf>
    <xf numFmtId="167" fontId="5" fillId="15" borderId="1" xfId="0" applyNumberFormat="1" applyFont="1" applyFill="1" applyBorder="1" applyAlignment="1" applyProtection="1">
      <alignment horizontal="center" vertical="center" wrapText="1"/>
    </xf>
    <xf numFmtId="167" fontId="5" fillId="15" borderId="5" xfId="0" applyNumberFormat="1" applyFont="1" applyFill="1" applyBorder="1" applyAlignment="1" applyProtection="1">
      <alignment horizontal="center" vertical="center" wrapText="1"/>
    </xf>
    <xf numFmtId="167" fontId="5" fillId="18" borderId="6" xfId="0" applyNumberFormat="1" applyFont="1" applyFill="1" applyBorder="1" applyAlignment="1" applyProtection="1">
      <alignment horizontal="center" vertical="center" wrapText="1"/>
    </xf>
    <xf numFmtId="167" fontId="5" fillId="18" borderId="16" xfId="0" applyNumberFormat="1" applyFont="1" applyFill="1" applyBorder="1" applyAlignment="1" applyProtection="1">
      <alignment horizontal="center" vertical="center" wrapText="1"/>
    </xf>
    <xf numFmtId="167" fontId="5" fillId="18" borderId="68" xfId="0" applyNumberFormat="1" applyFont="1" applyFill="1" applyBorder="1" applyAlignment="1" applyProtection="1">
      <alignment horizontal="center"/>
    </xf>
    <xf numFmtId="167" fontId="5" fillId="18" borderId="70" xfId="0" applyNumberFormat="1" applyFont="1" applyFill="1" applyBorder="1" applyAlignment="1" applyProtection="1">
      <alignment horizontal="center"/>
    </xf>
    <xf numFmtId="166" fontId="5" fillId="18" borderId="70" xfId="0" applyNumberFormat="1" applyFont="1" applyFill="1" applyBorder="1" applyAlignment="1" applyProtection="1">
      <alignment horizontal="center"/>
    </xf>
    <xf numFmtId="166" fontId="5" fillId="18" borderId="69" xfId="0" applyNumberFormat="1" applyFont="1" applyFill="1" applyBorder="1" applyAlignment="1" applyProtection="1">
      <alignment horizontal="center"/>
    </xf>
    <xf numFmtId="167" fontId="5" fillId="17" borderId="4" xfId="0" applyNumberFormat="1" applyFont="1" applyFill="1" applyBorder="1" applyAlignment="1" applyProtection="1">
      <alignment horizontal="center" vertical="center"/>
    </xf>
    <xf numFmtId="167" fontId="5" fillId="17" borderId="18" xfId="0" applyNumberFormat="1" applyFont="1" applyFill="1" applyBorder="1" applyAlignment="1" applyProtection="1">
      <alignment horizontal="center" vertical="center"/>
    </xf>
    <xf numFmtId="167" fontId="5" fillId="17" borderId="1" xfId="0" applyNumberFormat="1" applyFont="1" applyFill="1" applyBorder="1" applyAlignment="1" applyProtection="1">
      <alignment horizontal="center" vertical="center"/>
    </xf>
    <xf numFmtId="167" fontId="5" fillId="17" borderId="5" xfId="0" applyNumberFormat="1" applyFont="1" applyFill="1" applyBorder="1" applyAlignment="1" applyProtection="1">
      <alignment horizontal="center" vertical="center"/>
    </xf>
    <xf numFmtId="0" fontId="5" fillId="21" borderId="2" xfId="0" applyFont="1" applyFill="1" applyBorder="1" applyAlignment="1" applyProtection="1">
      <alignment horizontal="center"/>
    </xf>
    <xf numFmtId="0" fontId="5" fillId="21" borderId="3" xfId="0" applyFont="1" applyFill="1" applyBorder="1" applyAlignment="1" applyProtection="1">
      <alignment horizontal="center"/>
    </xf>
    <xf numFmtId="0" fontId="5" fillId="21" borderId="4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/>
    </xf>
    <xf numFmtId="0" fontId="5" fillId="8" borderId="3" xfId="0" applyFont="1" applyFill="1" applyBorder="1" applyAlignment="1" applyProtection="1">
      <alignment horizontal="center"/>
    </xf>
    <xf numFmtId="0" fontId="5" fillId="8" borderId="4" xfId="0" applyFont="1" applyFill="1" applyBorder="1" applyAlignment="1" applyProtection="1">
      <alignment horizontal="center"/>
    </xf>
    <xf numFmtId="167" fontId="5" fillId="8" borderId="19" xfId="0" applyNumberFormat="1" applyFont="1" applyFill="1" applyBorder="1" applyAlignment="1" applyProtection="1">
      <alignment horizontal="center"/>
    </xf>
    <xf numFmtId="167" fontId="5" fillId="8" borderId="20" xfId="0" applyNumberFormat="1" applyFont="1" applyFill="1" applyBorder="1" applyAlignment="1" applyProtection="1">
      <alignment horizontal="center"/>
    </xf>
    <xf numFmtId="167" fontId="5" fillId="8" borderId="18" xfId="0" applyNumberFormat="1" applyFont="1" applyFill="1" applyBorder="1" applyAlignment="1" applyProtection="1">
      <alignment horizontal="center"/>
    </xf>
    <xf numFmtId="0" fontId="5" fillId="18" borderId="2" xfId="0" applyFont="1" applyFill="1" applyBorder="1" applyAlignment="1" applyProtection="1">
      <alignment horizontal="center"/>
    </xf>
    <xf numFmtId="0" fontId="5" fillId="18" borderId="28" xfId="0" applyFont="1" applyFill="1" applyBorder="1" applyAlignment="1" applyProtection="1">
      <alignment horizontal="center"/>
    </xf>
    <xf numFmtId="0" fontId="5" fillId="20" borderId="3" xfId="0" applyFont="1" applyFill="1" applyBorder="1" applyAlignment="1" applyProtection="1">
      <alignment horizontal="center"/>
    </xf>
    <xf numFmtId="0" fontId="5" fillId="20" borderId="4" xfId="0" applyFont="1" applyFill="1" applyBorder="1" applyAlignment="1" applyProtection="1">
      <alignment horizontal="center"/>
    </xf>
    <xf numFmtId="0" fontId="5" fillId="20" borderId="44" xfId="0" applyFont="1" applyFill="1" applyBorder="1" applyAlignment="1" applyProtection="1">
      <alignment horizontal="center"/>
    </xf>
    <xf numFmtId="0" fontId="5" fillId="20" borderId="45" xfId="0" applyFont="1" applyFill="1" applyBorder="1" applyAlignment="1" applyProtection="1">
      <alignment horizontal="center"/>
    </xf>
    <xf numFmtId="167" fontId="5" fillId="21" borderId="15" xfId="0" applyNumberFormat="1" applyFont="1" applyFill="1" applyBorder="1" applyAlignment="1" applyProtection="1">
      <alignment horizontal="center"/>
    </xf>
    <xf numFmtId="0" fontId="5" fillId="21" borderId="0" xfId="0" applyFont="1" applyFill="1" applyAlignment="1" applyProtection="1">
      <alignment horizontal="center"/>
    </xf>
    <xf numFmtId="167" fontId="5" fillId="21" borderId="0" xfId="0" applyNumberFormat="1" applyFont="1" applyFill="1" applyAlignment="1" applyProtection="1">
      <alignment horizontal="center"/>
    </xf>
    <xf numFmtId="0" fontId="5" fillId="21" borderId="11" xfId="0" applyFont="1" applyFill="1" applyBorder="1" applyAlignment="1" applyProtection="1">
      <alignment horizontal="center"/>
    </xf>
    <xf numFmtId="167" fontId="5" fillId="21" borderId="19" xfId="0" applyNumberFormat="1" applyFont="1" applyFill="1" applyBorder="1" applyAlignment="1" applyProtection="1">
      <alignment horizontal="center"/>
    </xf>
    <xf numFmtId="167" fontId="5" fillId="21" borderId="20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 wrapText="1"/>
    </xf>
    <xf numFmtId="0" fontId="5" fillId="23" borderId="5" xfId="0" applyFont="1" applyFill="1" applyBorder="1" applyAlignment="1" applyProtection="1">
      <alignment horizontal="center" vertical="center" wrapText="1"/>
    </xf>
    <xf numFmtId="0" fontId="5" fillId="22" borderId="4" xfId="0" applyFont="1" applyFill="1" applyBorder="1" applyAlignment="1" applyProtection="1">
      <alignment horizontal="center" vertical="center" wrapText="1"/>
    </xf>
    <xf numFmtId="0" fontId="5" fillId="22" borderId="18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5" fillId="8" borderId="53" xfId="0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vertical="center" wrapText="1"/>
    </xf>
    <xf numFmtId="0" fontId="5" fillId="14" borderId="54" xfId="0" applyFont="1" applyFill="1" applyBorder="1" applyAlignment="1" applyProtection="1">
      <alignment vertical="center"/>
    </xf>
    <xf numFmtId="0" fontId="5" fillId="14" borderId="55" xfId="0" applyFont="1" applyFill="1" applyBorder="1" applyAlignment="1" applyProtection="1">
      <alignment vertical="center"/>
    </xf>
    <xf numFmtId="0" fontId="5" fillId="23" borderId="68" xfId="0" applyFont="1" applyFill="1" applyBorder="1" applyAlignment="1" applyProtection="1">
      <alignment horizontal="center" vertical="center"/>
    </xf>
    <xf numFmtId="0" fontId="5" fillId="23" borderId="70" xfId="0" applyFont="1" applyFill="1" applyBorder="1" applyAlignment="1" applyProtection="1">
      <alignment vertical="center"/>
    </xf>
    <xf numFmtId="0" fontId="5" fillId="23" borderId="69" xfId="0" applyFont="1" applyFill="1" applyBorder="1" applyAlignment="1" applyProtection="1">
      <alignment vertical="center"/>
    </xf>
    <xf numFmtId="0" fontId="5" fillId="22" borderId="68" xfId="0" applyFont="1" applyFill="1" applyBorder="1" applyAlignment="1" applyProtection="1">
      <alignment horizontal="center" vertical="center"/>
    </xf>
    <xf numFmtId="0" fontId="5" fillId="22" borderId="70" xfId="0" applyFont="1" applyFill="1" applyBorder="1" applyAlignment="1" applyProtection="1">
      <alignment horizontal="center" vertical="center"/>
    </xf>
    <xf numFmtId="0" fontId="5" fillId="22" borderId="69" xfId="0" applyFont="1" applyFill="1" applyBorder="1" applyAlignment="1" applyProtection="1">
      <alignment horizontal="center" vertical="center"/>
    </xf>
    <xf numFmtId="166" fontId="5" fillId="14" borderId="11" xfId="0" applyNumberFormat="1" applyFont="1" applyFill="1" applyBorder="1" applyAlignment="1" applyProtection="1">
      <alignment horizontal="center" vertical="center" wrapText="1"/>
    </xf>
    <xf numFmtId="166" fontId="5" fillId="14" borderId="18" xfId="0" applyNumberFormat="1" applyFont="1" applyFill="1" applyBorder="1" applyAlignment="1" applyProtection="1">
      <alignment horizontal="center" vertical="center"/>
    </xf>
    <xf numFmtId="0" fontId="5" fillId="17" borderId="8" xfId="0" applyFont="1" applyFill="1" applyBorder="1" applyAlignment="1" applyProtection="1">
      <alignment horizontal="center" vertical="center" wrapText="1"/>
    </xf>
    <xf numFmtId="167" fontId="5" fillId="23" borderId="1" xfId="0" applyNumberFormat="1" applyFont="1" applyFill="1" applyBorder="1" applyAlignment="1" applyProtection="1">
      <alignment horizontal="center" vertical="center" wrapText="1"/>
    </xf>
    <xf numFmtId="167" fontId="5" fillId="23" borderId="5" xfId="0" applyNumberFormat="1" applyFont="1" applyFill="1" applyBorder="1" applyAlignment="1" applyProtection="1">
      <alignment horizontal="center" vertical="center" wrapText="1"/>
    </xf>
    <xf numFmtId="167" fontId="5" fillId="22" borderId="4" xfId="0" applyNumberFormat="1" applyFont="1" applyFill="1" applyBorder="1" applyAlignment="1" applyProtection="1">
      <alignment horizontal="center" vertical="center" wrapText="1"/>
    </xf>
    <xf numFmtId="167" fontId="5" fillId="22" borderId="18" xfId="0" applyNumberFormat="1" applyFont="1" applyFill="1" applyBorder="1" applyAlignment="1" applyProtection="1">
      <alignment horizontal="center" vertical="center" wrapText="1"/>
    </xf>
    <xf numFmtId="167" fontId="5" fillId="8" borderId="53" xfId="0" applyNumberFormat="1" applyFont="1" applyFill="1" applyBorder="1" applyAlignment="1" applyProtection="1">
      <alignment horizontal="center" vertical="center"/>
    </xf>
    <xf numFmtId="167" fontId="5" fillId="8" borderId="54" xfId="0" applyNumberFormat="1" applyFont="1" applyFill="1" applyBorder="1" applyAlignment="1" applyProtection="1">
      <alignment horizontal="center" vertical="center"/>
    </xf>
    <xf numFmtId="166" fontId="5" fillId="14" borderId="54" xfId="0" applyNumberFormat="1" applyFont="1" applyFill="1" applyBorder="1" applyAlignment="1" applyProtection="1">
      <alignment horizontal="center" vertical="center"/>
    </xf>
    <xf numFmtId="167" fontId="5" fillId="23" borderId="68" xfId="0" applyNumberFormat="1" applyFont="1" applyFill="1" applyBorder="1" applyAlignment="1" applyProtection="1">
      <alignment horizontal="center" vertical="center"/>
    </xf>
    <xf numFmtId="166" fontId="5" fillId="23" borderId="69" xfId="0" applyNumberFormat="1" applyFont="1" applyFill="1" applyBorder="1" applyAlignment="1" applyProtection="1">
      <alignment horizontal="center" vertical="center"/>
    </xf>
    <xf numFmtId="167" fontId="5" fillId="22" borderId="68" xfId="0" applyNumberFormat="1" applyFont="1" applyFill="1" applyBorder="1" applyAlignment="1" applyProtection="1">
      <alignment horizontal="center" vertical="center"/>
    </xf>
    <xf numFmtId="166" fontId="5" fillId="22" borderId="69" xfId="0" applyNumberFormat="1" applyFont="1" applyFill="1" applyBorder="1" applyAlignment="1" applyProtection="1">
      <alignment horizontal="center" vertical="center"/>
    </xf>
    <xf numFmtId="167" fontId="5" fillId="17" borderId="6" xfId="0" applyNumberFormat="1" applyFont="1" applyFill="1" applyBorder="1" applyAlignment="1" applyProtection="1">
      <alignment horizontal="center" vertical="center" wrapText="1"/>
    </xf>
    <xf numFmtId="167" fontId="5" fillId="17" borderId="9" xfId="0" applyNumberFormat="1" applyFont="1" applyFill="1" applyBorder="1" applyAlignment="1" applyProtection="1">
      <alignment horizontal="center" vertical="center" wrapText="1"/>
    </xf>
    <xf numFmtId="167" fontId="5" fillId="17" borderId="16" xfId="0" applyNumberFormat="1" applyFont="1" applyFill="1" applyBorder="1" applyAlignment="1" applyProtection="1">
      <alignment horizontal="center" vertical="center" wrapText="1"/>
    </xf>
    <xf numFmtId="167" fontId="5" fillId="17" borderId="4" xfId="0" applyNumberFormat="1" applyFont="1" applyFill="1" applyBorder="1" applyAlignment="1" applyProtection="1">
      <alignment horizontal="center" vertical="center" wrapText="1"/>
    </xf>
    <xf numFmtId="167" fontId="5" fillId="17" borderId="11" xfId="0" applyNumberFormat="1" applyFont="1" applyFill="1" applyBorder="1" applyAlignment="1" applyProtection="1">
      <alignment horizontal="center" vertical="center" wrapText="1"/>
    </xf>
    <xf numFmtId="167" fontId="5" fillId="17" borderId="18" xfId="0" applyNumberFormat="1" applyFont="1" applyFill="1" applyBorder="1" applyAlignment="1" applyProtection="1">
      <alignment horizontal="center" vertical="center" wrapText="1"/>
    </xf>
    <xf numFmtId="167" fontId="5" fillId="14" borderId="6" xfId="0" applyNumberFormat="1" applyFont="1" applyFill="1" applyBorder="1" applyAlignment="1" applyProtection="1">
      <alignment horizontal="center" vertical="center"/>
    </xf>
    <xf numFmtId="167" fontId="5" fillId="14" borderId="16" xfId="0" applyNumberFormat="1" applyFont="1" applyFill="1" applyBorder="1" applyAlignment="1" applyProtection="1">
      <alignment horizontal="center" vertical="center"/>
    </xf>
    <xf numFmtId="166" fontId="5" fillId="14" borderId="18" xfId="0" applyNumberFormat="1" applyFont="1" applyFill="1" applyBorder="1" applyAlignment="1" applyProtection="1">
      <alignment horizontal="center" vertical="center" wrapText="1"/>
    </xf>
    <xf numFmtId="167" fontId="5" fillId="23" borderId="53" xfId="0" applyNumberFormat="1" applyFont="1" applyFill="1" applyBorder="1" applyAlignment="1" applyProtection="1">
      <alignment horizontal="center" vertical="center"/>
    </xf>
    <xf numFmtId="167" fontId="5" fillId="23" borderId="54" xfId="0" applyNumberFormat="1" applyFont="1" applyFill="1" applyBorder="1" applyAlignment="1" applyProtection="1">
      <alignment horizontal="center" vertical="center"/>
    </xf>
    <xf numFmtId="167" fontId="5" fillId="23" borderId="55" xfId="0" applyNumberFormat="1" applyFont="1" applyFill="1" applyBorder="1" applyAlignment="1" applyProtection="1">
      <alignment horizontal="center" vertical="center"/>
    </xf>
    <xf numFmtId="167" fontId="5" fillId="23" borderId="75" xfId="0" applyNumberFormat="1" applyFont="1" applyFill="1" applyBorder="1" applyAlignment="1" applyProtection="1">
      <alignment horizontal="center" vertical="center"/>
    </xf>
    <xf numFmtId="167" fontId="5" fillId="23" borderId="3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  <color rgb="FFFF0000"/>
      <color rgb="FFFFFF00"/>
      <color rgb="FFE6B8B7"/>
      <color rgb="FFFCD5B4"/>
      <color rgb="FFFABF8F"/>
      <color rgb="FFBFBFB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Summary'!$AD$15:$AD$36</c:f>
              <c:numCache>
                <c:formatCode>\$\ #,##0.00</c:formatCode>
                <c:ptCount val="22"/>
                <c:pt idx="0">
                  <c:v>188439015</c:v>
                </c:pt>
                <c:pt idx="1">
                  <c:v>166485429</c:v>
                </c:pt>
                <c:pt idx="2">
                  <c:v>160024816</c:v>
                </c:pt>
                <c:pt idx="3">
                  <c:v>148651341</c:v>
                </c:pt>
                <c:pt idx="4">
                  <c:v>142292942</c:v>
                </c:pt>
                <c:pt idx="5">
                  <c:v>139468272</c:v>
                </c:pt>
                <c:pt idx="6">
                  <c:v>134287834</c:v>
                </c:pt>
                <c:pt idx="7">
                  <c:v>109155463</c:v>
                </c:pt>
                <c:pt idx="8">
                  <c:v>95456227</c:v>
                </c:pt>
                <c:pt idx="9">
                  <c:v>89612660</c:v>
                </c:pt>
                <c:pt idx="10">
                  <c:v>82445963</c:v>
                </c:pt>
                <c:pt idx="11">
                  <c:v>79148884</c:v>
                </c:pt>
                <c:pt idx="12">
                  <c:v>75946247</c:v>
                </c:pt>
                <c:pt idx="13">
                  <c:v>67865037</c:v>
                </c:pt>
                <c:pt idx="14">
                  <c:v>67839850</c:v>
                </c:pt>
                <c:pt idx="15">
                  <c:v>58565279</c:v>
                </c:pt>
                <c:pt idx="16">
                  <c:v>39966038</c:v>
                </c:pt>
                <c:pt idx="17">
                  <c:v>34243625</c:v>
                </c:pt>
                <c:pt idx="18">
                  <c:v>16427125</c:v>
                </c:pt>
                <c:pt idx="19">
                  <c:v>5754025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B-422B-973B-327B498BD416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Summary'!$AE$15:$AE$36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B-422B-973B-327B498B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9000"/>
        <c:axId val="418299392"/>
      </c:areaChart>
      <c:catAx>
        <c:axId val="41829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392"/>
        <c:crosses val="autoZero"/>
        <c:auto val="1"/>
        <c:lblAlgn val="ctr"/>
        <c:lblOffset val="100"/>
        <c:noMultiLvlLbl val="0"/>
      </c:catAx>
      <c:valAx>
        <c:axId val="4182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9000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Summary'!$AF$15:$AF$36</c:f>
              <c:numCache>
                <c:formatCode>\$\ #,##0.00</c:formatCode>
                <c:ptCount val="22"/>
                <c:pt idx="0">
                  <c:v>1246464424</c:v>
                </c:pt>
                <c:pt idx="1">
                  <c:v>1174526693</c:v>
                </c:pt>
                <c:pt idx="2">
                  <c:v>1070383111</c:v>
                </c:pt>
                <c:pt idx="3">
                  <c:v>968288430</c:v>
                </c:pt>
                <c:pt idx="4">
                  <c:v>868142464</c:v>
                </c:pt>
                <c:pt idx="5">
                  <c:v>766379430</c:v>
                </c:pt>
                <c:pt idx="6">
                  <c:v>665203700</c:v>
                </c:pt>
                <c:pt idx="7">
                  <c:v>585170628</c:v>
                </c:pt>
                <c:pt idx="8">
                  <c:v>515397945</c:v>
                </c:pt>
                <c:pt idx="9">
                  <c:v>448322820</c:v>
                </c:pt>
                <c:pt idx="10">
                  <c:v>385375967</c:v>
                </c:pt>
                <c:pt idx="11">
                  <c:v>322803298</c:v>
                </c:pt>
                <c:pt idx="12">
                  <c:v>260524614</c:v>
                </c:pt>
                <c:pt idx="13">
                  <c:v>203494474</c:v>
                </c:pt>
                <c:pt idx="14">
                  <c:v>143762427</c:v>
                </c:pt>
                <c:pt idx="15">
                  <c:v>90735000</c:v>
                </c:pt>
                <c:pt idx="16">
                  <c:v>54060000</c:v>
                </c:pt>
                <c:pt idx="17">
                  <c:v>21560000</c:v>
                </c:pt>
                <c:pt idx="18">
                  <c:v>5655000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1-49D4-85D1-CDD96915DC6D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</c:numCache>
            </c:numRef>
          </c:cat>
          <c:val>
            <c:numRef>
              <c:f>'CAPITAL Debt Summary'!$AG$15:$AG$36</c:f>
              <c:numCache>
                <c:formatCode>\$\ 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1-49D4-85D1-CDD96915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97432"/>
        <c:axId val="418297824"/>
      </c:areaChart>
      <c:catAx>
        <c:axId val="41829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824"/>
        <c:crosses val="autoZero"/>
        <c:auto val="1"/>
        <c:lblAlgn val="ctr"/>
        <c:lblOffset val="100"/>
        <c:noMultiLvlLbl val="0"/>
      </c:catAx>
      <c:valAx>
        <c:axId val="41829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29743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1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748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748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3:Q94"/>
  <sheetViews>
    <sheetView tabSelected="1" zoomScale="80" zoomScaleNormal="80" workbookViewId="0"/>
  </sheetViews>
  <sheetFormatPr defaultRowHeight="15" x14ac:dyDescent="0.25"/>
  <cols>
    <col min="1" max="1" width="9.140625" style="1" customWidth="1"/>
    <col min="2" max="2" width="30.7109375" style="1" customWidth="1"/>
    <col min="3" max="17" width="9.140625" style="1" customWidth="1"/>
  </cols>
  <sheetData>
    <row r="3" spans="1:17" ht="18.75" customHeight="1" x14ac:dyDescent="0.25">
      <c r="A3" s="394" t="s">
        <v>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2"/>
      <c r="O3" s="2"/>
      <c r="P3" s="2"/>
      <c r="Q3" s="2"/>
    </row>
    <row r="4" spans="1:17" ht="15.75" customHeight="1" x14ac:dyDescent="0.25">
      <c r="A4" s="393" t="s">
        <v>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"/>
      <c r="O4" s="3"/>
      <c r="P4" s="3"/>
      <c r="Q4" s="3"/>
    </row>
    <row r="8" spans="1:17" ht="15.75" customHeight="1" x14ac:dyDescent="0.25">
      <c r="B8" s="380" t="s">
        <v>2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</row>
    <row r="9" spans="1:17" x14ac:dyDescent="0.25">
      <c r="B9" s="395"/>
      <c r="C9" s="395"/>
      <c r="D9" s="395"/>
      <c r="E9" s="395"/>
      <c r="H9" s="382" t="s">
        <v>3</v>
      </c>
      <c r="I9" s="382"/>
      <c r="K9" s="382" t="s">
        <v>4</v>
      </c>
      <c r="L9" s="382"/>
    </row>
    <row r="10" spans="1:17" x14ac:dyDescent="0.25">
      <c r="B10" s="381" t="s">
        <v>5</v>
      </c>
      <c r="C10" s="381"/>
      <c r="D10" s="381"/>
      <c r="E10" s="381"/>
    </row>
    <row r="11" spans="1:17" x14ac:dyDescent="0.25">
      <c r="B11" s="384" t="s">
        <v>6</v>
      </c>
      <c r="C11" s="384"/>
      <c r="D11" s="384"/>
      <c r="E11" s="384"/>
      <c r="H11" s="385">
        <v>0</v>
      </c>
      <c r="I11" s="391"/>
      <c r="K11" s="385">
        <v>7.0097000000000007E-2</v>
      </c>
      <c r="L11" s="391"/>
    </row>
    <row r="12" spans="1:17" x14ac:dyDescent="0.25">
      <c r="B12" s="384" t="s">
        <v>7</v>
      </c>
      <c r="C12" s="384"/>
      <c r="D12" s="384"/>
      <c r="E12" s="384"/>
      <c r="H12" s="385">
        <v>0</v>
      </c>
      <c r="I12" s="391"/>
      <c r="K12" s="385">
        <v>5.1400000000000001E-2</v>
      </c>
      <c r="L12" s="391"/>
    </row>
    <row r="13" spans="1:17" x14ac:dyDescent="0.25">
      <c r="B13" s="1" t="s">
        <v>8</v>
      </c>
      <c r="G13" s="7"/>
      <c r="H13" s="385">
        <v>0</v>
      </c>
      <c r="I13" s="391"/>
      <c r="K13" s="385">
        <v>1.8574E-2</v>
      </c>
      <c r="L13" s="391"/>
    </row>
    <row r="14" spans="1:17" x14ac:dyDescent="0.25">
      <c r="B14" s="387"/>
      <c r="C14" s="387"/>
      <c r="D14" s="387"/>
      <c r="E14" s="387"/>
    </row>
    <row r="15" spans="1:17" x14ac:dyDescent="0.25">
      <c r="B15" s="381" t="s">
        <v>9</v>
      </c>
      <c r="C15" s="381"/>
      <c r="D15" s="381"/>
      <c r="E15" s="381"/>
    </row>
    <row r="16" spans="1:17" x14ac:dyDescent="0.25">
      <c r="B16" s="384" t="s">
        <v>10</v>
      </c>
      <c r="C16" s="384"/>
      <c r="D16" s="384"/>
      <c r="E16" s="384"/>
      <c r="G16" s="7"/>
      <c r="H16" s="385">
        <v>0</v>
      </c>
      <c r="I16" s="391"/>
      <c r="K16" s="385">
        <v>0.02</v>
      </c>
      <c r="L16" s="391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380" t="s">
        <v>11</v>
      </c>
      <c r="C19" s="380"/>
      <c r="D19" s="380"/>
      <c r="E19" s="380"/>
      <c r="F19" s="380"/>
      <c r="G19" s="380"/>
      <c r="H19" s="380"/>
      <c r="I19" s="380"/>
      <c r="J19" s="380"/>
      <c r="K19" s="380"/>
      <c r="L19" s="380"/>
    </row>
    <row r="20" spans="2:12" x14ac:dyDescent="0.25">
      <c r="B20" s="387"/>
      <c r="C20" s="387"/>
      <c r="D20" s="387"/>
      <c r="E20" s="387"/>
      <c r="F20" s="387"/>
      <c r="G20" s="387"/>
    </row>
    <row r="21" spans="2:12" x14ac:dyDescent="0.25">
      <c r="B21" s="384" t="s">
        <v>12</v>
      </c>
      <c r="C21" s="384"/>
      <c r="D21" s="384"/>
      <c r="E21" s="384"/>
      <c r="F21" s="384"/>
      <c r="G21" s="384"/>
      <c r="H21" s="388">
        <v>19</v>
      </c>
      <c r="I21" s="388"/>
    </row>
    <row r="22" spans="2:12" x14ac:dyDescent="0.25">
      <c r="B22" s="384" t="s">
        <v>13</v>
      </c>
      <c r="C22" s="384"/>
      <c r="D22" s="384"/>
      <c r="E22" s="384"/>
      <c r="F22" s="384"/>
      <c r="G22" s="384"/>
      <c r="H22" s="389">
        <v>589740467</v>
      </c>
      <c r="I22" s="389"/>
    </row>
    <row r="23" spans="2:12" x14ac:dyDescent="0.25">
      <c r="B23" s="390"/>
      <c r="C23" s="390"/>
      <c r="D23" s="390"/>
      <c r="E23" s="390"/>
      <c r="F23" s="390"/>
      <c r="G23" s="390"/>
    </row>
    <row r="24" spans="2:12" x14ac:dyDescent="0.25">
      <c r="B24" s="381" t="s">
        <v>14</v>
      </c>
      <c r="C24" s="381"/>
      <c r="D24" s="381"/>
      <c r="E24" s="381"/>
      <c r="F24" s="381"/>
      <c r="G24" s="381"/>
    </row>
    <row r="25" spans="2:12" x14ac:dyDescent="0.25">
      <c r="B25" s="384" t="s">
        <v>15</v>
      </c>
      <c r="C25" s="384"/>
      <c r="D25" s="384"/>
      <c r="E25" s="384"/>
      <c r="F25" s="384"/>
      <c r="G25" s="384"/>
      <c r="H25" s="388">
        <v>0</v>
      </c>
      <c r="I25" s="388"/>
    </row>
    <row r="26" spans="2:12" x14ac:dyDescent="0.25">
      <c r="B26" s="384" t="s">
        <v>16</v>
      </c>
      <c r="C26" s="384"/>
      <c r="D26" s="384"/>
      <c r="E26" s="384"/>
      <c r="F26" s="384"/>
      <c r="G26" s="384"/>
      <c r="H26" s="389">
        <v>0</v>
      </c>
      <c r="I26" s="389"/>
    </row>
    <row r="27" spans="2:12" x14ac:dyDescent="0.25">
      <c r="B27" s="384" t="s">
        <v>17</v>
      </c>
      <c r="C27" s="384"/>
      <c r="D27" s="384"/>
      <c r="E27" s="384"/>
      <c r="F27" s="384"/>
      <c r="G27" s="384"/>
      <c r="H27" s="389">
        <v>0</v>
      </c>
      <c r="I27" s="389"/>
    </row>
    <row r="29" spans="2:12" x14ac:dyDescent="0.25">
      <c r="B29" s="381" t="s">
        <v>18</v>
      </c>
      <c r="C29" s="381"/>
      <c r="D29" s="381"/>
      <c r="E29" s="381"/>
      <c r="F29" s="381"/>
      <c r="G29" s="381"/>
    </row>
    <row r="30" spans="2:12" x14ac:dyDescent="0.25">
      <c r="B30" s="384" t="s">
        <v>15</v>
      </c>
      <c r="C30" s="384"/>
      <c r="D30" s="384"/>
      <c r="E30" s="384"/>
      <c r="F30" s="384"/>
      <c r="G30" s="384"/>
      <c r="H30" s="388">
        <v>2</v>
      </c>
      <c r="I30" s="388"/>
    </row>
    <row r="31" spans="2:12" x14ac:dyDescent="0.25">
      <c r="B31" s="384" t="s">
        <v>16</v>
      </c>
      <c r="C31" s="384"/>
      <c r="D31" s="384"/>
      <c r="E31" s="384"/>
      <c r="F31" s="384"/>
      <c r="G31" s="384"/>
      <c r="H31" s="389">
        <v>11600000</v>
      </c>
      <c r="I31" s="389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380" t="s">
        <v>19</v>
      </c>
      <c r="C34" s="380"/>
      <c r="D34" s="380"/>
      <c r="E34" s="380"/>
      <c r="F34" s="380"/>
      <c r="G34" s="380"/>
      <c r="H34" s="380"/>
      <c r="I34" s="380"/>
      <c r="J34" s="380"/>
      <c r="K34" s="380"/>
      <c r="L34" s="380"/>
    </row>
    <row r="35" spans="2:16" ht="15.75" customHeight="1" x14ac:dyDescent="0.25">
      <c r="B35" s="12"/>
      <c r="C35" s="12"/>
      <c r="D35" s="12"/>
      <c r="E35" s="12"/>
      <c r="H35" s="382" t="s">
        <v>3</v>
      </c>
      <c r="I35" s="382"/>
      <c r="K35" s="382" t="s">
        <v>4</v>
      </c>
      <c r="L35" s="382"/>
    </row>
    <row r="36" spans="2:16" x14ac:dyDescent="0.25">
      <c r="B36" s="381" t="s">
        <v>20</v>
      </c>
      <c r="C36" s="381"/>
      <c r="D36" s="381"/>
      <c r="E36" s="381"/>
      <c r="F36" s="381"/>
      <c r="G36" s="381"/>
    </row>
    <row r="37" spans="2:16" x14ac:dyDescent="0.25">
      <c r="B37" s="384" t="s">
        <v>21</v>
      </c>
      <c r="C37" s="384"/>
      <c r="D37" s="384"/>
      <c r="E37" s="384"/>
      <c r="F37" s="384"/>
      <c r="G37" s="384"/>
      <c r="H37" s="388">
        <v>55</v>
      </c>
      <c r="I37" s="388"/>
      <c r="K37" s="388">
        <v>55</v>
      </c>
      <c r="L37" s="388"/>
    </row>
    <row r="38" spans="2:16" x14ac:dyDescent="0.25">
      <c r="B38" s="384" t="s">
        <v>22</v>
      </c>
      <c r="C38" s="384"/>
      <c r="D38" s="384"/>
      <c r="E38" s="384"/>
      <c r="F38" s="384"/>
      <c r="G38" s="384"/>
      <c r="H38" s="389">
        <v>496543269</v>
      </c>
      <c r="I38" s="389"/>
      <c r="K38" s="389">
        <v>498132342</v>
      </c>
      <c r="L38" s="389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392" t="s">
        <v>23</v>
      </c>
      <c r="C40" s="392"/>
      <c r="D40" s="392"/>
      <c r="E40" s="392"/>
      <c r="F40" s="392"/>
      <c r="G40" s="392"/>
    </row>
    <row r="41" spans="2:16" x14ac:dyDescent="0.25">
      <c r="B41" s="384" t="s">
        <v>21</v>
      </c>
      <c r="C41" s="384"/>
      <c r="D41" s="384"/>
      <c r="E41" s="384"/>
      <c r="F41" s="384"/>
      <c r="G41" s="384"/>
      <c r="H41" s="388">
        <v>52</v>
      </c>
      <c r="I41" s="388"/>
      <c r="K41" s="388">
        <v>52</v>
      </c>
      <c r="L41" s="388"/>
    </row>
    <row r="42" spans="2:16" x14ac:dyDescent="0.25">
      <c r="B42" s="384" t="s">
        <v>22</v>
      </c>
      <c r="C42" s="384"/>
      <c r="D42" s="384"/>
      <c r="E42" s="384"/>
      <c r="F42" s="384"/>
      <c r="G42" s="384"/>
      <c r="H42" s="389">
        <v>488383657</v>
      </c>
      <c r="I42" s="389"/>
      <c r="K42" s="389">
        <v>488438657</v>
      </c>
      <c r="L42" s="389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5" spans="2:16" ht="15.75" customHeight="1" x14ac:dyDescent="0.25">
      <c r="B45" s="380" t="s">
        <v>24</v>
      </c>
      <c r="C45" s="380"/>
      <c r="D45" s="380"/>
      <c r="E45" s="380"/>
      <c r="F45" s="380"/>
      <c r="G45" s="380"/>
      <c r="H45" s="380"/>
      <c r="I45" s="380"/>
      <c r="J45" s="380"/>
      <c r="K45" s="380"/>
      <c r="L45" s="380"/>
    </row>
    <row r="46" spans="2:16" x14ac:dyDescent="0.25">
      <c r="B46" s="381"/>
      <c r="C46" s="381"/>
      <c r="D46" s="381"/>
      <c r="E46" s="381"/>
      <c r="F46" s="381"/>
      <c r="G46" s="381"/>
      <c r="H46" s="382" t="s">
        <v>3</v>
      </c>
      <c r="I46" s="382"/>
      <c r="K46" s="382" t="s">
        <v>4</v>
      </c>
      <c r="L46" s="382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384" t="s">
        <v>25</v>
      </c>
      <c r="C48" s="384"/>
      <c r="D48" s="384"/>
      <c r="E48" s="384"/>
      <c r="F48" s="384"/>
      <c r="G48" s="384"/>
      <c r="H48" s="389">
        <v>45</v>
      </c>
      <c r="I48" s="389"/>
      <c r="K48" s="389">
        <v>45</v>
      </c>
      <c r="L48" s="389"/>
      <c r="M48" s="13"/>
      <c r="N48" s="13"/>
      <c r="O48" s="13"/>
      <c r="P48" s="13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3"/>
      <c r="N49" s="13"/>
      <c r="O49" s="13"/>
      <c r="P49" s="13"/>
    </row>
    <row r="50" spans="2:16" x14ac:dyDescent="0.25">
      <c r="M50" s="13"/>
      <c r="N50" s="13"/>
      <c r="O50" s="13"/>
      <c r="P50" s="13"/>
    </row>
    <row r="51" spans="2:16" ht="15.75" customHeight="1" x14ac:dyDescent="0.25">
      <c r="B51" s="380" t="s">
        <v>26</v>
      </c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13"/>
      <c r="N51" s="13"/>
      <c r="O51" s="13"/>
      <c r="P51" s="13"/>
    </row>
    <row r="52" spans="2:16" x14ac:dyDescent="0.25">
      <c r="B52" s="387"/>
      <c r="C52" s="387"/>
      <c r="D52" s="387"/>
      <c r="E52" s="387"/>
      <c r="F52" s="387"/>
      <c r="G52" s="387"/>
      <c r="M52" s="13"/>
      <c r="N52" s="13"/>
      <c r="O52" s="13"/>
      <c r="P52" s="13"/>
    </row>
    <row r="53" spans="2:16" x14ac:dyDescent="0.25">
      <c r="B53" s="384" t="s">
        <v>27</v>
      </c>
      <c r="C53" s="384"/>
      <c r="D53" s="384"/>
      <c r="E53" s="384"/>
      <c r="F53" s="384"/>
      <c r="G53" s="384"/>
      <c r="H53" s="385" t="s">
        <v>353</v>
      </c>
      <c r="I53" s="386"/>
      <c r="M53" s="13"/>
      <c r="N53" s="13"/>
      <c r="O53" s="13"/>
      <c r="P53" s="13"/>
    </row>
    <row r="54" spans="2:16" x14ac:dyDescent="0.25">
      <c r="B54" s="384" t="s">
        <v>28</v>
      </c>
      <c r="C54" s="384"/>
      <c r="D54" s="384"/>
      <c r="E54" s="384"/>
      <c r="F54" s="384"/>
      <c r="G54" s="384"/>
      <c r="H54" s="385" t="s">
        <v>353</v>
      </c>
      <c r="I54" s="386"/>
      <c r="M54" s="13"/>
      <c r="N54" s="13"/>
      <c r="O54" s="13"/>
      <c r="P54" s="13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3"/>
      <c r="N55" s="13"/>
      <c r="O55" s="13"/>
      <c r="P55" s="13"/>
    </row>
    <row r="56" spans="2:16" x14ac:dyDescent="0.25">
      <c r="M56" s="13"/>
      <c r="N56" s="13"/>
      <c r="O56" s="13"/>
      <c r="P56" s="13"/>
    </row>
    <row r="57" spans="2:16" x14ac:dyDescent="0.25">
      <c r="M57" s="13"/>
      <c r="N57" s="13"/>
      <c r="O57" s="13"/>
      <c r="P57" s="13"/>
    </row>
    <row r="58" spans="2:16" ht="15.75" customHeight="1" x14ac:dyDescent="0.25">
      <c r="B58" s="380" t="s">
        <v>29</v>
      </c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13"/>
      <c r="N58" s="13"/>
      <c r="O58" s="13"/>
      <c r="P58" s="13"/>
    </row>
    <row r="59" spans="2:16" x14ac:dyDescent="0.25">
      <c r="M59" s="13"/>
      <c r="N59" s="13"/>
      <c r="O59" s="13"/>
      <c r="P59" s="13"/>
    </row>
    <row r="60" spans="2:16" ht="15" customHeight="1" x14ac:dyDescent="0.25"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13"/>
      <c r="N60" s="13"/>
      <c r="O60" s="13"/>
      <c r="P60" s="13"/>
    </row>
    <row r="61" spans="2:16" x14ac:dyDescent="0.25">
      <c r="B61" s="383"/>
      <c r="C61" s="383"/>
      <c r="D61" s="383"/>
      <c r="E61" s="383"/>
      <c r="F61" s="383"/>
      <c r="G61" s="383"/>
      <c r="H61" s="383"/>
      <c r="I61" s="383"/>
      <c r="J61" s="383"/>
      <c r="K61" s="383"/>
      <c r="L61" s="383"/>
      <c r="M61" s="13"/>
      <c r="N61" s="13"/>
      <c r="O61" s="13"/>
      <c r="P61" s="13"/>
    </row>
    <row r="62" spans="2:16" x14ac:dyDescent="0.25">
      <c r="B62" s="383"/>
      <c r="C62" s="383"/>
      <c r="D62" s="383"/>
      <c r="E62" s="383"/>
      <c r="F62" s="383"/>
      <c r="G62" s="383"/>
      <c r="H62" s="383"/>
      <c r="I62" s="383"/>
      <c r="J62" s="383"/>
      <c r="K62" s="383"/>
      <c r="L62" s="383"/>
      <c r="M62" s="13"/>
      <c r="N62" s="13"/>
      <c r="O62" s="13"/>
      <c r="P62" s="13"/>
    </row>
    <row r="63" spans="2:16" x14ac:dyDescent="0.25">
      <c r="B63" s="383"/>
      <c r="C63" s="383"/>
      <c r="D63" s="383"/>
      <c r="E63" s="383"/>
      <c r="F63" s="383"/>
      <c r="G63" s="383"/>
      <c r="H63" s="383"/>
      <c r="I63" s="383"/>
      <c r="J63" s="383"/>
      <c r="K63" s="383"/>
      <c r="L63" s="383"/>
      <c r="M63" s="13"/>
      <c r="N63" s="13"/>
      <c r="O63" s="13"/>
      <c r="P63" s="13"/>
    </row>
    <row r="64" spans="2:16" x14ac:dyDescent="0.25"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13"/>
      <c r="N64" s="13"/>
      <c r="O64" s="13"/>
      <c r="P64" s="13"/>
    </row>
    <row r="65" spans="2:16" x14ac:dyDescent="0.25">
      <c r="B65" s="383"/>
      <c r="C65" s="383"/>
      <c r="D65" s="383"/>
      <c r="E65" s="383"/>
      <c r="F65" s="383"/>
      <c r="G65" s="383"/>
      <c r="H65" s="383"/>
      <c r="I65" s="383"/>
      <c r="J65" s="383"/>
      <c r="K65" s="383"/>
      <c r="L65" s="383"/>
      <c r="M65" s="13"/>
      <c r="N65" s="13"/>
      <c r="O65" s="13"/>
      <c r="P65" s="13"/>
    </row>
    <row r="66" spans="2:16" x14ac:dyDescent="0.25"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13"/>
      <c r="N66" s="13"/>
      <c r="O66" s="13"/>
      <c r="P66" s="13"/>
    </row>
    <row r="67" spans="2:16" x14ac:dyDescent="0.25"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13"/>
      <c r="N67" s="13"/>
      <c r="O67" s="13"/>
      <c r="P67" s="13"/>
    </row>
    <row r="68" spans="2:16" x14ac:dyDescent="0.25"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13"/>
      <c r="N68" s="13"/>
      <c r="O68" s="13"/>
      <c r="P68" s="13"/>
    </row>
    <row r="69" spans="2:16" x14ac:dyDescent="0.25"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13"/>
      <c r="N69" s="13"/>
      <c r="O69" s="13"/>
      <c r="P69" s="13"/>
    </row>
    <row r="70" spans="2:16" x14ac:dyDescent="0.25">
      <c r="B70" s="383"/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13"/>
      <c r="N70" s="13"/>
      <c r="O70" s="13"/>
      <c r="P70" s="13"/>
    </row>
    <row r="71" spans="2:16" x14ac:dyDescent="0.25"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13"/>
      <c r="N71" s="13"/>
      <c r="O71" s="13"/>
      <c r="P71" s="13"/>
    </row>
    <row r="72" spans="2:16" x14ac:dyDescent="0.25">
      <c r="B72" s="383"/>
      <c r="C72" s="383"/>
      <c r="D72" s="383"/>
      <c r="E72" s="383"/>
      <c r="F72" s="383"/>
      <c r="G72" s="383"/>
      <c r="H72" s="383"/>
      <c r="I72" s="383"/>
      <c r="J72" s="383"/>
      <c r="K72" s="383"/>
      <c r="L72" s="383"/>
      <c r="M72" s="13"/>
      <c r="N72" s="13"/>
      <c r="O72" s="13"/>
      <c r="P72" s="13"/>
    </row>
    <row r="73" spans="2:16" x14ac:dyDescent="0.25">
      <c r="B73" s="383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13"/>
      <c r="N73" s="13"/>
      <c r="O73" s="13"/>
      <c r="P73" s="13"/>
    </row>
    <row r="74" spans="2:16" x14ac:dyDescent="0.25"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13"/>
      <c r="N74" s="13"/>
      <c r="O74" s="13"/>
      <c r="P74" s="13"/>
    </row>
    <row r="75" spans="2:16" x14ac:dyDescent="0.25">
      <c r="B75" s="383"/>
      <c r="C75" s="383"/>
      <c r="D75" s="383"/>
      <c r="E75" s="383"/>
      <c r="F75" s="383"/>
      <c r="G75" s="383"/>
      <c r="H75" s="383"/>
      <c r="I75" s="383"/>
      <c r="J75" s="383"/>
      <c r="K75" s="383"/>
      <c r="L75" s="383"/>
      <c r="M75" s="13"/>
      <c r="N75" s="13"/>
      <c r="O75" s="13"/>
      <c r="P75" s="13"/>
    </row>
    <row r="76" spans="2:16" x14ac:dyDescent="0.25">
      <c r="B76" s="383"/>
      <c r="C76" s="383"/>
      <c r="D76" s="383"/>
      <c r="E76" s="383"/>
      <c r="F76" s="383"/>
      <c r="G76" s="383"/>
      <c r="H76" s="383"/>
      <c r="I76" s="383"/>
      <c r="J76" s="383"/>
      <c r="K76" s="383"/>
      <c r="L76" s="383"/>
      <c r="M76" s="13"/>
      <c r="N76" s="13"/>
      <c r="O76" s="13"/>
      <c r="P76" s="13"/>
    </row>
    <row r="77" spans="2:16" x14ac:dyDescent="0.25"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13"/>
      <c r="N77" s="13"/>
      <c r="O77" s="13"/>
      <c r="P77" s="13"/>
    </row>
    <row r="78" spans="2:16" x14ac:dyDescent="0.25">
      <c r="B78" s="383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13"/>
      <c r="N78" s="13"/>
      <c r="O78" s="13"/>
      <c r="P78" s="13"/>
    </row>
    <row r="79" spans="2:16" x14ac:dyDescent="0.25">
      <c r="B79" s="383"/>
      <c r="C79" s="383"/>
      <c r="D79" s="383"/>
      <c r="E79" s="383"/>
      <c r="F79" s="383"/>
      <c r="G79" s="383"/>
      <c r="H79" s="383"/>
      <c r="I79" s="383"/>
      <c r="J79" s="383"/>
      <c r="K79" s="383"/>
      <c r="L79" s="383"/>
    </row>
    <row r="80" spans="2:16" x14ac:dyDescent="0.25">
      <c r="B80" s="383"/>
      <c r="C80" s="383"/>
      <c r="D80" s="383"/>
      <c r="E80" s="383"/>
      <c r="F80" s="383"/>
      <c r="G80" s="383"/>
      <c r="H80" s="383"/>
      <c r="I80" s="383"/>
      <c r="J80" s="383"/>
      <c r="K80" s="383"/>
      <c r="L80" s="383"/>
    </row>
    <row r="81" spans="2:12" x14ac:dyDescent="0.25">
      <c r="B81" s="383"/>
      <c r="C81" s="383"/>
      <c r="D81" s="383"/>
      <c r="E81" s="383"/>
      <c r="F81" s="383"/>
      <c r="G81" s="383"/>
      <c r="H81" s="383"/>
      <c r="I81" s="383"/>
      <c r="J81" s="383"/>
      <c r="K81" s="383"/>
      <c r="L81" s="383"/>
    </row>
    <row r="82" spans="2:12" x14ac:dyDescent="0.25">
      <c r="B82" s="383"/>
      <c r="C82" s="383"/>
      <c r="D82" s="383"/>
      <c r="E82" s="383"/>
      <c r="F82" s="383"/>
      <c r="G82" s="383"/>
      <c r="H82" s="383"/>
      <c r="I82" s="383"/>
      <c r="J82" s="383"/>
      <c r="K82" s="383"/>
      <c r="L82" s="383"/>
    </row>
    <row r="83" spans="2:12" x14ac:dyDescent="0.25">
      <c r="B83" s="383"/>
      <c r="C83" s="383"/>
      <c r="D83" s="383"/>
      <c r="E83" s="383"/>
      <c r="F83" s="383"/>
      <c r="G83" s="383"/>
      <c r="H83" s="383"/>
      <c r="I83" s="383"/>
      <c r="J83" s="383"/>
      <c r="K83" s="383"/>
      <c r="L83" s="383"/>
    </row>
    <row r="84" spans="2:12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2:12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2:12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2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2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2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2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2:12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AA153"/>
  <sheetViews>
    <sheetView zoomScale="80" zoomScaleNormal="80" workbookViewId="0">
      <pane ySplit="8" topLeftCell="A29" activePane="bottomLeft" state="frozenSplit"/>
      <selection activeCell="B5" sqref="B5 A5:AP9"/>
      <selection pane="bottomLeft" activeCell="G42" sqref="G42"/>
    </sheetView>
  </sheetViews>
  <sheetFormatPr defaultColWidth="16.7109375" defaultRowHeight="15" x14ac:dyDescent="0.25"/>
  <cols>
    <col min="1" max="1" width="64.7109375" style="1" customWidth="1"/>
    <col min="2" max="26" width="16.7109375" style="1" customWidth="1"/>
    <col min="27" max="27" width="16.7109375" style="1" hidden="1" customWidth="1"/>
  </cols>
  <sheetData>
    <row r="1" spans="1:27" ht="16.5" customHeight="1" thickBot="1" x14ac:dyDescent="0.3">
      <c r="A1" s="14" t="s">
        <v>172</v>
      </c>
      <c r="AA1" s="1" t="s">
        <v>173</v>
      </c>
    </row>
    <row r="2" spans="1:27" ht="16.5" customHeight="1" thickBot="1" x14ac:dyDescent="0.3">
      <c r="A2" s="17" t="s">
        <v>31</v>
      </c>
      <c r="J2" s="464" t="s">
        <v>52</v>
      </c>
      <c r="K2" s="465"/>
      <c r="L2" s="284"/>
      <c r="M2" s="284"/>
      <c r="AA2" s="1" t="s">
        <v>174</v>
      </c>
    </row>
    <row r="3" spans="1:27" ht="15.75" customHeight="1" x14ac:dyDescent="0.25">
      <c r="A3" s="17"/>
      <c r="J3" s="285" t="s">
        <v>175</v>
      </c>
      <c r="K3" s="286">
        <v>0.05</v>
      </c>
      <c r="L3" s="284"/>
      <c r="M3" s="8"/>
    </row>
    <row r="4" spans="1:27" ht="15.75" customHeight="1" thickBot="1" x14ac:dyDescent="0.3">
      <c r="A4" s="18" t="s">
        <v>176</v>
      </c>
      <c r="J4" s="287" t="s">
        <v>177</v>
      </c>
      <c r="K4" s="288">
        <v>20</v>
      </c>
      <c r="L4"/>
      <c r="M4"/>
    </row>
    <row r="5" spans="1:27" ht="15.75" customHeight="1" thickBot="1" x14ac:dyDescent="0.3">
      <c r="A5" s="18"/>
    </row>
    <row r="6" spans="1:27" ht="15" customHeight="1" thickBot="1" x14ac:dyDescent="0.3">
      <c r="A6" s="616" t="s">
        <v>178</v>
      </c>
      <c r="B6" s="617"/>
      <c r="C6" s="617"/>
      <c r="D6" s="617"/>
      <c r="E6" s="617"/>
      <c r="F6" s="617"/>
      <c r="G6" s="618"/>
      <c r="H6" s="619" t="s">
        <v>179</v>
      </c>
      <c r="I6" s="620"/>
      <c r="J6" s="568" t="s">
        <v>3</v>
      </c>
      <c r="K6" s="570"/>
      <c r="L6" s="569" t="s">
        <v>4</v>
      </c>
      <c r="M6" s="570"/>
    </row>
    <row r="7" spans="1:27" ht="22.5" customHeight="1" x14ac:dyDescent="0.25">
      <c r="A7" s="621" t="s">
        <v>180</v>
      </c>
      <c r="B7" s="623" t="s">
        <v>181</v>
      </c>
      <c r="C7" s="625" t="s">
        <v>182</v>
      </c>
      <c r="D7" s="623" t="s">
        <v>183</v>
      </c>
      <c r="E7" s="625" t="s">
        <v>184</v>
      </c>
      <c r="F7" s="625" t="s">
        <v>185</v>
      </c>
      <c r="G7" s="629" t="s">
        <v>186</v>
      </c>
      <c r="H7" s="631" t="s">
        <v>187</v>
      </c>
      <c r="I7" s="633" t="s">
        <v>188</v>
      </c>
      <c r="J7" s="627" t="s">
        <v>52</v>
      </c>
      <c r="K7" s="610" t="s">
        <v>189</v>
      </c>
      <c r="L7" s="627" t="s">
        <v>52</v>
      </c>
      <c r="M7" s="610" t="s">
        <v>189</v>
      </c>
    </row>
    <row r="8" spans="1:27" ht="24.75" customHeight="1" thickBot="1" x14ac:dyDescent="0.3">
      <c r="A8" s="622"/>
      <c r="B8" s="624"/>
      <c r="C8" s="626"/>
      <c r="D8" s="624"/>
      <c r="E8" s="626"/>
      <c r="F8" s="626"/>
      <c r="G8" s="630"/>
      <c r="H8" s="632"/>
      <c r="I8" s="634"/>
      <c r="J8" s="628"/>
      <c r="K8" s="611"/>
      <c r="L8" s="628"/>
      <c r="M8" s="611"/>
    </row>
    <row r="9" spans="1:27" ht="20.100000000000001" customHeight="1" x14ac:dyDescent="0.3">
      <c r="A9" s="293" t="s">
        <v>190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</row>
    <row r="10" spans="1:27" ht="30" customHeight="1" x14ac:dyDescent="0.25">
      <c r="A10" s="1" t="s">
        <v>191</v>
      </c>
      <c r="B10" s="1" t="s">
        <v>192</v>
      </c>
      <c r="C10" s="1">
        <v>1</v>
      </c>
      <c r="D10" s="1" t="s">
        <v>174</v>
      </c>
      <c r="E10" s="1" t="s">
        <v>60</v>
      </c>
      <c r="F10" s="15">
        <v>245000000</v>
      </c>
      <c r="G10" s="15">
        <v>75000000</v>
      </c>
      <c r="H10" s="15">
        <v>0</v>
      </c>
    </row>
    <row r="11" spans="1:27" ht="30" customHeight="1" x14ac:dyDescent="0.25">
      <c r="A11" s="1" t="s">
        <v>193</v>
      </c>
      <c r="B11" s="1" t="s">
        <v>194</v>
      </c>
      <c r="C11" s="1">
        <v>2</v>
      </c>
      <c r="D11" s="1" t="s">
        <v>174</v>
      </c>
      <c r="E11" s="1" t="s">
        <v>50</v>
      </c>
      <c r="F11" s="15">
        <v>65000000</v>
      </c>
      <c r="G11" s="15">
        <v>65000000</v>
      </c>
      <c r="H11" s="15">
        <v>0</v>
      </c>
    </row>
    <row r="12" spans="1:27" ht="30" customHeight="1" x14ac:dyDescent="0.25">
      <c r="A12" s="1" t="s">
        <v>195</v>
      </c>
      <c r="B12" s="1" t="s">
        <v>196</v>
      </c>
      <c r="C12" s="1">
        <v>3</v>
      </c>
      <c r="D12" s="1" t="s">
        <v>174</v>
      </c>
      <c r="E12" s="1" t="s">
        <v>62</v>
      </c>
      <c r="F12" s="15">
        <v>25000000</v>
      </c>
      <c r="G12" s="15">
        <v>25000000</v>
      </c>
      <c r="H12" s="15">
        <v>0</v>
      </c>
    </row>
    <row r="13" spans="1:27" ht="30" customHeight="1" x14ac:dyDescent="0.25">
      <c r="A13" s="1" t="s">
        <v>197</v>
      </c>
      <c r="B13" s="1" t="s">
        <v>198</v>
      </c>
      <c r="C13" s="1">
        <v>4</v>
      </c>
      <c r="D13" s="1" t="s">
        <v>174</v>
      </c>
      <c r="E13" s="1" t="s">
        <v>60</v>
      </c>
      <c r="F13" s="15">
        <v>20000000</v>
      </c>
      <c r="G13" s="15">
        <v>20000000</v>
      </c>
      <c r="H13" s="15">
        <v>0</v>
      </c>
    </row>
    <row r="14" spans="1:27" ht="30" customHeight="1" x14ac:dyDescent="0.25">
      <c r="A14" s="1" t="s">
        <v>199</v>
      </c>
      <c r="B14" s="1" t="s">
        <v>200</v>
      </c>
      <c r="C14" s="1">
        <v>5</v>
      </c>
      <c r="D14" s="1" t="s">
        <v>174</v>
      </c>
      <c r="E14" s="1" t="s">
        <v>50</v>
      </c>
      <c r="F14" s="15">
        <v>50000000</v>
      </c>
      <c r="G14" s="15">
        <v>50000000</v>
      </c>
      <c r="H14" s="15">
        <v>0</v>
      </c>
    </row>
    <row r="15" spans="1:27" ht="30" customHeight="1" x14ac:dyDescent="0.25">
      <c r="A15" s="1" t="s">
        <v>201</v>
      </c>
      <c r="B15" s="1" t="s">
        <v>202</v>
      </c>
      <c r="C15" s="1">
        <v>6</v>
      </c>
      <c r="D15" s="1" t="s">
        <v>174</v>
      </c>
      <c r="E15" s="1" t="s">
        <v>62</v>
      </c>
      <c r="F15" s="15">
        <v>8100000</v>
      </c>
      <c r="G15" s="15">
        <v>8100000</v>
      </c>
      <c r="H15" s="15">
        <v>8100000</v>
      </c>
      <c r="I15" s="1" t="s">
        <v>174</v>
      </c>
      <c r="J15" s="15">
        <v>0</v>
      </c>
      <c r="K15" s="15">
        <v>0</v>
      </c>
      <c r="L15" s="15">
        <v>0</v>
      </c>
      <c r="M15" s="15">
        <v>8100000</v>
      </c>
    </row>
    <row r="16" spans="1:27" ht="20.100000000000001" customHeight="1" thickBot="1" x14ac:dyDescent="0.35">
      <c r="A16" s="291" t="s">
        <v>203</v>
      </c>
      <c r="B16" s="290"/>
      <c r="C16" s="290"/>
      <c r="D16" s="290"/>
      <c r="E16" s="290"/>
      <c r="F16" s="289">
        <f>SUM(F10:F15)</f>
        <v>413100000</v>
      </c>
      <c r="G16" s="289">
        <f>SUM(G10:G15)</f>
        <v>243100000</v>
      </c>
      <c r="H16" s="612">
        <f>SUM(H10:H15)</f>
        <v>8100000</v>
      </c>
      <c r="I16" s="613"/>
      <c r="J16" s="289">
        <f>SUM(J10:J15)</f>
        <v>0</v>
      </c>
      <c r="K16" s="289">
        <f>SUM(K10:K15)</f>
        <v>0</v>
      </c>
      <c r="L16" s="289">
        <f>SUM(L10:L15)</f>
        <v>0</v>
      </c>
      <c r="M16" s="289">
        <f>SUM(M10:M15)</f>
        <v>8100000</v>
      </c>
    </row>
    <row r="17" spans="1:13" ht="20.100000000000001" customHeight="1" thickTop="1" thickBot="1" x14ac:dyDescent="0.35">
      <c r="A17" s="293" t="s">
        <v>204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</row>
    <row r="18" spans="1:13" ht="30" customHeight="1" x14ac:dyDescent="0.25">
      <c r="A18" s="1" t="s">
        <v>205</v>
      </c>
      <c r="B18" s="1" t="s">
        <v>206</v>
      </c>
      <c r="C18" s="1">
        <v>1</v>
      </c>
      <c r="D18" s="1" t="s">
        <v>174</v>
      </c>
      <c r="E18" s="1" t="s">
        <v>65</v>
      </c>
      <c r="F18" s="15">
        <v>98000000</v>
      </c>
      <c r="G18" s="15">
        <v>73000000</v>
      </c>
      <c r="H18" s="15">
        <v>0</v>
      </c>
    </row>
    <row r="19" spans="1:13" ht="30" customHeight="1" x14ac:dyDescent="0.25">
      <c r="A19" s="1" t="s">
        <v>207</v>
      </c>
      <c r="B19" s="1" t="s">
        <v>208</v>
      </c>
      <c r="C19" s="1">
        <v>2</v>
      </c>
      <c r="D19" s="1" t="s">
        <v>174</v>
      </c>
      <c r="E19" s="1" t="s">
        <v>209</v>
      </c>
      <c r="F19" s="15">
        <v>12000000</v>
      </c>
      <c r="G19" s="15">
        <v>12000000</v>
      </c>
      <c r="H19" s="15">
        <v>0</v>
      </c>
    </row>
    <row r="20" spans="1:13" ht="30" customHeight="1" x14ac:dyDescent="0.25">
      <c r="A20" s="1" t="s">
        <v>210</v>
      </c>
      <c r="B20" s="1" t="s">
        <v>211</v>
      </c>
      <c r="C20" s="1">
        <v>3</v>
      </c>
      <c r="D20" s="1" t="s">
        <v>174</v>
      </c>
      <c r="E20" s="1" t="s">
        <v>66</v>
      </c>
      <c r="F20" s="15">
        <v>9000000</v>
      </c>
      <c r="G20" s="15">
        <v>9000000</v>
      </c>
      <c r="H20" s="15">
        <v>0</v>
      </c>
    </row>
    <row r="21" spans="1:13" ht="30" customHeight="1" x14ac:dyDescent="0.25">
      <c r="A21" s="1" t="s">
        <v>212</v>
      </c>
      <c r="B21" s="1" t="s">
        <v>213</v>
      </c>
      <c r="C21" s="1">
        <v>4</v>
      </c>
      <c r="D21" s="1" t="s">
        <v>174</v>
      </c>
      <c r="E21" s="1" t="s">
        <v>69</v>
      </c>
      <c r="F21" s="15">
        <v>3500000</v>
      </c>
      <c r="G21" s="15">
        <v>3500000</v>
      </c>
      <c r="H21" s="15">
        <v>3500000</v>
      </c>
      <c r="I21" s="1" t="s">
        <v>174</v>
      </c>
      <c r="J21" s="15">
        <v>0</v>
      </c>
      <c r="K21" s="15">
        <v>0</v>
      </c>
      <c r="L21" s="15">
        <v>0</v>
      </c>
      <c r="M21" s="15">
        <v>3500000</v>
      </c>
    </row>
    <row r="22" spans="1:13" ht="20.100000000000001" customHeight="1" x14ac:dyDescent="0.3">
      <c r="A22" s="291" t="s">
        <v>214</v>
      </c>
      <c r="B22" s="290"/>
      <c r="C22" s="290"/>
      <c r="D22" s="290"/>
      <c r="E22" s="290"/>
      <c r="F22" s="289">
        <f>SUM(F18:F21)</f>
        <v>122500000</v>
      </c>
      <c r="G22" s="289">
        <f>SUM(G18:G21)</f>
        <v>97500000</v>
      </c>
      <c r="H22" s="612">
        <f>SUM(H18:H21)</f>
        <v>3500000</v>
      </c>
      <c r="I22" s="613"/>
      <c r="J22" s="289">
        <f>SUM(J18:J21)</f>
        <v>0</v>
      </c>
      <c r="K22" s="289">
        <f>SUM(K18:K21)</f>
        <v>0</v>
      </c>
      <c r="L22" s="289">
        <f>SUM(L18:L21)</f>
        <v>0</v>
      </c>
      <c r="M22" s="289">
        <f>SUM(M18:M21)</f>
        <v>3500000</v>
      </c>
    </row>
    <row r="23" spans="1:13" ht="20.100000000000001" customHeight="1" x14ac:dyDescent="0.3">
      <c r="A23" s="293" t="s">
        <v>215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</row>
    <row r="24" spans="1:13" ht="30" customHeight="1" x14ac:dyDescent="0.25">
      <c r="A24" s="1" t="s">
        <v>216</v>
      </c>
      <c r="B24" s="1" t="s">
        <v>217</v>
      </c>
      <c r="C24" s="1">
        <v>1</v>
      </c>
      <c r="D24" s="1" t="s">
        <v>174</v>
      </c>
      <c r="E24" s="1" t="s">
        <v>71</v>
      </c>
      <c r="F24" s="15">
        <v>58000000</v>
      </c>
      <c r="G24" s="15">
        <v>58000000</v>
      </c>
      <c r="H24" s="15">
        <v>0</v>
      </c>
    </row>
    <row r="25" spans="1:13" ht="30" customHeight="1" x14ac:dyDescent="0.25">
      <c r="A25" s="1" t="s">
        <v>218</v>
      </c>
      <c r="B25" s="1" t="s">
        <v>219</v>
      </c>
      <c r="C25" s="1">
        <v>2</v>
      </c>
      <c r="D25" s="1" t="s">
        <v>174</v>
      </c>
      <c r="E25" s="1" t="s">
        <v>71</v>
      </c>
      <c r="F25" s="15">
        <v>20000000</v>
      </c>
      <c r="G25" s="15">
        <v>20000000</v>
      </c>
      <c r="H25" s="15">
        <v>0</v>
      </c>
    </row>
    <row r="26" spans="1:13" ht="20.100000000000001" customHeight="1" x14ac:dyDescent="0.3">
      <c r="A26" s="291" t="s">
        <v>220</v>
      </c>
      <c r="B26" s="290"/>
      <c r="C26" s="290"/>
      <c r="D26" s="290"/>
      <c r="E26" s="290"/>
      <c r="F26" s="289">
        <f>SUM(F24:F25)</f>
        <v>78000000</v>
      </c>
      <c r="G26" s="289">
        <f>SUM(G24:G25)</f>
        <v>78000000</v>
      </c>
      <c r="H26" s="612">
        <f>SUM(H24:H25)</f>
        <v>0</v>
      </c>
      <c r="I26" s="613"/>
      <c r="J26" s="289">
        <f>SUM(J24:J25)</f>
        <v>0</v>
      </c>
      <c r="K26" s="289">
        <f>SUM(K24:K25)</f>
        <v>0</v>
      </c>
      <c r="L26" s="289">
        <f>SUM(L24:L25)</f>
        <v>0</v>
      </c>
      <c r="M26" s="289">
        <f>SUM(M24:M25)</f>
        <v>0</v>
      </c>
    </row>
    <row r="27" spans="1:13" ht="20.100000000000001" customHeight="1" x14ac:dyDescent="0.3">
      <c r="A27" s="293" t="s">
        <v>221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</row>
    <row r="28" spans="1:13" ht="30" customHeight="1" x14ac:dyDescent="0.25">
      <c r="A28" s="1" t="s">
        <v>222</v>
      </c>
      <c r="B28" s="1" t="s">
        <v>223</v>
      </c>
      <c r="C28" s="1">
        <v>1</v>
      </c>
      <c r="D28" s="1" t="s">
        <v>174</v>
      </c>
      <c r="E28" s="1" t="s">
        <v>72</v>
      </c>
      <c r="F28" s="15">
        <v>37600000</v>
      </c>
      <c r="G28" s="15">
        <v>37600000</v>
      </c>
      <c r="H28" s="15">
        <v>0</v>
      </c>
    </row>
    <row r="29" spans="1:13" ht="20.100000000000001" customHeight="1" x14ac:dyDescent="0.3">
      <c r="A29" s="291" t="s">
        <v>224</v>
      </c>
      <c r="B29" s="290"/>
      <c r="C29" s="290"/>
      <c r="D29" s="290"/>
      <c r="E29" s="290"/>
      <c r="F29" s="289">
        <f>SUM(F28:F28)</f>
        <v>37600000</v>
      </c>
      <c r="G29" s="289">
        <f>SUM(G28:G28)</f>
        <v>37600000</v>
      </c>
      <c r="H29" s="612">
        <f>SUM(H28:H28)</f>
        <v>0</v>
      </c>
      <c r="I29" s="613"/>
      <c r="J29" s="289">
        <f>SUM(J28:J28)</f>
        <v>0</v>
      </c>
      <c r="K29" s="289">
        <f>SUM(K28:K28)</f>
        <v>0</v>
      </c>
      <c r="L29" s="289">
        <f>SUM(L28:L28)</f>
        <v>0</v>
      </c>
      <c r="M29" s="289">
        <f>SUM(M28:M28)</f>
        <v>0</v>
      </c>
    </row>
    <row r="30" spans="1:13" ht="20.100000000000001" customHeight="1" x14ac:dyDescent="0.3">
      <c r="A30" s="293" t="s">
        <v>225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</row>
    <row r="31" spans="1:13" ht="30" customHeight="1" x14ac:dyDescent="0.25">
      <c r="A31" s="1" t="s">
        <v>226</v>
      </c>
      <c r="B31" s="1" t="s">
        <v>227</v>
      </c>
      <c r="C31" s="1">
        <v>1</v>
      </c>
      <c r="D31" s="1" t="s">
        <v>174</v>
      </c>
      <c r="E31" s="1" t="s">
        <v>73</v>
      </c>
      <c r="F31" s="15">
        <v>46000000</v>
      </c>
      <c r="G31" s="15">
        <v>46000000</v>
      </c>
      <c r="H31" s="15">
        <v>0</v>
      </c>
    </row>
    <row r="32" spans="1:13" ht="20.100000000000001" customHeight="1" x14ac:dyDescent="0.3">
      <c r="A32" s="291" t="s">
        <v>228</v>
      </c>
      <c r="B32" s="290"/>
      <c r="C32" s="290"/>
      <c r="D32" s="290"/>
      <c r="E32" s="290"/>
      <c r="F32" s="289">
        <f>SUM(F31:F31)</f>
        <v>46000000</v>
      </c>
      <c r="G32" s="289">
        <f>SUM(G31:G31)</f>
        <v>46000000</v>
      </c>
      <c r="H32" s="612">
        <f>SUM(H31:H31)</f>
        <v>0</v>
      </c>
      <c r="I32" s="613"/>
      <c r="J32" s="289">
        <f>SUM(J31:J31)</f>
        <v>0</v>
      </c>
      <c r="K32" s="289">
        <f>SUM(K31:K31)</f>
        <v>0</v>
      </c>
      <c r="L32" s="289">
        <f>SUM(L31:L31)</f>
        <v>0</v>
      </c>
      <c r="M32" s="289">
        <f>SUM(M31:M31)</f>
        <v>0</v>
      </c>
    </row>
    <row r="33" spans="1:13" ht="20.100000000000001" customHeight="1" x14ac:dyDescent="0.3">
      <c r="A33" s="293" t="s">
        <v>229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</row>
    <row r="34" spans="1:13" ht="30" customHeight="1" x14ac:dyDescent="0.25">
      <c r="A34" s="1" t="s">
        <v>230</v>
      </c>
      <c r="B34" s="1" t="s">
        <v>231</v>
      </c>
      <c r="C34" s="1">
        <v>1</v>
      </c>
      <c r="D34" s="1" t="s">
        <v>174</v>
      </c>
      <c r="E34" s="1" t="s">
        <v>74</v>
      </c>
      <c r="F34" s="15">
        <v>17300000</v>
      </c>
      <c r="G34" s="15">
        <v>17300000</v>
      </c>
      <c r="H34" s="15">
        <v>0</v>
      </c>
    </row>
    <row r="35" spans="1:13" ht="30" customHeight="1" x14ac:dyDescent="0.25">
      <c r="A35" s="1" t="s">
        <v>232</v>
      </c>
      <c r="B35" s="1" t="s">
        <v>233</v>
      </c>
      <c r="C35" s="1">
        <v>2</v>
      </c>
      <c r="D35" s="1" t="s">
        <v>174</v>
      </c>
      <c r="E35" s="1" t="s">
        <v>74</v>
      </c>
      <c r="F35" s="15">
        <v>25000000</v>
      </c>
      <c r="G35" s="15">
        <v>25000000</v>
      </c>
      <c r="H35" s="15">
        <v>0</v>
      </c>
    </row>
    <row r="36" spans="1:13" ht="30" customHeight="1" x14ac:dyDescent="0.25">
      <c r="A36" s="1" t="s">
        <v>234</v>
      </c>
      <c r="B36" s="1" t="s">
        <v>235</v>
      </c>
      <c r="C36" s="1">
        <v>3</v>
      </c>
      <c r="D36" s="1" t="s">
        <v>174</v>
      </c>
      <c r="E36" s="1" t="s">
        <v>74</v>
      </c>
      <c r="F36" s="15">
        <v>7500000</v>
      </c>
      <c r="G36" s="15">
        <v>7500000</v>
      </c>
      <c r="H36" s="15">
        <v>0</v>
      </c>
    </row>
    <row r="37" spans="1:13" ht="20.100000000000001" customHeight="1" x14ac:dyDescent="0.3">
      <c r="A37" s="291" t="s">
        <v>236</v>
      </c>
      <c r="B37" s="290"/>
      <c r="C37" s="290"/>
      <c r="D37" s="290"/>
      <c r="E37" s="290"/>
      <c r="F37" s="289">
        <f>SUM(F34:F36)</f>
        <v>49800000</v>
      </c>
      <c r="G37" s="289">
        <f>SUM(G34:G36)</f>
        <v>49800000</v>
      </c>
      <c r="H37" s="612">
        <f>SUM(H34:H36)</f>
        <v>0</v>
      </c>
      <c r="I37" s="613"/>
      <c r="J37" s="289">
        <f>SUM(J34:J36)</f>
        <v>0</v>
      </c>
      <c r="K37" s="289">
        <f>SUM(K34:K36)</f>
        <v>0</v>
      </c>
      <c r="L37" s="289">
        <f>SUM(L34:L36)</f>
        <v>0</v>
      </c>
      <c r="M37" s="289">
        <f>SUM(M34:M36)</f>
        <v>0</v>
      </c>
    </row>
    <row r="38" spans="1:13" ht="20.100000000000001" customHeight="1" x14ac:dyDescent="0.3">
      <c r="A38" s="293" t="s">
        <v>237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</row>
    <row r="39" spans="1:13" ht="30" customHeight="1" x14ac:dyDescent="0.25">
      <c r="A39" s="1" t="s">
        <v>238</v>
      </c>
      <c r="B39" s="1" t="s">
        <v>239</v>
      </c>
      <c r="C39" s="1">
        <v>1</v>
      </c>
      <c r="D39" s="1" t="s">
        <v>174</v>
      </c>
      <c r="E39" s="1" t="s">
        <v>75</v>
      </c>
      <c r="F39" s="15">
        <v>13876142</v>
      </c>
      <c r="G39" s="15">
        <v>12876142</v>
      </c>
      <c r="H39" s="15">
        <v>0</v>
      </c>
    </row>
    <row r="40" spans="1:13" ht="30" customHeight="1" x14ac:dyDescent="0.25">
      <c r="A40" s="1" t="s">
        <v>240</v>
      </c>
      <c r="B40" s="1" t="s">
        <v>241</v>
      </c>
      <c r="C40" s="1">
        <v>2</v>
      </c>
      <c r="D40" s="1" t="s">
        <v>174</v>
      </c>
      <c r="E40" s="1" t="s">
        <v>75</v>
      </c>
      <c r="F40" s="15">
        <v>27434325</v>
      </c>
      <c r="G40" s="15">
        <v>24864325</v>
      </c>
      <c r="H40" s="15">
        <v>0</v>
      </c>
    </row>
    <row r="41" spans="1:13" ht="20.100000000000001" customHeight="1" x14ac:dyDescent="0.3">
      <c r="A41" s="291" t="s">
        <v>242</v>
      </c>
      <c r="B41" s="290"/>
      <c r="C41" s="290"/>
      <c r="D41" s="290"/>
      <c r="E41" s="290"/>
      <c r="F41" s="289">
        <f>SUM(F39:F40)</f>
        <v>41310467</v>
      </c>
      <c r="G41" s="289">
        <f>SUM(G39:G40)</f>
        <v>37740467</v>
      </c>
      <c r="H41" s="612">
        <f>SUM(H39:H40)</f>
        <v>0</v>
      </c>
      <c r="I41" s="613"/>
      <c r="J41" s="289">
        <f>SUM(J39:J40)</f>
        <v>0</v>
      </c>
      <c r="K41" s="289">
        <f>SUM(K39:K40)</f>
        <v>0</v>
      </c>
      <c r="L41" s="289">
        <f>SUM(L39:L40)</f>
        <v>0</v>
      </c>
      <c r="M41" s="289">
        <f>SUM(M39:M40)</f>
        <v>0</v>
      </c>
    </row>
    <row r="42" spans="1:13" ht="20.100000000000001" customHeight="1" x14ac:dyDescent="0.3">
      <c r="A42" s="294" t="s">
        <v>243</v>
      </c>
      <c r="B42" s="295"/>
      <c r="C42" s="295"/>
      <c r="D42" s="295"/>
      <c r="E42" s="295"/>
      <c r="F42" s="296">
        <f>SUM(F16,F22,F26,F29,F32,F37,F41)</f>
        <v>788310467</v>
      </c>
      <c r="G42" s="296">
        <f>SUM(G16,G22,G26,G29,G32,G37,G41)</f>
        <v>589740467</v>
      </c>
      <c r="H42" s="614">
        <f>SUM(H16,H22,H26,H29,H32,H37,H41)</f>
        <v>11600000</v>
      </c>
      <c r="I42" s="615"/>
      <c r="J42" s="296">
        <f>SUM(J16,J22,J26,J29,J32,J37,J41)</f>
        <v>0</v>
      </c>
      <c r="K42" s="296">
        <f>SUM(K16,K22,K26,K29,K32,K37,K41)</f>
        <v>0</v>
      </c>
      <c r="L42" s="296">
        <f>SUM(L16,L22,L26,L29,L32,L37,L41)</f>
        <v>0</v>
      </c>
      <c r="M42" s="296">
        <f>SUM(M16,M22,M26,M29,M32,M37,M41)</f>
        <v>11600000</v>
      </c>
    </row>
    <row r="43" spans="1:13" ht="15.75" customHeight="1" thickBo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6.5" customHeight="1" thickTop="1" thickBo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70" spans="1:13" ht="15.75" customHeight="1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6.5" customHeight="1" thickTop="1" thickBot="1" x14ac:dyDescent="0.3">
      <c r="A71"/>
      <c r="B71"/>
      <c r="C71"/>
      <c r="D71"/>
      <c r="E71"/>
      <c r="F71"/>
      <c r="G71"/>
      <c r="H71" s="609"/>
      <c r="I71" s="609"/>
      <c r="J71"/>
      <c r="K71"/>
      <c r="L71"/>
      <c r="M71"/>
    </row>
    <row r="97" spans="1:13" ht="15.75" customHeight="1" thickBo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6.5" customHeight="1" thickTop="1" thickBot="1" x14ac:dyDescent="0.3">
      <c r="A98"/>
      <c r="B98"/>
      <c r="C98"/>
      <c r="D98"/>
      <c r="E98"/>
      <c r="F98"/>
      <c r="G98"/>
      <c r="H98" s="609"/>
      <c r="I98" s="609"/>
      <c r="J98"/>
      <c r="K98"/>
      <c r="L98"/>
      <c r="M98"/>
    </row>
    <row r="124" spans="1:13" ht="15.75" customHeight="1" thickBo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6.5" customHeight="1" thickTop="1" thickBot="1" x14ac:dyDescent="0.3">
      <c r="A125"/>
      <c r="B125"/>
      <c r="C125"/>
      <c r="D125"/>
      <c r="E125"/>
      <c r="F125"/>
      <c r="G125"/>
      <c r="H125" s="609"/>
      <c r="I125" s="609"/>
      <c r="J125"/>
      <c r="K125"/>
      <c r="L125"/>
      <c r="M125"/>
    </row>
    <row r="151" spans="1:13" ht="15.75" customHeight="1" thickBo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 customHeight="1" thickTop="1" thickBot="1" x14ac:dyDescent="0.3">
      <c r="A152"/>
      <c r="B152"/>
      <c r="C152"/>
      <c r="D152"/>
      <c r="E152"/>
      <c r="F152"/>
      <c r="G152"/>
      <c r="H152" s="609"/>
      <c r="I152" s="609"/>
      <c r="J152"/>
      <c r="K152"/>
      <c r="L152"/>
      <c r="M152"/>
    </row>
    <row r="153" spans="1:13" ht="15.75" customHeight="1" thickBot="1" x14ac:dyDescent="0.3">
      <c r="A153"/>
      <c r="B153"/>
      <c r="C153"/>
      <c r="D153"/>
      <c r="E153"/>
      <c r="F153"/>
      <c r="G153"/>
      <c r="H153" s="609"/>
      <c r="I153" s="609"/>
      <c r="J153"/>
      <c r="K153"/>
      <c r="L153"/>
      <c r="M153"/>
    </row>
  </sheetData>
  <dataConsolidate/>
  <mergeCells count="31"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  <mergeCell ref="H125:I125"/>
    <mergeCell ref="H152:I152"/>
    <mergeCell ref="H153:I153"/>
    <mergeCell ref="M7:M8"/>
    <mergeCell ref="J2:K2"/>
    <mergeCell ref="H71:I71"/>
    <mergeCell ref="H98:I98"/>
    <mergeCell ref="H16:I16"/>
    <mergeCell ref="H22:I22"/>
    <mergeCell ref="H26:I26"/>
    <mergeCell ref="H29:I29"/>
    <mergeCell ref="H32:I32"/>
    <mergeCell ref="H37:I37"/>
    <mergeCell ref="H41:I41"/>
    <mergeCell ref="H42:I42"/>
  </mergeCells>
  <dataValidations count="2">
    <dataValidation type="list" allowBlank="1" showInputMessage="1" showErrorMessage="1" sqref="I100:I124 I19:I43 I46:I70 I73:I97 I127:I151 I9:I16" xr:uid="{00000000-0002-0000-0900-000000000000}">
      <formula1>$AA$1:$AA$2</formula1>
    </dataValidation>
    <dataValidation type="list" allowBlank="1" showInputMessage="1" showErrorMessage="1" sqref="M3" xr:uid="{00000000-0002-0000-0900-000006000000}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3"/>
  <sheetViews>
    <sheetView zoomScale="80" zoomScaleNormal="80" workbookViewId="0"/>
  </sheetViews>
  <sheetFormatPr defaultRowHeight="15" x14ac:dyDescent="0.25"/>
  <cols>
    <col min="1" max="1" width="10.28515625" style="1" customWidth="1"/>
    <col min="2" max="2" width="16.5703125" style="15" hidden="1" customWidth="1"/>
    <col min="3" max="3" width="22.140625" style="15" bestFit="1" customWidth="1"/>
    <col min="4" max="4" width="20.42578125" style="16" customWidth="1"/>
    <col min="5" max="5" width="15.5703125" style="15" customWidth="1"/>
    <col min="6" max="6" width="16.5703125" style="15" hidden="1" customWidth="1"/>
    <col min="7" max="7" width="16.42578125" style="15" bestFit="1" customWidth="1"/>
    <col min="8" max="8" width="7.140625" style="15" customWidth="1"/>
    <col min="9" max="9" width="16.42578125" style="15" bestFit="1" customWidth="1"/>
    <col min="10" max="10" width="20.42578125" style="16" customWidth="1"/>
    <col min="11" max="11" width="22.5703125" style="16" customWidth="1"/>
    <col min="12" max="12" width="6.28515625" style="15" customWidth="1"/>
    <col min="13" max="13" width="10" style="16" bestFit="1" customWidth="1"/>
    <col min="14" max="14" width="3" style="15" customWidth="1"/>
    <col min="15" max="15" width="16.5703125" style="15" hidden="1" customWidth="1"/>
    <col min="16" max="16" width="15.5703125" style="15" customWidth="1"/>
    <col min="17" max="17" width="7.140625" style="15" customWidth="1"/>
    <col min="18" max="18" width="16.42578125" style="15" bestFit="1" customWidth="1"/>
    <col min="19" max="19" width="20.42578125" style="16" customWidth="1"/>
    <col min="20" max="20" width="23.140625" style="16" customWidth="1"/>
    <col min="21" max="21" width="15.28515625" style="15" bestFit="1" customWidth="1"/>
    <col min="22" max="22" width="20" style="147" customWidth="1"/>
  </cols>
  <sheetData>
    <row r="1" spans="1:22" ht="15.75" customHeight="1" x14ac:dyDescent="0.25">
      <c r="A1" s="14" t="s">
        <v>244</v>
      </c>
    </row>
    <row r="2" spans="1:22" ht="15.75" customHeight="1" x14ac:dyDescent="0.25">
      <c r="A2" s="17" t="s">
        <v>31</v>
      </c>
    </row>
    <row r="3" spans="1:22" ht="15.75" customHeight="1" x14ac:dyDescent="0.25">
      <c r="A3" s="17"/>
    </row>
    <row r="4" spans="1:22" x14ac:dyDescent="0.25">
      <c r="A4" s="18" t="s">
        <v>245</v>
      </c>
    </row>
    <row r="5" spans="1:22" ht="15.75" customHeight="1" thickBot="1" x14ac:dyDescent="0.3"/>
    <row r="6" spans="1:22" ht="15" customHeight="1" thickBot="1" x14ac:dyDescent="0.3">
      <c r="A6" s="396"/>
      <c r="B6" s="466" t="s">
        <v>168</v>
      </c>
      <c r="C6" s="467"/>
      <c r="D6" s="638"/>
      <c r="E6" s="639"/>
      <c r="F6" s="401" t="s">
        <v>3</v>
      </c>
      <c r="G6" s="401"/>
      <c r="H6" s="401"/>
      <c r="I6" s="401"/>
      <c r="J6" s="635"/>
      <c r="K6" s="635"/>
      <c r="L6" s="401"/>
      <c r="M6" s="402"/>
      <c r="N6" s="297"/>
      <c r="O6" s="401" t="s">
        <v>4</v>
      </c>
      <c r="P6" s="401"/>
      <c r="Q6" s="401"/>
      <c r="R6" s="401"/>
      <c r="S6" s="635"/>
      <c r="T6" s="635"/>
      <c r="U6" s="401"/>
      <c r="V6" s="402"/>
    </row>
    <row r="7" spans="1:22" ht="15" customHeight="1" x14ac:dyDescent="0.25">
      <c r="A7" s="443"/>
      <c r="B7" s="640" t="s">
        <v>51</v>
      </c>
      <c r="C7" s="646" t="s">
        <v>246</v>
      </c>
      <c r="D7" s="642" t="s">
        <v>247</v>
      </c>
      <c r="E7" s="644" t="s">
        <v>189</v>
      </c>
      <c r="F7" s="652" t="s">
        <v>51</v>
      </c>
      <c r="G7" s="648" t="s">
        <v>52</v>
      </c>
      <c r="H7" s="649"/>
      <c r="I7" s="649"/>
      <c r="J7" s="650"/>
      <c r="K7" s="651"/>
      <c r="L7" s="636" t="s">
        <v>189</v>
      </c>
      <c r="M7" s="637"/>
      <c r="N7" s="298"/>
      <c r="O7" s="654" t="s">
        <v>51</v>
      </c>
      <c r="P7" s="648" t="s">
        <v>52</v>
      </c>
      <c r="Q7" s="649"/>
      <c r="R7" s="649"/>
      <c r="S7" s="650"/>
      <c r="T7" s="651"/>
      <c r="U7" s="636" t="s">
        <v>189</v>
      </c>
      <c r="V7" s="637"/>
    </row>
    <row r="8" spans="1:22" ht="45.75" customHeight="1" thickBot="1" x14ac:dyDescent="0.3">
      <c r="A8" s="397"/>
      <c r="B8" s="641"/>
      <c r="C8" s="647"/>
      <c r="D8" s="643"/>
      <c r="E8" s="645"/>
      <c r="F8" s="653"/>
      <c r="G8" s="299" t="s">
        <v>248</v>
      </c>
      <c r="H8" s="300" t="s">
        <v>249</v>
      </c>
      <c r="I8" s="300" t="s">
        <v>243</v>
      </c>
      <c r="J8" s="301" t="s">
        <v>247</v>
      </c>
      <c r="K8" s="302" t="s">
        <v>141</v>
      </c>
      <c r="L8" s="303" t="s">
        <v>243</v>
      </c>
      <c r="M8" s="304" t="s">
        <v>141</v>
      </c>
      <c r="N8" s="298"/>
      <c r="O8" s="655"/>
      <c r="P8" s="299" t="s">
        <v>248</v>
      </c>
      <c r="Q8" s="300" t="s">
        <v>249</v>
      </c>
      <c r="R8" s="300" t="s">
        <v>243</v>
      </c>
      <c r="S8" s="301" t="s">
        <v>247</v>
      </c>
      <c r="T8" s="302" t="s">
        <v>143</v>
      </c>
      <c r="U8" s="303" t="s">
        <v>243</v>
      </c>
      <c r="V8" s="304" t="s">
        <v>143</v>
      </c>
    </row>
    <row r="9" spans="1:22" x14ac:dyDescent="0.25">
      <c r="A9" s="238" t="s">
        <v>50</v>
      </c>
      <c r="B9" s="239">
        <v>201961310</v>
      </c>
      <c r="C9" s="305">
        <v>22513420</v>
      </c>
      <c r="D9" s="306">
        <f t="shared" ref="D9:D19" si="0">IF(B9 &gt; 0, C9/SUM(B9,C9), "")</f>
        <v>0.10029378362544417</v>
      </c>
      <c r="E9" s="239">
        <v>0</v>
      </c>
      <c r="F9" s="307">
        <v>203790358</v>
      </c>
      <c r="G9" s="305">
        <v>20864079</v>
      </c>
      <c r="H9" s="308">
        <v>0</v>
      </c>
      <c r="I9" s="308">
        <f t="shared" ref="I9:I18" si="1">SUM(G9:H9)</f>
        <v>20864079</v>
      </c>
      <c r="J9" s="309">
        <f t="shared" ref="J9:J19" si="2">IF(F9 &gt; 0, I9/SUM(F9,I9), "")</f>
        <v>9.2871875929163156E-2</v>
      </c>
      <c r="K9" s="155">
        <f t="shared" ref="K9:K19" si="3">IF($C9 &gt; 0, (I9-$C9)/$C9, "")</f>
        <v>-7.3260348716454454E-2</v>
      </c>
      <c r="L9" s="305">
        <v>0</v>
      </c>
      <c r="M9" s="155" t="str">
        <f t="shared" ref="M9:M19" si="4">IF($E9 &gt; 0, (L9-$E9)/$E9, "")</f>
        <v/>
      </c>
      <c r="N9" s="310"/>
      <c r="O9" s="239">
        <v>198962890</v>
      </c>
      <c r="P9" s="305">
        <v>20740449</v>
      </c>
      <c r="Q9" s="308">
        <v>0</v>
      </c>
      <c r="R9" s="308">
        <f t="shared" ref="R9:R18" si="5">SUM(P9:Q9)</f>
        <v>20740449</v>
      </c>
      <c r="S9" s="309">
        <f t="shared" ref="S9:S19" si="6">IF(O9 &gt; 0, R9/SUM(O9,R9), "")</f>
        <v>9.4402065505249336E-2</v>
      </c>
      <c r="T9" s="155">
        <f t="shared" ref="T9:T19" si="7">IF($C9 &gt; 0, (R9-$C9)/$C9, "")</f>
        <v>-7.8751740073254084E-2</v>
      </c>
      <c r="U9" s="305">
        <v>0</v>
      </c>
      <c r="V9" s="155" t="str">
        <f t="shared" ref="V9:V19" si="8">IF($E9 &gt; 0, (U9-$E9)/$E9, "")</f>
        <v/>
      </c>
    </row>
    <row r="10" spans="1:22" x14ac:dyDescent="0.25">
      <c r="A10" s="242" t="s">
        <v>54</v>
      </c>
      <c r="B10" s="67">
        <v>14047315</v>
      </c>
      <c r="C10" s="70">
        <v>404454</v>
      </c>
      <c r="D10" s="159">
        <f t="shared" si="0"/>
        <v>2.7986470030070366E-2</v>
      </c>
      <c r="E10" s="67">
        <v>0</v>
      </c>
      <c r="F10" s="240">
        <v>14542350</v>
      </c>
      <c r="G10" s="70">
        <v>0</v>
      </c>
      <c r="H10" s="158">
        <v>0</v>
      </c>
      <c r="I10" s="158">
        <f t="shared" si="1"/>
        <v>0</v>
      </c>
      <c r="J10" s="311">
        <f t="shared" si="2"/>
        <v>0</v>
      </c>
      <c r="K10" s="159">
        <f t="shared" si="3"/>
        <v>-1</v>
      </c>
      <c r="L10" s="70">
        <v>0</v>
      </c>
      <c r="M10" s="159" t="str">
        <f t="shared" si="4"/>
        <v/>
      </c>
      <c r="N10" s="251"/>
      <c r="O10" s="67">
        <v>15042686</v>
      </c>
      <c r="P10" s="70">
        <v>0</v>
      </c>
      <c r="Q10" s="158">
        <v>0</v>
      </c>
      <c r="R10" s="158">
        <f t="shared" si="5"/>
        <v>0</v>
      </c>
      <c r="S10" s="311">
        <f t="shared" si="6"/>
        <v>0</v>
      </c>
      <c r="T10" s="159">
        <f t="shared" si="7"/>
        <v>-1</v>
      </c>
      <c r="U10" s="70">
        <v>0</v>
      </c>
      <c r="V10" s="159" t="str">
        <f t="shared" si="8"/>
        <v/>
      </c>
    </row>
    <row r="11" spans="1:22" x14ac:dyDescent="0.25">
      <c r="A11" s="242" t="s">
        <v>55</v>
      </c>
      <c r="B11" s="67">
        <v>16059485</v>
      </c>
      <c r="C11" s="70">
        <v>1470030</v>
      </c>
      <c r="D11" s="159">
        <f t="shared" si="0"/>
        <v>8.3860277936953762E-2</v>
      </c>
      <c r="E11" s="67">
        <v>0</v>
      </c>
      <c r="F11" s="240">
        <v>16429759</v>
      </c>
      <c r="G11" s="70">
        <v>0</v>
      </c>
      <c r="H11" s="158">
        <v>0</v>
      </c>
      <c r="I11" s="158">
        <f t="shared" si="1"/>
        <v>0</v>
      </c>
      <c r="J11" s="311">
        <f t="shared" si="2"/>
        <v>0</v>
      </c>
      <c r="K11" s="159">
        <f t="shared" si="3"/>
        <v>-1</v>
      </c>
      <c r="L11" s="70">
        <v>0</v>
      </c>
      <c r="M11" s="159" t="str">
        <f t="shared" si="4"/>
        <v/>
      </c>
      <c r="N11" s="251"/>
      <c r="O11" s="67">
        <v>16526185</v>
      </c>
      <c r="P11" s="70">
        <v>0</v>
      </c>
      <c r="Q11" s="158">
        <v>0</v>
      </c>
      <c r="R11" s="158">
        <f t="shared" si="5"/>
        <v>0</v>
      </c>
      <c r="S11" s="311">
        <f t="shared" si="6"/>
        <v>0</v>
      </c>
      <c r="T11" s="159">
        <f t="shared" si="7"/>
        <v>-1</v>
      </c>
      <c r="U11" s="70">
        <v>0</v>
      </c>
      <c r="V11" s="159" t="str">
        <f t="shared" si="8"/>
        <v/>
      </c>
    </row>
    <row r="12" spans="1:22" x14ac:dyDescent="0.25">
      <c r="A12" s="242" t="s">
        <v>56</v>
      </c>
      <c r="B12" s="67">
        <v>18870523</v>
      </c>
      <c r="C12" s="70">
        <v>4888275</v>
      </c>
      <c r="D12" s="159">
        <f t="shared" si="0"/>
        <v>0.20574588832313823</v>
      </c>
      <c r="E12" s="67">
        <v>0</v>
      </c>
      <c r="F12" s="240">
        <v>19360789</v>
      </c>
      <c r="G12" s="70">
        <v>4181247</v>
      </c>
      <c r="H12" s="158">
        <v>0</v>
      </c>
      <c r="I12" s="158">
        <f t="shared" si="1"/>
        <v>4181247</v>
      </c>
      <c r="J12" s="311">
        <f t="shared" si="2"/>
        <v>0.17760770563769421</v>
      </c>
      <c r="K12" s="159">
        <f t="shared" si="3"/>
        <v>-0.14463752550746428</v>
      </c>
      <c r="L12" s="70">
        <v>0</v>
      </c>
      <c r="M12" s="159" t="str">
        <f t="shared" si="4"/>
        <v/>
      </c>
      <c r="N12" s="251"/>
      <c r="O12" s="67">
        <v>19608142</v>
      </c>
      <c r="P12" s="70">
        <v>4190132</v>
      </c>
      <c r="Q12" s="158">
        <v>0</v>
      </c>
      <c r="R12" s="158">
        <f t="shared" si="5"/>
        <v>4190132</v>
      </c>
      <c r="S12" s="311">
        <f t="shared" si="6"/>
        <v>0.1760687350687701</v>
      </c>
      <c r="T12" s="159">
        <f t="shared" si="7"/>
        <v>-0.14281991090926757</v>
      </c>
      <c r="U12" s="70">
        <v>0</v>
      </c>
      <c r="V12" s="159" t="str">
        <f t="shared" si="8"/>
        <v/>
      </c>
    </row>
    <row r="13" spans="1:22" x14ac:dyDescent="0.25">
      <c r="A13" s="242" t="s">
        <v>57</v>
      </c>
      <c r="B13" s="67">
        <v>111103662</v>
      </c>
      <c r="C13" s="70">
        <v>8151891</v>
      </c>
      <c r="D13" s="159">
        <f t="shared" si="0"/>
        <v>6.8356489865088299E-2</v>
      </c>
      <c r="E13" s="67">
        <v>0</v>
      </c>
      <c r="F13" s="240">
        <v>115932693</v>
      </c>
      <c r="G13" s="70">
        <v>6910541</v>
      </c>
      <c r="H13" s="158">
        <v>0</v>
      </c>
      <c r="I13" s="158">
        <f t="shared" si="1"/>
        <v>6910541</v>
      </c>
      <c r="J13" s="311">
        <f t="shared" si="2"/>
        <v>5.6254958250285078E-2</v>
      </c>
      <c r="K13" s="159">
        <f t="shared" si="3"/>
        <v>-0.15227755130680723</v>
      </c>
      <c r="L13" s="70">
        <v>0</v>
      </c>
      <c r="M13" s="159" t="str">
        <f t="shared" si="4"/>
        <v/>
      </c>
      <c r="N13" s="251"/>
      <c r="O13" s="67">
        <v>122110562</v>
      </c>
      <c r="P13" s="70">
        <v>6926049</v>
      </c>
      <c r="Q13" s="158">
        <v>0</v>
      </c>
      <c r="R13" s="158">
        <f t="shared" si="5"/>
        <v>6926049</v>
      </c>
      <c r="S13" s="311">
        <f t="shared" si="6"/>
        <v>5.3675069008128247E-2</v>
      </c>
      <c r="T13" s="159">
        <f t="shared" si="7"/>
        <v>-0.1503751706199212</v>
      </c>
      <c r="U13" s="70">
        <v>0</v>
      </c>
      <c r="V13" s="159" t="str">
        <f t="shared" si="8"/>
        <v/>
      </c>
    </row>
    <row r="14" spans="1:22" x14ac:dyDescent="0.25">
      <c r="A14" s="242" t="s">
        <v>58</v>
      </c>
      <c r="B14" s="67">
        <v>24873721</v>
      </c>
      <c r="C14" s="70">
        <v>3726522</v>
      </c>
      <c r="D14" s="159">
        <f t="shared" si="0"/>
        <v>0.13029686496020332</v>
      </c>
      <c r="E14" s="67">
        <v>0</v>
      </c>
      <c r="F14" s="240">
        <v>25351052</v>
      </c>
      <c r="G14" s="70">
        <v>1445375</v>
      </c>
      <c r="H14" s="158">
        <v>0</v>
      </c>
      <c r="I14" s="158">
        <f t="shared" si="1"/>
        <v>1445375</v>
      </c>
      <c r="J14" s="311">
        <f t="shared" si="2"/>
        <v>5.3939094193416158E-2</v>
      </c>
      <c r="K14" s="159">
        <f t="shared" si="3"/>
        <v>-0.61213834240076936</v>
      </c>
      <c r="L14" s="70">
        <v>0</v>
      </c>
      <c r="M14" s="159" t="str">
        <f t="shared" si="4"/>
        <v/>
      </c>
      <c r="N14" s="251"/>
      <c r="O14" s="67">
        <v>25266685</v>
      </c>
      <c r="P14" s="70">
        <v>1451375</v>
      </c>
      <c r="Q14" s="158">
        <v>0</v>
      </c>
      <c r="R14" s="158">
        <f t="shared" si="5"/>
        <v>1451375</v>
      </c>
      <c r="S14" s="311">
        <f t="shared" si="6"/>
        <v>5.4321870674742104E-2</v>
      </c>
      <c r="T14" s="159">
        <f t="shared" si="7"/>
        <v>-0.61052826200945542</v>
      </c>
      <c r="U14" s="70">
        <v>0</v>
      </c>
      <c r="V14" s="159" t="str">
        <f t="shared" si="8"/>
        <v/>
      </c>
    </row>
    <row r="15" spans="1:22" x14ac:dyDescent="0.25">
      <c r="A15" s="242" t="s">
        <v>59</v>
      </c>
      <c r="B15" s="67">
        <v>20890749</v>
      </c>
      <c r="C15" s="70">
        <v>2377458</v>
      </c>
      <c r="D15" s="159">
        <f t="shared" si="0"/>
        <v>0.10217624417730167</v>
      </c>
      <c r="E15" s="67">
        <v>0</v>
      </c>
      <c r="F15" s="240">
        <v>21280271</v>
      </c>
      <c r="G15" s="70">
        <v>1689180</v>
      </c>
      <c r="H15" s="158">
        <v>0</v>
      </c>
      <c r="I15" s="158">
        <f t="shared" si="1"/>
        <v>1689180</v>
      </c>
      <c r="J15" s="311">
        <f t="shared" si="2"/>
        <v>7.354028618272157E-2</v>
      </c>
      <c r="K15" s="159">
        <f t="shared" si="3"/>
        <v>-0.28950164419308355</v>
      </c>
      <c r="L15" s="70">
        <v>0</v>
      </c>
      <c r="M15" s="159" t="str">
        <f t="shared" si="4"/>
        <v/>
      </c>
      <c r="N15" s="251"/>
      <c r="O15" s="67">
        <v>21181815</v>
      </c>
      <c r="P15" s="70">
        <v>1702750</v>
      </c>
      <c r="Q15" s="158">
        <v>0</v>
      </c>
      <c r="R15" s="158">
        <f t="shared" si="5"/>
        <v>1702750</v>
      </c>
      <c r="S15" s="311">
        <f t="shared" si="6"/>
        <v>7.4406046171294926E-2</v>
      </c>
      <c r="T15" s="159">
        <f t="shared" si="7"/>
        <v>-0.28379386723130334</v>
      </c>
      <c r="U15" s="70">
        <v>0</v>
      </c>
      <c r="V15" s="159" t="str">
        <f t="shared" si="8"/>
        <v/>
      </c>
    </row>
    <row r="16" spans="1:22" x14ac:dyDescent="0.25">
      <c r="A16" s="242" t="s">
        <v>60</v>
      </c>
      <c r="B16" s="67">
        <v>122238873</v>
      </c>
      <c r="C16" s="70">
        <v>9437398</v>
      </c>
      <c r="D16" s="159">
        <f t="shared" si="0"/>
        <v>7.1671212499631001E-2</v>
      </c>
      <c r="E16" s="67">
        <v>0</v>
      </c>
      <c r="F16" s="240">
        <v>122238873</v>
      </c>
      <c r="G16" s="70">
        <v>7006738</v>
      </c>
      <c r="H16" s="158">
        <v>0</v>
      </c>
      <c r="I16" s="158">
        <f t="shared" si="1"/>
        <v>7006738</v>
      </c>
      <c r="J16" s="311">
        <f t="shared" si="2"/>
        <v>5.421257979893801E-2</v>
      </c>
      <c r="K16" s="159">
        <f t="shared" si="3"/>
        <v>-0.25755616113678792</v>
      </c>
      <c r="L16" s="70">
        <v>0</v>
      </c>
      <c r="M16" s="159" t="str">
        <f t="shared" si="4"/>
        <v/>
      </c>
      <c r="N16" s="251"/>
      <c r="O16" s="67">
        <v>124683650</v>
      </c>
      <c r="P16" s="70">
        <v>6982835</v>
      </c>
      <c r="Q16" s="158">
        <v>0</v>
      </c>
      <c r="R16" s="158">
        <f t="shared" si="5"/>
        <v>6982835</v>
      </c>
      <c r="S16" s="311">
        <f t="shared" si="6"/>
        <v>5.3034263047274328E-2</v>
      </c>
      <c r="T16" s="159">
        <f t="shared" si="7"/>
        <v>-0.26008895672302895</v>
      </c>
      <c r="U16" s="70">
        <v>0</v>
      </c>
      <c r="V16" s="159" t="str">
        <f t="shared" si="8"/>
        <v/>
      </c>
    </row>
    <row r="17" spans="1:22" x14ac:dyDescent="0.25">
      <c r="A17" s="242" t="s">
        <v>61</v>
      </c>
      <c r="B17" s="67">
        <v>4971250</v>
      </c>
      <c r="C17" s="70">
        <v>0</v>
      </c>
      <c r="D17" s="159">
        <f t="shared" si="0"/>
        <v>0</v>
      </c>
      <c r="E17" s="67">
        <v>0</v>
      </c>
      <c r="F17" s="240">
        <v>4971250</v>
      </c>
      <c r="G17" s="70">
        <v>0</v>
      </c>
      <c r="H17" s="158">
        <v>0</v>
      </c>
      <c r="I17" s="158">
        <f t="shared" si="1"/>
        <v>0</v>
      </c>
      <c r="J17" s="311">
        <f t="shared" si="2"/>
        <v>0</v>
      </c>
      <c r="K17" s="159" t="str">
        <f t="shared" si="3"/>
        <v/>
      </c>
      <c r="L17" s="70">
        <v>0</v>
      </c>
      <c r="M17" s="159" t="str">
        <f t="shared" si="4"/>
        <v/>
      </c>
      <c r="N17" s="251"/>
      <c r="O17" s="67">
        <v>5070675</v>
      </c>
      <c r="P17" s="70">
        <v>0</v>
      </c>
      <c r="Q17" s="158">
        <v>0</v>
      </c>
      <c r="R17" s="158">
        <f t="shared" si="5"/>
        <v>0</v>
      </c>
      <c r="S17" s="311">
        <f t="shared" si="6"/>
        <v>0</v>
      </c>
      <c r="T17" s="159" t="str">
        <f t="shared" si="7"/>
        <v/>
      </c>
      <c r="U17" s="70">
        <v>0</v>
      </c>
      <c r="V17" s="159" t="str">
        <f t="shared" si="8"/>
        <v/>
      </c>
    </row>
    <row r="18" spans="1:22" ht="15.75" customHeight="1" thickBot="1" x14ac:dyDescent="0.3">
      <c r="A18" s="242" t="s">
        <v>62</v>
      </c>
      <c r="B18" s="67">
        <v>0</v>
      </c>
      <c r="C18" s="70">
        <v>0</v>
      </c>
      <c r="D18" s="159" t="str">
        <f t="shared" si="0"/>
        <v/>
      </c>
      <c r="E18" s="67">
        <v>8100000</v>
      </c>
      <c r="F18" s="240">
        <v>0</v>
      </c>
      <c r="G18" s="70">
        <v>0</v>
      </c>
      <c r="H18" s="158">
        <v>0</v>
      </c>
      <c r="I18" s="158">
        <f t="shared" si="1"/>
        <v>0</v>
      </c>
      <c r="J18" s="311" t="str">
        <f t="shared" si="2"/>
        <v/>
      </c>
      <c r="K18" s="159" t="str">
        <f t="shared" si="3"/>
        <v/>
      </c>
      <c r="L18" s="70">
        <v>0</v>
      </c>
      <c r="M18" s="159">
        <f t="shared" si="4"/>
        <v>-1</v>
      </c>
      <c r="N18" s="251"/>
      <c r="O18" s="67">
        <v>0</v>
      </c>
      <c r="P18" s="70">
        <v>0</v>
      </c>
      <c r="Q18" s="158">
        <v>0</v>
      </c>
      <c r="R18" s="158">
        <f t="shared" si="5"/>
        <v>0</v>
      </c>
      <c r="S18" s="311" t="str">
        <f t="shared" si="6"/>
        <v/>
      </c>
      <c r="T18" s="159" t="str">
        <f t="shared" si="7"/>
        <v/>
      </c>
      <c r="U18" s="70">
        <v>8100000</v>
      </c>
      <c r="V18" s="159">
        <f t="shared" si="8"/>
        <v>0</v>
      </c>
    </row>
    <row r="19" spans="1:22" ht="15.75" customHeight="1" thickTop="1" x14ac:dyDescent="0.25">
      <c r="A19" s="243" t="s">
        <v>131</v>
      </c>
      <c r="B19" s="244">
        <f>SUM(B9:B18)</f>
        <v>535016888</v>
      </c>
      <c r="C19" s="245">
        <f>SUM(C9:C18)</f>
        <v>52969448</v>
      </c>
      <c r="D19" s="312">
        <f t="shared" si="0"/>
        <v>9.0086188669527181E-2</v>
      </c>
      <c r="E19" s="244">
        <f>SUM(E9:E18)</f>
        <v>8100000</v>
      </c>
      <c r="F19" s="246">
        <f>SUM(F9:F18)</f>
        <v>543897395</v>
      </c>
      <c r="G19" s="245">
        <f>SUM(G9:G18)</f>
        <v>42097160</v>
      </c>
      <c r="H19" s="247">
        <f>SUM(H9:H18)</f>
        <v>0</v>
      </c>
      <c r="I19" s="247">
        <f>SUM(I9:I18)</f>
        <v>42097160</v>
      </c>
      <c r="J19" s="313">
        <f t="shared" si="2"/>
        <v>7.1838824509214083E-2</v>
      </c>
      <c r="K19" s="312">
        <f t="shared" si="3"/>
        <v>-0.20525582973792741</v>
      </c>
      <c r="L19" s="245">
        <f>SUM(L9:L18)</f>
        <v>0</v>
      </c>
      <c r="M19" s="312">
        <f t="shared" si="4"/>
        <v>-1</v>
      </c>
      <c r="N19" s="314"/>
      <c r="O19" s="244">
        <f>SUM(O9:O18)</f>
        <v>548453290</v>
      </c>
      <c r="P19" s="245">
        <f>SUM(P9:P18)</f>
        <v>41993590</v>
      </c>
      <c r="Q19" s="247">
        <f>SUM(Q9:Q18)</f>
        <v>0</v>
      </c>
      <c r="R19" s="247">
        <f>SUM(R9:R18)</f>
        <v>41993590</v>
      </c>
      <c r="S19" s="313">
        <f t="shared" si="6"/>
        <v>7.1121707002668899E-2</v>
      </c>
      <c r="T19" s="312">
        <f t="shared" si="7"/>
        <v>-0.2072111078069003</v>
      </c>
      <c r="U19" s="245">
        <f>SUM(U9:U18)</f>
        <v>8100000</v>
      </c>
      <c r="V19" s="312">
        <f t="shared" si="8"/>
        <v>0</v>
      </c>
    </row>
    <row r="20" spans="1:22" x14ac:dyDescent="0.25">
      <c r="A20" s="250"/>
      <c r="B20" s="251"/>
      <c r="C20" s="252"/>
      <c r="D20" s="315"/>
      <c r="E20" s="251"/>
      <c r="F20" s="257"/>
      <c r="G20" s="252"/>
      <c r="H20" s="254"/>
      <c r="I20" s="254"/>
      <c r="J20" s="316"/>
      <c r="K20" s="281"/>
      <c r="L20" s="252"/>
      <c r="M20" s="281"/>
      <c r="N20" s="251"/>
      <c r="O20" s="251"/>
      <c r="P20" s="252"/>
      <c r="Q20" s="254"/>
      <c r="R20" s="254"/>
      <c r="S20" s="316"/>
      <c r="T20" s="281"/>
      <c r="U20" s="252"/>
      <c r="V20" s="281"/>
    </row>
    <row r="21" spans="1:22" x14ac:dyDescent="0.25">
      <c r="A21" s="242" t="s">
        <v>65</v>
      </c>
      <c r="B21" s="67">
        <v>222755871</v>
      </c>
      <c r="C21" s="70">
        <v>32133648</v>
      </c>
      <c r="D21" s="159">
        <f t="shared" ref="D21:D26" si="9">IF(B21 &gt; 0, C21/SUM(B21,C21), "")</f>
        <v>0.12606892635707001</v>
      </c>
      <c r="E21" s="67">
        <v>0</v>
      </c>
      <c r="F21" s="240">
        <v>225703687</v>
      </c>
      <c r="G21" s="70">
        <v>32152425</v>
      </c>
      <c r="H21" s="158">
        <v>0</v>
      </c>
      <c r="I21" s="158">
        <f>SUM(G21:H21)</f>
        <v>32152425</v>
      </c>
      <c r="J21" s="311">
        <f t="shared" ref="J21:J26" si="10">IF(F21 &gt; 0, I21/SUM(F21,I21), "")</f>
        <v>0.12469134336439541</v>
      </c>
      <c r="K21" s="159">
        <f t="shared" ref="K21:K26" si="11">IF($C21 &gt; 0, (I21-$C21)/$C21, "")</f>
        <v>5.84340750854058E-4</v>
      </c>
      <c r="L21" s="70">
        <v>0</v>
      </c>
      <c r="M21" s="159" t="str">
        <f t="shared" ref="M21:M26" si="12">IF($E21 &gt; 0, (L21-$E21)/$E21, "")</f>
        <v/>
      </c>
      <c r="N21" s="251"/>
      <c r="O21" s="67">
        <v>223527695</v>
      </c>
      <c r="P21" s="70">
        <v>29002950</v>
      </c>
      <c r="Q21" s="158">
        <v>0</v>
      </c>
      <c r="R21" s="158">
        <f>SUM(P21:Q21)</f>
        <v>29002950</v>
      </c>
      <c r="S21" s="311">
        <f t="shared" ref="S21:S26" si="13">IF(O21 &gt; 0, R21/SUM(O21,R21), "")</f>
        <v>0.1148492294865837</v>
      </c>
      <c r="T21" s="159">
        <f t="shared" ref="T21:T26" si="14">IF($C21 &gt; 0, (R21-$C21)/$C21, "")</f>
        <v>-9.7427406934936234E-2</v>
      </c>
      <c r="U21" s="70">
        <v>0</v>
      </c>
      <c r="V21" s="159" t="str">
        <f t="shared" ref="V21:V26" si="15">IF($E21 &gt; 0, (U21-$E21)/$E21, "")</f>
        <v/>
      </c>
    </row>
    <row r="22" spans="1:22" x14ac:dyDescent="0.25">
      <c r="A22" s="242" t="s">
        <v>66</v>
      </c>
      <c r="B22" s="67">
        <v>46730203</v>
      </c>
      <c r="C22" s="70">
        <v>3893513</v>
      </c>
      <c r="D22" s="159">
        <f t="shared" si="9"/>
        <v>7.6910849452458213E-2</v>
      </c>
      <c r="E22" s="67">
        <v>0</v>
      </c>
      <c r="F22" s="240">
        <v>47868690</v>
      </c>
      <c r="G22" s="70">
        <v>3892013</v>
      </c>
      <c r="H22" s="158">
        <v>0</v>
      </c>
      <c r="I22" s="158">
        <f>SUM(G22:H22)</f>
        <v>3892013</v>
      </c>
      <c r="J22" s="311">
        <f t="shared" si="10"/>
        <v>7.5192429283659462E-2</v>
      </c>
      <c r="K22" s="159">
        <f t="shared" si="11"/>
        <v>-3.8525619408487914E-4</v>
      </c>
      <c r="L22" s="70">
        <v>0</v>
      </c>
      <c r="M22" s="159" t="str">
        <f t="shared" si="12"/>
        <v/>
      </c>
      <c r="N22" s="251"/>
      <c r="O22" s="67">
        <v>48297564</v>
      </c>
      <c r="P22" s="70">
        <v>3891013</v>
      </c>
      <c r="Q22" s="158">
        <v>0</v>
      </c>
      <c r="R22" s="158">
        <f>SUM(P22:Q22)</f>
        <v>3891013</v>
      </c>
      <c r="S22" s="311">
        <f t="shared" si="13"/>
        <v>7.4556794296192441E-2</v>
      </c>
      <c r="T22" s="159">
        <f t="shared" si="14"/>
        <v>-6.4209365680813191E-4</v>
      </c>
      <c r="U22" s="70">
        <v>0</v>
      </c>
      <c r="V22" s="159" t="str">
        <f t="shared" si="15"/>
        <v/>
      </c>
    </row>
    <row r="23" spans="1:22" x14ac:dyDescent="0.25">
      <c r="A23" s="242" t="s">
        <v>67</v>
      </c>
      <c r="B23" s="67">
        <v>18056523</v>
      </c>
      <c r="C23" s="70">
        <v>0</v>
      </c>
      <c r="D23" s="159">
        <f t="shared" si="9"/>
        <v>0</v>
      </c>
      <c r="E23" s="67">
        <v>0</v>
      </c>
      <c r="F23" s="240">
        <v>18056523</v>
      </c>
      <c r="G23" s="70">
        <v>0</v>
      </c>
      <c r="H23" s="158">
        <v>0</v>
      </c>
      <c r="I23" s="158">
        <f>SUM(G23:H23)</f>
        <v>0</v>
      </c>
      <c r="J23" s="311">
        <f t="shared" si="10"/>
        <v>0</v>
      </c>
      <c r="K23" s="159" t="str">
        <f t="shared" si="11"/>
        <v/>
      </c>
      <c r="L23" s="70">
        <v>0</v>
      </c>
      <c r="M23" s="159" t="str">
        <f t="shared" si="12"/>
        <v/>
      </c>
      <c r="N23" s="251"/>
      <c r="O23" s="67">
        <v>18417653</v>
      </c>
      <c r="P23" s="70">
        <v>0</v>
      </c>
      <c r="Q23" s="158">
        <v>0</v>
      </c>
      <c r="R23" s="158">
        <f>SUM(P23:Q23)</f>
        <v>0</v>
      </c>
      <c r="S23" s="311">
        <f t="shared" si="13"/>
        <v>0</v>
      </c>
      <c r="T23" s="159" t="str">
        <f t="shared" si="14"/>
        <v/>
      </c>
      <c r="U23" s="70">
        <v>0</v>
      </c>
      <c r="V23" s="159" t="str">
        <f t="shared" si="15"/>
        <v/>
      </c>
    </row>
    <row r="24" spans="1:22" x14ac:dyDescent="0.25">
      <c r="A24" s="242" t="s">
        <v>69</v>
      </c>
      <c r="B24" s="67">
        <v>0</v>
      </c>
      <c r="C24" s="70">
        <v>0</v>
      </c>
      <c r="D24" s="159" t="str">
        <f t="shared" si="9"/>
        <v/>
      </c>
      <c r="E24" s="67">
        <v>3500000</v>
      </c>
      <c r="F24" s="240">
        <v>0</v>
      </c>
      <c r="G24" s="70">
        <v>0</v>
      </c>
      <c r="H24" s="158">
        <v>0</v>
      </c>
      <c r="I24" s="158">
        <f>SUM(G24:H24)</f>
        <v>0</v>
      </c>
      <c r="J24" s="311" t="str">
        <f t="shared" si="10"/>
        <v/>
      </c>
      <c r="K24" s="159" t="str">
        <f t="shared" si="11"/>
        <v/>
      </c>
      <c r="L24" s="70">
        <v>0</v>
      </c>
      <c r="M24" s="159">
        <f t="shared" si="12"/>
        <v>-1</v>
      </c>
      <c r="N24" s="251"/>
      <c r="O24" s="67">
        <v>0</v>
      </c>
      <c r="P24" s="70">
        <v>0</v>
      </c>
      <c r="Q24" s="158">
        <v>0</v>
      </c>
      <c r="R24" s="158">
        <f>SUM(P24:Q24)</f>
        <v>0</v>
      </c>
      <c r="S24" s="311" t="str">
        <f t="shared" si="13"/>
        <v/>
      </c>
      <c r="T24" s="159" t="str">
        <f t="shared" si="14"/>
        <v/>
      </c>
      <c r="U24" s="70">
        <v>3500000</v>
      </c>
      <c r="V24" s="159">
        <f t="shared" si="15"/>
        <v>0</v>
      </c>
    </row>
    <row r="25" spans="1:22" ht="15.75" customHeight="1" thickBot="1" x14ac:dyDescent="0.3">
      <c r="A25" s="242" t="s">
        <v>68</v>
      </c>
      <c r="B25" s="67">
        <v>43460880</v>
      </c>
      <c r="C25" s="70">
        <v>3038000</v>
      </c>
      <c r="D25" s="159">
        <f t="shared" si="9"/>
        <v>6.5334906991308173E-2</v>
      </c>
      <c r="E25" s="67">
        <v>0</v>
      </c>
      <c r="F25" s="240">
        <v>44501555</v>
      </c>
      <c r="G25" s="70">
        <v>3039750</v>
      </c>
      <c r="H25" s="158">
        <v>0</v>
      </c>
      <c r="I25" s="158">
        <f>SUM(G25:H25)</f>
        <v>3039750</v>
      </c>
      <c r="J25" s="311">
        <f t="shared" si="10"/>
        <v>6.3939136714905073E-2</v>
      </c>
      <c r="K25" s="159">
        <f t="shared" si="11"/>
        <v>5.76036866359447E-4</v>
      </c>
      <c r="L25" s="70">
        <v>0</v>
      </c>
      <c r="M25" s="159" t="str">
        <f t="shared" si="12"/>
        <v/>
      </c>
      <c r="N25" s="251"/>
      <c r="O25" s="67">
        <v>44856416</v>
      </c>
      <c r="P25" s="70">
        <v>3036000</v>
      </c>
      <c r="Q25" s="158">
        <v>0</v>
      </c>
      <c r="R25" s="158">
        <f>SUM(P25:Q25)</f>
        <v>3036000</v>
      </c>
      <c r="S25" s="311">
        <f t="shared" si="13"/>
        <v>6.339208278822267E-2</v>
      </c>
      <c r="T25" s="159">
        <f t="shared" si="14"/>
        <v>-6.583278472679394E-4</v>
      </c>
      <c r="U25" s="70">
        <v>0</v>
      </c>
      <c r="V25" s="159" t="str">
        <f t="shared" si="15"/>
        <v/>
      </c>
    </row>
    <row r="26" spans="1:22" ht="15.75" customHeight="1" thickTop="1" x14ac:dyDescent="0.25">
      <c r="A26" s="243" t="s">
        <v>132</v>
      </c>
      <c r="B26" s="244">
        <f>SUM(B21:B25)</f>
        <v>331003477</v>
      </c>
      <c r="C26" s="245">
        <f>SUM(C21:C25)</f>
        <v>39065161</v>
      </c>
      <c r="D26" s="312">
        <f t="shared" si="9"/>
        <v>0.10556193362162183</v>
      </c>
      <c r="E26" s="244">
        <f>SUM(E21:E25)</f>
        <v>3500000</v>
      </c>
      <c r="F26" s="246">
        <f>SUM(F21:F25)</f>
        <v>336130455</v>
      </c>
      <c r="G26" s="245">
        <f>SUM(G21:G25)</f>
        <v>39084188</v>
      </c>
      <c r="H26" s="247">
        <f>SUM(H21:H25)</f>
        <v>0</v>
      </c>
      <c r="I26" s="247">
        <f>SUM(I21:I25)</f>
        <v>39084188</v>
      </c>
      <c r="J26" s="313">
        <f t="shared" si="10"/>
        <v>0.10416487930083261</v>
      </c>
      <c r="K26" s="312">
        <f t="shared" si="11"/>
        <v>4.8705802082832833E-4</v>
      </c>
      <c r="L26" s="245">
        <f>SUM(L21:L25)</f>
        <v>0</v>
      </c>
      <c r="M26" s="312">
        <f t="shared" si="12"/>
        <v>-1</v>
      </c>
      <c r="N26" s="314"/>
      <c r="O26" s="244">
        <f>SUM(O21:O25)</f>
        <v>335099328</v>
      </c>
      <c r="P26" s="245">
        <f>SUM(P21:P25)</f>
        <v>35929963</v>
      </c>
      <c r="Q26" s="247">
        <f>SUM(Q21:Q25)</f>
        <v>0</v>
      </c>
      <c r="R26" s="247">
        <f>SUM(R21:R25)</f>
        <v>35929963</v>
      </c>
      <c r="S26" s="313">
        <f t="shared" si="13"/>
        <v>9.6838615903238751E-2</v>
      </c>
      <c r="T26" s="312">
        <f t="shared" si="14"/>
        <v>-8.0255601660005962E-2</v>
      </c>
      <c r="U26" s="245">
        <f>SUM(U21:U25)</f>
        <v>3500000</v>
      </c>
      <c r="V26" s="312">
        <f t="shared" si="15"/>
        <v>0</v>
      </c>
    </row>
    <row r="27" spans="1:22" x14ac:dyDescent="0.25">
      <c r="A27" s="250"/>
      <c r="B27" s="251"/>
      <c r="C27" s="252"/>
      <c r="D27" s="315"/>
      <c r="E27" s="251"/>
      <c r="F27" s="257"/>
      <c r="G27" s="252"/>
      <c r="H27" s="254"/>
      <c r="I27" s="254"/>
      <c r="J27" s="316"/>
      <c r="K27" s="281"/>
      <c r="L27" s="252"/>
      <c r="M27" s="281"/>
      <c r="N27" s="251"/>
      <c r="O27" s="251"/>
      <c r="P27" s="252"/>
      <c r="Q27" s="254"/>
      <c r="R27" s="254"/>
      <c r="S27" s="316"/>
      <c r="T27" s="281"/>
      <c r="U27" s="252"/>
      <c r="V27" s="281"/>
    </row>
    <row r="28" spans="1:22" x14ac:dyDescent="0.25">
      <c r="A28" s="242" t="s">
        <v>71</v>
      </c>
      <c r="B28" s="67">
        <v>134408873</v>
      </c>
      <c r="C28" s="70">
        <v>26261706</v>
      </c>
      <c r="D28" s="159">
        <f t="shared" ref="D28:D33" si="16">IF(B28 &gt; 0, C28/SUM(B28,C28), "")</f>
        <v>0.16345062153538389</v>
      </c>
      <c r="E28" s="67">
        <v>0</v>
      </c>
      <c r="F28" s="240">
        <v>135961593</v>
      </c>
      <c r="G28" s="70">
        <v>24739019</v>
      </c>
      <c r="H28" s="158">
        <v>0</v>
      </c>
      <c r="I28" s="158">
        <f>SUM(G28:H28)</f>
        <v>24739019</v>
      </c>
      <c r="J28" s="311">
        <f t="shared" ref="J28:J33" si="17">IF(F28 &gt; 0, I28/SUM(F28,I28), "")</f>
        <v>0.15394477153577985</v>
      </c>
      <c r="K28" s="159">
        <f t="shared" ref="K28:K33" si="18">IF($C28 &gt; 0, (I28-$C28)/$C28, "")</f>
        <v>-5.7981267477444157E-2</v>
      </c>
      <c r="L28" s="70">
        <v>0</v>
      </c>
      <c r="M28" s="159" t="str">
        <f t="shared" ref="M28:M33" si="19">IF($E28 &gt; 0, (L28-$E28)/$E28, "")</f>
        <v/>
      </c>
      <c r="N28" s="251"/>
      <c r="O28" s="67">
        <v>133010951</v>
      </c>
      <c r="P28" s="70">
        <v>24741019</v>
      </c>
      <c r="Q28" s="158">
        <v>0</v>
      </c>
      <c r="R28" s="158">
        <f>SUM(P28:Q28)</f>
        <v>24741019</v>
      </c>
      <c r="S28" s="311">
        <f t="shared" ref="S28:S33" si="20">IF(O28 &gt; 0, R28/SUM(O28,R28), "")</f>
        <v>0.1568349289077024</v>
      </c>
      <c r="T28" s="159">
        <f t="shared" ref="T28:T33" si="21">IF($C28 &gt; 0, (R28-$C28)/$C28, "")</f>
        <v>-5.7905110962707451E-2</v>
      </c>
      <c r="U28" s="70">
        <v>0</v>
      </c>
      <c r="V28" s="159" t="str">
        <f t="shared" ref="V28:V33" si="22">IF($E28 &gt; 0, (U28-$E28)/$E28, "")</f>
        <v/>
      </c>
    </row>
    <row r="29" spans="1:22" x14ac:dyDescent="0.25">
      <c r="A29" s="242" t="s">
        <v>72</v>
      </c>
      <c r="B29" s="67">
        <v>72063968</v>
      </c>
      <c r="C29" s="70">
        <v>15285628</v>
      </c>
      <c r="D29" s="159">
        <f t="shared" si="16"/>
        <v>0.17499368857985331</v>
      </c>
      <c r="E29" s="67">
        <v>15000000</v>
      </c>
      <c r="F29" s="240">
        <v>73824881</v>
      </c>
      <c r="G29" s="70">
        <v>11044480</v>
      </c>
      <c r="H29" s="158">
        <v>0</v>
      </c>
      <c r="I29" s="158">
        <f>SUM(G29:H29)</f>
        <v>11044480</v>
      </c>
      <c r="J29" s="311">
        <f t="shared" si="17"/>
        <v>0.13013506723586618</v>
      </c>
      <c r="K29" s="159">
        <f t="shared" si="18"/>
        <v>-0.27745984659576955</v>
      </c>
      <c r="L29" s="70">
        <v>0</v>
      </c>
      <c r="M29" s="159">
        <f t="shared" si="19"/>
        <v>-1</v>
      </c>
      <c r="N29" s="251"/>
      <c r="O29" s="67">
        <v>74498951</v>
      </c>
      <c r="P29" s="70">
        <v>11051288</v>
      </c>
      <c r="Q29" s="158">
        <v>0</v>
      </c>
      <c r="R29" s="158">
        <f>SUM(P29:Q29)</f>
        <v>11051288</v>
      </c>
      <c r="S29" s="311">
        <f t="shared" si="20"/>
        <v>0.1291789260810832</v>
      </c>
      <c r="T29" s="159">
        <f t="shared" si="21"/>
        <v>-0.27701446090405968</v>
      </c>
      <c r="U29" s="70">
        <v>0</v>
      </c>
      <c r="V29" s="159">
        <f t="shared" si="22"/>
        <v>-1</v>
      </c>
    </row>
    <row r="30" spans="1:22" x14ac:dyDescent="0.25">
      <c r="A30" s="242" t="s">
        <v>73</v>
      </c>
      <c r="B30" s="67">
        <v>48210149</v>
      </c>
      <c r="C30" s="70">
        <v>15054597</v>
      </c>
      <c r="D30" s="159">
        <f t="shared" si="16"/>
        <v>0.23796186583915155</v>
      </c>
      <c r="E30" s="67">
        <v>0</v>
      </c>
      <c r="F30" s="240">
        <v>49737680</v>
      </c>
      <c r="G30" s="70">
        <v>14377159</v>
      </c>
      <c r="H30" s="158">
        <v>0</v>
      </c>
      <c r="I30" s="158">
        <f>SUM(G30:H30)</f>
        <v>14377159</v>
      </c>
      <c r="J30" s="311">
        <f t="shared" si="17"/>
        <v>0.22424074089931037</v>
      </c>
      <c r="K30" s="159">
        <f t="shared" si="18"/>
        <v>-4.499874689438714E-2</v>
      </c>
      <c r="L30" s="70">
        <v>0</v>
      </c>
      <c r="M30" s="159" t="str">
        <f t="shared" si="19"/>
        <v/>
      </c>
      <c r="N30" s="251"/>
      <c r="O30" s="67">
        <v>51038023</v>
      </c>
      <c r="P30" s="70">
        <v>12317288</v>
      </c>
      <c r="Q30" s="158">
        <v>0</v>
      </c>
      <c r="R30" s="158">
        <f>SUM(P30:Q30)</f>
        <v>12317288</v>
      </c>
      <c r="S30" s="311">
        <f t="shared" si="20"/>
        <v>0.1944160293049465</v>
      </c>
      <c r="T30" s="159">
        <f t="shared" si="21"/>
        <v>-0.18182545836331587</v>
      </c>
      <c r="U30" s="70">
        <v>0</v>
      </c>
      <c r="V30" s="159" t="str">
        <f t="shared" si="22"/>
        <v/>
      </c>
    </row>
    <row r="31" spans="1:22" x14ac:dyDescent="0.25">
      <c r="A31" s="242" t="s">
        <v>74</v>
      </c>
      <c r="B31" s="67">
        <v>43561521</v>
      </c>
      <c r="C31" s="70">
        <v>6210108</v>
      </c>
      <c r="D31" s="159">
        <f t="shared" si="16"/>
        <v>0.12477204633989376</v>
      </c>
      <c r="E31" s="67">
        <v>12000000</v>
      </c>
      <c r="F31" s="240">
        <v>44463294</v>
      </c>
      <c r="G31" s="70">
        <v>6204550</v>
      </c>
      <c r="H31" s="158">
        <v>0</v>
      </c>
      <c r="I31" s="158">
        <f>SUM(G31:H31)</f>
        <v>6204550</v>
      </c>
      <c r="J31" s="311">
        <f t="shared" si="17"/>
        <v>0.12245537820792217</v>
      </c>
      <c r="K31" s="159">
        <f t="shared" si="18"/>
        <v>-8.9499248644306991E-4</v>
      </c>
      <c r="L31" s="70">
        <v>0</v>
      </c>
      <c r="M31" s="159">
        <f t="shared" si="19"/>
        <v>-1</v>
      </c>
      <c r="N31" s="251"/>
      <c r="O31" s="67">
        <v>44475375</v>
      </c>
      <c r="P31" s="70">
        <v>5507270</v>
      </c>
      <c r="Q31" s="158">
        <v>0</v>
      </c>
      <c r="R31" s="158">
        <f>SUM(P31:Q31)</f>
        <v>5507270</v>
      </c>
      <c r="S31" s="311">
        <f t="shared" si="20"/>
        <v>0.11018364474309032</v>
      </c>
      <c r="T31" s="159">
        <f t="shared" si="21"/>
        <v>-0.11317645361401123</v>
      </c>
      <c r="U31" s="70">
        <v>0</v>
      </c>
      <c r="V31" s="159">
        <f t="shared" si="22"/>
        <v>-1</v>
      </c>
    </row>
    <row r="32" spans="1:22" ht="15.75" customHeight="1" thickBot="1" x14ac:dyDescent="0.3">
      <c r="A32" s="242" t="s">
        <v>75</v>
      </c>
      <c r="B32" s="67">
        <v>229890923</v>
      </c>
      <c r="C32" s="70">
        <v>33592367</v>
      </c>
      <c r="D32" s="159">
        <f t="shared" si="16"/>
        <v>0.12749334881919835</v>
      </c>
      <c r="E32" s="67">
        <v>0</v>
      </c>
      <c r="F32" s="240">
        <v>234765496</v>
      </c>
      <c r="G32" s="70">
        <v>28938873</v>
      </c>
      <c r="H32" s="158">
        <v>0</v>
      </c>
      <c r="I32" s="158">
        <f>SUM(G32:H32)</f>
        <v>28938873</v>
      </c>
      <c r="J32" s="311">
        <f t="shared" si="17"/>
        <v>0.10973983142463598</v>
      </c>
      <c r="K32" s="159">
        <f t="shared" si="18"/>
        <v>-0.13852831507824381</v>
      </c>
      <c r="L32" s="70">
        <v>0</v>
      </c>
      <c r="M32" s="159" t="str">
        <f t="shared" si="19"/>
        <v/>
      </c>
      <c r="N32" s="251"/>
      <c r="O32" s="67">
        <v>235110368</v>
      </c>
      <c r="P32" s="70">
        <v>28484398</v>
      </c>
      <c r="Q32" s="158">
        <v>0</v>
      </c>
      <c r="R32" s="158">
        <f>SUM(P32:Q32)</f>
        <v>28484398</v>
      </c>
      <c r="S32" s="311">
        <f t="shared" si="20"/>
        <v>0.10806131863786704</v>
      </c>
      <c r="T32" s="159">
        <f t="shared" si="21"/>
        <v>-0.15205743018942369</v>
      </c>
      <c r="U32" s="70">
        <v>0</v>
      </c>
      <c r="V32" s="159" t="str">
        <f t="shared" si="22"/>
        <v/>
      </c>
    </row>
    <row r="33" spans="1:22" ht="15.75" customHeight="1" thickBot="1" x14ac:dyDescent="0.3">
      <c r="A33" s="317" t="s">
        <v>46</v>
      </c>
      <c r="B33" s="261">
        <f>SUM(B19,B26,B28:B32)</f>
        <v>1394155799</v>
      </c>
      <c r="C33" s="99">
        <f>SUM(C19,C26,C28:C32)</f>
        <v>188439015</v>
      </c>
      <c r="D33" s="188">
        <f t="shared" si="16"/>
        <v>0.119069652783533</v>
      </c>
      <c r="E33" s="261">
        <f>SUM(E19,E26,E28:E32)</f>
        <v>38600000</v>
      </c>
      <c r="F33" s="262">
        <f>SUM(F19,F26,F28:F32)</f>
        <v>1418780794</v>
      </c>
      <c r="G33" s="99">
        <f>SUM(G19,G26,G28:G32)</f>
        <v>166485429</v>
      </c>
      <c r="H33" s="263">
        <f>SUM(H19,H26,H28:H32)</f>
        <v>0</v>
      </c>
      <c r="I33" s="263">
        <f>SUM(I19,I26,I28:I32)</f>
        <v>166485429</v>
      </c>
      <c r="J33" s="318">
        <f t="shared" si="17"/>
        <v>0.10502048588718338</v>
      </c>
      <c r="K33" s="188">
        <f t="shared" si="18"/>
        <v>-0.1165023389662698</v>
      </c>
      <c r="L33" s="99">
        <f>SUM(L19,L26,L28:L32)</f>
        <v>0</v>
      </c>
      <c r="M33" s="188">
        <f t="shared" si="19"/>
        <v>-1</v>
      </c>
      <c r="N33" s="319"/>
      <c r="O33" s="261">
        <f>SUM(O19,O26,O28:O32)</f>
        <v>1421686286</v>
      </c>
      <c r="P33" s="99">
        <f>SUM(P19,P26,P28:P32)</f>
        <v>160024816</v>
      </c>
      <c r="Q33" s="263">
        <f>SUM(Q19,Q26,Q28:Q32)</f>
        <v>0</v>
      </c>
      <c r="R33" s="263">
        <f>SUM(R19,R26,R28:R32)</f>
        <v>160024816</v>
      </c>
      <c r="S33" s="318">
        <f t="shared" si="20"/>
        <v>0.1011719623119899</v>
      </c>
      <c r="T33" s="188">
        <f t="shared" si="21"/>
        <v>-0.15078724010524042</v>
      </c>
      <c r="U33" s="99">
        <f>SUM(U19,U26,U28:U32)</f>
        <v>11600000</v>
      </c>
      <c r="V33" s="188">
        <f t="shared" si="22"/>
        <v>-0.69948186528497414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5" sqref="B5 A5:AP9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6.140625" style="1" customWidth="1"/>
    <col min="2" max="2" width="15.5703125" style="1" customWidth="1"/>
    <col min="3" max="3" width="5.5703125" style="1" customWidth="1"/>
    <col min="4" max="4" width="16.5703125" style="1" customWidth="1"/>
    <col min="5" max="5" width="5.5703125" style="1" customWidth="1"/>
    <col min="6" max="6" width="15.5703125" style="1" customWidth="1"/>
    <col min="7" max="7" width="5.5703125" style="1" customWidth="1"/>
    <col min="8" max="8" width="16.5703125" style="1" customWidth="1"/>
    <col min="9" max="9" width="5.5703125" style="1" customWidth="1"/>
    <col min="10" max="10" width="15.5703125" style="1" customWidth="1"/>
    <col min="11" max="11" width="5.5703125" style="1" customWidth="1"/>
    <col min="12" max="12" width="16.5703125" style="1" customWidth="1"/>
    <col min="13" max="13" width="5.5703125" style="1" customWidth="1"/>
    <col min="14" max="14" width="15.5703125" style="1" customWidth="1"/>
    <col min="15" max="15" width="5.5703125" style="1" customWidth="1"/>
    <col min="16" max="16" width="16.5703125" style="1" customWidth="1"/>
    <col min="17" max="17" width="5.5703125" style="1" customWidth="1"/>
    <col min="18" max="18" width="15.5703125" style="1" customWidth="1"/>
    <col min="19" max="19" width="5.5703125" style="1" customWidth="1"/>
    <col min="20" max="20" width="16.5703125" style="1" customWidth="1"/>
    <col min="21" max="21" width="5.5703125" style="1" customWidth="1"/>
    <col min="22" max="22" width="14.5703125" style="1" customWidth="1"/>
    <col min="23" max="23" width="5.5703125" style="1" customWidth="1"/>
    <col min="24" max="24" width="15.5703125" style="1" customWidth="1"/>
    <col min="25" max="25" width="5.5703125" style="1" customWidth="1"/>
    <col min="26" max="26" width="15.5703125" style="1" customWidth="1"/>
    <col min="27" max="27" width="5.5703125" style="1" customWidth="1"/>
    <col min="28" max="28" width="16.5703125" style="1" customWidth="1"/>
    <col min="29" max="29" width="5.5703125" style="1" customWidth="1"/>
    <col min="30" max="30" width="11.42578125" style="1" customWidth="1"/>
    <col min="31" max="31" width="2.85546875" style="1" customWidth="1"/>
    <col min="32" max="32" width="12.42578125" style="1" customWidth="1"/>
    <col min="33" max="33" width="2.85546875" style="1" customWidth="1"/>
    <col min="34" max="37" width="9.140625" style="1" customWidth="1"/>
    <col min="38" max="38" width="9.140625" style="1" hidden="1" customWidth="1"/>
  </cols>
  <sheetData>
    <row r="1" spans="1:38" ht="15.75" customHeight="1" x14ac:dyDescent="0.25">
      <c r="A1" s="14" t="s">
        <v>250</v>
      </c>
      <c r="B1"/>
      <c r="AL1" s="1" t="s">
        <v>173</v>
      </c>
    </row>
    <row r="2" spans="1:38" ht="15.75" customHeight="1" x14ac:dyDescent="0.25">
      <c r="A2" s="17" t="s">
        <v>31</v>
      </c>
      <c r="AL2" s="1" t="s">
        <v>174</v>
      </c>
    </row>
    <row r="3" spans="1:38" ht="15.75" customHeight="1" x14ac:dyDescent="0.25">
      <c r="A3" s="17"/>
    </row>
    <row r="4" spans="1:38" x14ac:dyDescent="0.25">
      <c r="A4" s="18" t="s">
        <v>251</v>
      </c>
    </row>
    <row r="5" spans="1:38" ht="15.75" customHeight="1" thickBot="1" x14ac:dyDescent="0.3"/>
    <row r="6" spans="1:38" ht="15.75" customHeight="1" thickBot="1" x14ac:dyDescent="0.3">
      <c r="B6" s="464" t="s">
        <v>252</v>
      </c>
      <c r="C6" s="465"/>
      <c r="D6" s="284"/>
      <c r="E6" s="284"/>
    </row>
    <row r="7" spans="1:38" x14ac:dyDescent="0.25">
      <c r="B7" s="285" t="s">
        <v>175</v>
      </c>
      <c r="C7" s="155">
        <v>0.05</v>
      </c>
      <c r="D7" s="284"/>
      <c r="E7" s="8"/>
    </row>
    <row r="8" spans="1:38" ht="15.75" customHeight="1" thickBot="1" x14ac:dyDescent="0.3">
      <c r="B8" s="287" t="s">
        <v>177</v>
      </c>
      <c r="C8" s="288">
        <v>20</v>
      </c>
      <c r="D8"/>
      <c r="E8"/>
    </row>
    <row r="9" spans="1:38" ht="15.75" customHeight="1" thickBot="1" x14ac:dyDescent="0.3"/>
    <row r="10" spans="1:38" x14ac:dyDescent="0.25">
      <c r="A10" s="677" t="s">
        <v>253</v>
      </c>
      <c r="B10" s="656" t="s">
        <v>190</v>
      </c>
      <c r="C10" s="657"/>
      <c r="D10" s="657"/>
      <c r="E10" s="658"/>
      <c r="F10" s="656" t="s">
        <v>204</v>
      </c>
      <c r="G10" s="657"/>
      <c r="H10" s="657"/>
      <c r="I10" s="658"/>
      <c r="J10" s="656" t="s">
        <v>215</v>
      </c>
      <c r="K10" s="657"/>
      <c r="L10" s="657"/>
      <c r="M10" s="658"/>
      <c r="N10" s="656" t="s">
        <v>221</v>
      </c>
      <c r="O10" s="657"/>
      <c r="P10" s="657"/>
      <c r="Q10" s="658"/>
      <c r="R10" s="656" t="s">
        <v>225</v>
      </c>
      <c r="S10" s="657"/>
      <c r="T10" s="657"/>
      <c r="U10" s="658"/>
      <c r="V10" s="656" t="s">
        <v>229</v>
      </c>
      <c r="W10" s="657"/>
      <c r="X10" s="657"/>
      <c r="Y10" s="658"/>
      <c r="Z10" s="656" t="s">
        <v>237</v>
      </c>
      <c r="AA10" s="657"/>
      <c r="AB10" s="657"/>
      <c r="AC10" s="658"/>
      <c r="AD10" s="659" t="s">
        <v>254</v>
      </c>
      <c r="AE10" s="660"/>
      <c r="AF10" s="660"/>
      <c r="AG10" s="661"/>
    </row>
    <row r="11" spans="1:38" x14ac:dyDescent="0.25">
      <c r="A11" s="678"/>
      <c r="B11" s="671" t="s">
        <v>255</v>
      </c>
      <c r="C11" s="672"/>
      <c r="D11" s="673" t="s">
        <v>256</v>
      </c>
      <c r="E11" s="674"/>
      <c r="F11" s="671" t="s">
        <v>255</v>
      </c>
      <c r="G11" s="672"/>
      <c r="H11" s="673" t="s">
        <v>256</v>
      </c>
      <c r="I11" s="674"/>
      <c r="J11" s="671" t="s">
        <v>255</v>
      </c>
      <c r="K11" s="672"/>
      <c r="L11" s="673" t="s">
        <v>256</v>
      </c>
      <c r="M11" s="674"/>
      <c r="N11" s="671" t="s">
        <v>255</v>
      </c>
      <c r="O11" s="672"/>
      <c r="P11" s="673" t="s">
        <v>256</v>
      </c>
      <c r="Q11" s="674"/>
      <c r="R11" s="671" t="s">
        <v>255</v>
      </c>
      <c r="S11" s="672"/>
      <c r="T11" s="673" t="s">
        <v>256</v>
      </c>
      <c r="U11" s="674"/>
      <c r="V11" s="671" t="s">
        <v>255</v>
      </c>
      <c r="W11" s="672"/>
      <c r="X11" s="673" t="s">
        <v>256</v>
      </c>
      <c r="Y11" s="674"/>
      <c r="Z11" s="671" t="s">
        <v>255</v>
      </c>
      <c r="AA11" s="672"/>
      <c r="AB11" s="673" t="s">
        <v>256</v>
      </c>
      <c r="AC11" s="674"/>
      <c r="AD11" s="320"/>
      <c r="AE11" s="321"/>
      <c r="AF11" s="321"/>
      <c r="AG11" s="322"/>
    </row>
    <row r="12" spans="1:38" ht="15.75" customHeight="1" thickBot="1" x14ac:dyDescent="0.3">
      <c r="A12" s="678"/>
      <c r="B12" s="675">
        <v>0</v>
      </c>
      <c r="C12" s="676"/>
      <c r="D12" s="676">
        <v>0</v>
      </c>
      <c r="E12" s="676"/>
      <c r="F12" s="675">
        <v>0</v>
      </c>
      <c r="G12" s="676"/>
      <c r="H12" s="676">
        <v>0</v>
      </c>
      <c r="I12" s="676"/>
      <c r="J12" s="675">
        <v>0</v>
      </c>
      <c r="K12" s="676"/>
      <c r="L12" s="676">
        <v>0</v>
      </c>
      <c r="M12" s="676"/>
      <c r="N12" s="675">
        <v>0</v>
      </c>
      <c r="O12" s="676"/>
      <c r="P12" s="676">
        <v>0</v>
      </c>
      <c r="Q12" s="676"/>
      <c r="R12" s="675">
        <v>0</v>
      </c>
      <c r="S12" s="676"/>
      <c r="T12" s="676">
        <v>0</v>
      </c>
      <c r="U12" s="676"/>
      <c r="V12" s="675">
        <v>0</v>
      </c>
      <c r="W12" s="676"/>
      <c r="X12" s="676">
        <v>0</v>
      </c>
      <c r="Y12" s="676"/>
      <c r="Z12" s="675">
        <v>0</v>
      </c>
      <c r="AA12" s="676"/>
      <c r="AB12" s="676">
        <v>0</v>
      </c>
      <c r="AC12" s="676"/>
      <c r="AD12" s="662">
        <f>SUM(B12,F12,J12,N12,R12,V12,Z12)</f>
        <v>0</v>
      </c>
      <c r="AE12" s="663"/>
      <c r="AF12" s="663"/>
      <c r="AG12" s="664"/>
    </row>
    <row r="13" spans="1:38" x14ac:dyDescent="0.25">
      <c r="A13" s="678"/>
      <c r="B13" s="665" t="s">
        <v>52</v>
      </c>
      <c r="C13" s="666"/>
      <c r="D13" s="667" t="s">
        <v>257</v>
      </c>
      <c r="E13" s="668"/>
      <c r="F13" s="665" t="s">
        <v>52</v>
      </c>
      <c r="G13" s="666"/>
      <c r="H13" s="667" t="s">
        <v>257</v>
      </c>
      <c r="I13" s="668"/>
      <c r="J13" s="665" t="s">
        <v>52</v>
      </c>
      <c r="K13" s="666"/>
      <c r="L13" s="667" t="s">
        <v>257</v>
      </c>
      <c r="M13" s="668"/>
      <c r="N13" s="665" t="s">
        <v>52</v>
      </c>
      <c r="O13" s="666"/>
      <c r="P13" s="667" t="s">
        <v>257</v>
      </c>
      <c r="Q13" s="668"/>
      <c r="R13" s="665" t="s">
        <v>52</v>
      </c>
      <c r="S13" s="666"/>
      <c r="T13" s="667" t="s">
        <v>257</v>
      </c>
      <c r="U13" s="668"/>
      <c r="V13" s="665" t="s">
        <v>52</v>
      </c>
      <c r="W13" s="666"/>
      <c r="X13" s="667" t="s">
        <v>257</v>
      </c>
      <c r="Y13" s="668"/>
      <c r="Z13" s="665" t="s">
        <v>52</v>
      </c>
      <c r="AA13" s="666"/>
      <c r="AB13" s="667" t="s">
        <v>257</v>
      </c>
      <c r="AC13" s="668"/>
      <c r="AD13" s="665" t="s">
        <v>52</v>
      </c>
      <c r="AE13" s="666"/>
      <c r="AF13" s="669" t="s">
        <v>257</v>
      </c>
      <c r="AG13" s="670"/>
    </row>
    <row r="14" spans="1:38" ht="15.75" customHeight="1" thickBot="1" x14ac:dyDescent="0.3">
      <c r="A14" s="679"/>
      <c r="B14" s="323" t="s">
        <v>248</v>
      </c>
      <c r="C14" s="324" t="s">
        <v>249</v>
      </c>
      <c r="D14" s="325" t="s">
        <v>248</v>
      </c>
      <c r="E14" s="326" t="s">
        <v>249</v>
      </c>
      <c r="F14" s="323" t="s">
        <v>248</v>
      </c>
      <c r="G14" s="324" t="s">
        <v>249</v>
      </c>
      <c r="H14" s="325" t="s">
        <v>248</v>
      </c>
      <c r="I14" s="326" t="s">
        <v>249</v>
      </c>
      <c r="J14" s="323" t="s">
        <v>248</v>
      </c>
      <c r="K14" s="324" t="s">
        <v>249</v>
      </c>
      <c r="L14" s="325" t="s">
        <v>248</v>
      </c>
      <c r="M14" s="326" t="s">
        <v>249</v>
      </c>
      <c r="N14" s="323" t="s">
        <v>248</v>
      </c>
      <c r="O14" s="324" t="s">
        <v>249</v>
      </c>
      <c r="P14" s="325" t="s">
        <v>248</v>
      </c>
      <c r="Q14" s="326" t="s">
        <v>249</v>
      </c>
      <c r="R14" s="323" t="s">
        <v>248</v>
      </c>
      <c r="S14" s="324" t="s">
        <v>249</v>
      </c>
      <c r="T14" s="325" t="s">
        <v>248</v>
      </c>
      <c r="U14" s="326" t="s">
        <v>249</v>
      </c>
      <c r="V14" s="323" t="s">
        <v>248</v>
      </c>
      <c r="W14" s="324" t="s">
        <v>249</v>
      </c>
      <c r="X14" s="325" t="s">
        <v>248</v>
      </c>
      <c r="Y14" s="326" t="s">
        <v>249</v>
      </c>
      <c r="Z14" s="323" t="s">
        <v>248</v>
      </c>
      <c r="AA14" s="324" t="s">
        <v>249</v>
      </c>
      <c r="AB14" s="325" t="s">
        <v>248</v>
      </c>
      <c r="AC14" s="326" t="s">
        <v>249</v>
      </c>
      <c r="AD14" s="323" t="s">
        <v>248</v>
      </c>
      <c r="AE14" s="324" t="s">
        <v>249</v>
      </c>
      <c r="AF14" s="325" t="s">
        <v>248</v>
      </c>
      <c r="AG14" s="326" t="s">
        <v>249</v>
      </c>
    </row>
    <row r="15" spans="1:38" x14ac:dyDescent="0.25">
      <c r="A15" s="327">
        <v>2021</v>
      </c>
      <c r="B15" s="328">
        <v>52969448</v>
      </c>
      <c r="C15" s="329">
        <v>0</v>
      </c>
      <c r="D15" s="10">
        <v>284584529</v>
      </c>
      <c r="E15" s="330">
        <v>0</v>
      </c>
      <c r="F15" s="328">
        <v>39065161</v>
      </c>
      <c r="G15" s="329">
        <v>0</v>
      </c>
      <c r="H15" s="10">
        <v>299430000</v>
      </c>
      <c r="I15" s="330">
        <v>0</v>
      </c>
      <c r="J15" s="328">
        <v>26261706</v>
      </c>
      <c r="K15" s="329">
        <v>0</v>
      </c>
      <c r="L15" s="10">
        <v>177715000</v>
      </c>
      <c r="M15" s="330">
        <v>0</v>
      </c>
      <c r="N15" s="328">
        <v>15285628</v>
      </c>
      <c r="O15" s="329">
        <v>0</v>
      </c>
      <c r="P15" s="10">
        <v>108564339</v>
      </c>
      <c r="Q15" s="330">
        <v>0</v>
      </c>
      <c r="R15" s="328">
        <v>15054597</v>
      </c>
      <c r="S15" s="329">
        <v>0</v>
      </c>
      <c r="T15" s="10">
        <v>115510000</v>
      </c>
      <c r="U15" s="330">
        <v>0</v>
      </c>
      <c r="V15" s="328">
        <v>6210108</v>
      </c>
      <c r="W15" s="329">
        <v>0</v>
      </c>
      <c r="X15" s="10">
        <v>32500556</v>
      </c>
      <c r="Y15" s="330">
        <v>0</v>
      </c>
      <c r="Z15" s="328">
        <v>33592367</v>
      </c>
      <c r="AA15" s="329">
        <v>0</v>
      </c>
      <c r="AB15" s="10">
        <v>228160000</v>
      </c>
      <c r="AC15" s="330">
        <v>0</v>
      </c>
      <c r="AD15" s="331">
        <f t="shared" ref="AD15:AD36" si="0">SUM(B15,F15,J15,N15,R15,V15,Z15)</f>
        <v>188439015</v>
      </c>
      <c r="AE15" s="332">
        <f t="shared" ref="AE15:AE36" si="1">SUM(C15,G15,K15,O15,S15,W15,AA15)</f>
        <v>0</v>
      </c>
      <c r="AF15" s="333">
        <f t="shared" ref="AF15:AF36" si="2">SUM(D15,H15,L15,P15,T15,X15,AB15)</f>
        <v>1246464424</v>
      </c>
      <c r="AG15" s="334">
        <f t="shared" ref="AG15:AG36" si="3">SUM(E15,I15,M15,Q15,U15,Y15,AC15)</f>
        <v>0</v>
      </c>
    </row>
    <row r="16" spans="1:38" s="1" customFormat="1" x14ac:dyDescent="0.25">
      <c r="A16" s="327">
        <v>2022</v>
      </c>
      <c r="B16" s="328">
        <v>42097160</v>
      </c>
      <c r="C16" s="329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289209999</v>
      </c>
      <c r="E16" s="330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28">
        <v>39084188</v>
      </c>
      <c r="G16" s="329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274895000</v>
      </c>
      <c r="I16" s="330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28">
        <v>24739019</v>
      </c>
      <c r="K16" s="329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165990000</v>
      </c>
      <c r="M16" s="330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28">
        <v>11044480</v>
      </c>
      <c r="O16" s="329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102248547</v>
      </c>
      <c r="Q16" s="330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28">
        <v>14377159</v>
      </c>
      <c r="S16" s="329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105130000</v>
      </c>
      <c r="U16" s="330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28">
        <v>6204550</v>
      </c>
      <c r="W16" s="329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27368147</v>
      </c>
      <c r="Y16" s="330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28">
        <v>28938873</v>
      </c>
      <c r="AA16" s="329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209685000</v>
      </c>
      <c r="AC16" s="330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31">
        <f t="shared" si="0"/>
        <v>166485429</v>
      </c>
      <c r="AE16" s="332">
        <f t="shared" si="1"/>
        <v>0</v>
      </c>
      <c r="AF16" s="333">
        <f t="shared" si="2"/>
        <v>1174526693</v>
      </c>
      <c r="AG16" s="334">
        <f t="shared" si="3"/>
        <v>0</v>
      </c>
    </row>
    <row r="17" spans="1:33" x14ac:dyDescent="0.25">
      <c r="A17" s="327">
        <v>2023</v>
      </c>
      <c r="B17" s="328">
        <v>41993590</v>
      </c>
      <c r="C17" s="329">
        <f t="shared" si="4"/>
        <v>0</v>
      </c>
      <c r="D17" s="10">
        <v>258755000</v>
      </c>
      <c r="E17" s="330">
        <f t="shared" si="5"/>
        <v>0</v>
      </c>
      <c r="F17" s="328">
        <v>35929963</v>
      </c>
      <c r="G17" s="329">
        <f t="shared" si="6"/>
        <v>0</v>
      </c>
      <c r="H17" s="10">
        <v>252280000</v>
      </c>
      <c r="I17" s="330">
        <f t="shared" si="7"/>
        <v>0</v>
      </c>
      <c r="J17" s="328">
        <v>24741019</v>
      </c>
      <c r="K17" s="329">
        <f t="shared" si="8"/>
        <v>0</v>
      </c>
      <c r="L17" s="10">
        <v>153695000</v>
      </c>
      <c r="M17" s="330">
        <f t="shared" si="9"/>
        <v>0</v>
      </c>
      <c r="N17" s="328">
        <v>11051288</v>
      </c>
      <c r="O17" s="329">
        <f t="shared" si="10"/>
        <v>0</v>
      </c>
      <c r="P17" s="10">
        <v>95617330</v>
      </c>
      <c r="Q17" s="330">
        <f t="shared" si="11"/>
        <v>0</v>
      </c>
      <c r="R17" s="328">
        <v>12317288</v>
      </c>
      <c r="S17" s="329">
        <f t="shared" si="12"/>
        <v>0</v>
      </c>
      <c r="T17" s="10">
        <v>96555000</v>
      </c>
      <c r="U17" s="330">
        <f t="shared" si="13"/>
        <v>0</v>
      </c>
      <c r="V17" s="328">
        <v>5507270</v>
      </c>
      <c r="W17" s="329">
        <f t="shared" si="14"/>
        <v>0</v>
      </c>
      <c r="X17" s="10">
        <v>22720781</v>
      </c>
      <c r="Y17" s="330">
        <f t="shared" si="15"/>
        <v>0</v>
      </c>
      <c r="Z17" s="328">
        <v>28484398</v>
      </c>
      <c r="AA17" s="329">
        <f t="shared" si="16"/>
        <v>0</v>
      </c>
      <c r="AB17" s="10">
        <v>190760000</v>
      </c>
      <c r="AC17" s="330">
        <f t="shared" si="17"/>
        <v>0</v>
      </c>
      <c r="AD17" s="331">
        <f t="shared" si="0"/>
        <v>160024816</v>
      </c>
      <c r="AE17" s="332">
        <f t="shared" si="1"/>
        <v>0</v>
      </c>
      <c r="AF17" s="333">
        <f t="shared" si="2"/>
        <v>1070383111</v>
      </c>
      <c r="AG17" s="334">
        <f t="shared" si="3"/>
        <v>0</v>
      </c>
    </row>
    <row r="18" spans="1:33" x14ac:dyDescent="0.25">
      <c r="A18" s="327">
        <v>2024</v>
      </c>
      <c r="B18" s="328">
        <v>36324115</v>
      </c>
      <c r="C18" s="329">
        <f t="shared" si="4"/>
        <v>0</v>
      </c>
      <c r="D18" s="10">
        <v>232860000</v>
      </c>
      <c r="E18" s="330">
        <f t="shared" si="5"/>
        <v>0</v>
      </c>
      <c r="F18" s="328">
        <v>35059213</v>
      </c>
      <c r="G18" s="329">
        <f t="shared" si="6"/>
        <v>0</v>
      </c>
      <c r="H18" s="10">
        <v>229405000</v>
      </c>
      <c r="I18" s="330">
        <f t="shared" si="7"/>
        <v>0</v>
      </c>
      <c r="J18" s="328">
        <v>19927488</v>
      </c>
      <c r="K18" s="329">
        <f t="shared" si="8"/>
        <v>0</v>
      </c>
      <c r="L18" s="10">
        <v>140810000</v>
      </c>
      <c r="M18" s="330">
        <f t="shared" si="9"/>
        <v>0</v>
      </c>
      <c r="N18" s="328">
        <v>11058683</v>
      </c>
      <c r="O18" s="329">
        <f t="shared" si="10"/>
        <v>0</v>
      </c>
      <c r="P18" s="10">
        <v>88650688</v>
      </c>
      <c r="Q18" s="330">
        <f t="shared" si="11"/>
        <v>0</v>
      </c>
      <c r="R18" s="328">
        <v>12321600</v>
      </c>
      <c r="S18" s="329">
        <f t="shared" si="12"/>
        <v>0</v>
      </c>
      <c r="T18" s="10">
        <v>87730000</v>
      </c>
      <c r="U18" s="330">
        <f t="shared" si="13"/>
        <v>0</v>
      </c>
      <c r="V18" s="328">
        <v>5493469</v>
      </c>
      <c r="W18" s="329">
        <f t="shared" si="14"/>
        <v>0</v>
      </c>
      <c r="X18" s="10">
        <v>17902742</v>
      </c>
      <c r="Y18" s="330">
        <f t="shared" si="15"/>
        <v>0</v>
      </c>
      <c r="Z18" s="328">
        <v>28466773</v>
      </c>
      <c r="AA18" s="329">
        <f t="shared" si="16"/>
        <v>0</v>
      </c>
      <c r="AB18" s="10">
        <v>170930000</v>
      </c>
      <c r="AC18" s="330">
        <f t="shared" si="17"/>
        <v>0</v>
      </c>
      <c r="AD18" s="331">
        <f t="shared" si="0"/>
        <v>148651341</v>
      </c>
      <c r="AE18" s="332">
        <f t="shared" si="1"/>
        <v>0</v>
      </c>
      <c r="AF18" s="333">
        <f t="shared" si="2"/>
        <v>968288430</v>
      </c>
      <c r="AG18" s="334">
        <f t="shared" si="3"/>
        <v>0</v>
      </c>
    </row>
    <row r="19" spans="1:33" x14ac:dyDescent="0.25">
      <c r="A19" s="327">
        <v>2025</v>
      </c>
      <c r="B19" s="328">
        <v>36293141</v>
      </c>
      <c r="C19" s="329">
        <f t="shared" si="4"/>
        <v>0</v>
      </c>
      <c r="D19" s="10">
        <v>206030000</v>
      </c>
      <c r="E19" s="330">
        <f t="shared" si="5"/>
        <v>0</v>
      </c>
      <c r="F19" s="328">
        <v>35055463</v>
      </c>
      <c r="G19" s="329">
        <f t="shared" si="6"/>
        <v>0</v>
      </c>
      <c r="H19" s="10">
        <v>205390000</v>
      </c>
      <c r="I19" s="330">
        <f t="shared" si="7"/>
        <v>0</v>
      </c>
      <c r="J19" s="328">
        <v>18257513</v>
      </c>
      <c r="K19" s="329">
        <f t="shared" si="8"/>
        <v>0</v>
      </c>
      <c r="L19" s="10">
        <v>128990000</v>
      </c>
      <c r="M19" s="330">
        <f t="shared" si="9"/>
        <v>0</v>
      </c>
      <c r="N19" s="328">
        <v>11062732</v>
      </c>
      <c r="O19" s="329">
        <f t="shared" si="10"/>
        <v>0</v>
      </c>
      <c r="P19" s="10">
        <v>81334764</v>
      </c>
      <c r="Q19" s="330">
        <f t="shared" si="11"/>
        <v>0</v>
      </c>
      <c r="R19" s="328">
        <v>9715623</v>
      </c>
      <c r="S19" s="329">
        <f t="shared" si="12"/>
        <v>0</v>
      </c>
      <c r="T19" s="10">
        <v>81275000</v>
      </c>
      <c r="U19" s="330">
        <f t="shared" si="13"/>
        <v>0</v>
      </c>
      <c r="V19" s="328">
        <v>3608741</v>
      </c>
      <c r="W19" s="329">
        <f t="shared" si="14"/>
        <v>0</v>
      </c>
      <c r="X19" s="10">
        <v>14797700</v>
      </c>
      <c r="Y19" s="330">
        <f t="shared" si="15"/>
        <v>0</v>
      </c>
      <c r="Z19" s="328">
        <v>28299729</v>
      </c>
      <c r="AA19" s="329">
        <f t="shared" si="16"/>
        <v>0</v>
      </c>
      <c r="AB19" s="10">
        <v>150325000</v>
      </c>
      <c r="AC19" s="330">
        <f t="shared" si="17"/>
        <v>0</v>
      </c>
      <c r="AD19" s="331">
        <f t="shared" si="0"/>
        <v>142292942</v>
      </c>
      <c r="AE19" s="332">
        <f t="shared" si="1"/>
        <v>0</v>
      </c>
      <c r="AF19" s="333">
        <f t="shared" si="2"/>
        <v>868142464</v>
      </c>
      <c r="AG19" s="334">
        <f t="shared" si="3"/>
        <v>0</v>
      </c>
    </row>
    <row r="20" spans="1:33" x14ac:dyDescent="0.25">
      <c r="A20" s="327">
        <v>2026</v>
      </c>
      <c r="B20" s="328">
        <v>34271826</v>
      </c>
      <c r="C20" s="329">
        <f t="shared" si="4"/>
        <v>0</v>
      </c>
      <c r="D20" s="10">
        <v>180210000</v>
      </c>
      <c r="E20" s="330">
        <f t="shared" si="5"/>
        <v>0</v>
      </c>
      <c r="F20" s="328">
        <v>34559713</v>
      </c>
      <c r="G20" s="329">
        <f t="shared" si="6"/>
        <v>0</v>
      </c>
      <c r="H20" s="10">
        <v>180670000</v>
      </c>
      <c r="I20" s="330">
        <f t="shared" si="7"/>
        <v>0</v>
      </c>
      <c r="J20" s="328">
        <v>18252963</v>
      </c>
      <c r="K20" s="329">
        <f t="shared" si="8"/>
        <v>0</v>
      </c>
      <c r="L20" s="10">
        <v>116595000</v>
      </c>
      <c r="M20" s="330">
        <f t="shared" si="9"/>
        <v>0</v>
      </c>
      <c r="N20" s="328">
        <v>10498370</v>
      </c>
      <c r="O20" s="329">
        <f t="shared" si="10"/>
        <v>0</v>
      </c>
      <c r="P20" s="10">
        <v>74261128</v>
      </c>
      <c r="Q20" s="330">
        <f t="shared" si="11"/>
        <v>0</v>
      </c>
      <c r="R20" s="328">
        <v>9714073</v>
      </c>
      <c r="S20" s="329">
        <f t="shared" si="12"/>
        <v>0</v>
      </c>
      <c r="T20" s="10">
        <v>74595000</v>
      </c>
      <c r="U20" s="330">
        <f t="shared" si="13"/>
        <v>0</v>
      </c>
      <c r="V20" s="328">
        <v>3605072</v>
      </c>
      <c r="W20" s="329">
        <f t="shared" si="14"/>
        <v>0</v>
      </c>
      <c r="X20" s="10">
        <v>11598302</v>
      </c>
      <c r="Y20" s="330">
        <f t="shared" si="15"/>
        <v>0</v>
      </c>
      <c r="Z20" s="328">
        <v>28566255</v>
      </c>
      <c r="AA20" s="329">
        <f t="shared" si="16"/>
        <v>0</v>
      </c>
      <c r="AB20" s="10">
        <v>128450000</v>
      </c>
      <c r="AC20" s="330">
        <f t="shared" si="17"/>
        <v>0</v>
      </c>
      <c r="AD20" s="331">
        <f t="shared" si="0"/>
        <v>139468272</v>
      </c>
      <c r="AE20" s="332">
        <f t="shared" si="1"/>
        <v>0</v>
      </c>
      <c r="AF20" s="333">
        <f t="shared" si="2"/>
        <v>766379430</v>
      </c>
      <c r="AG20" s="334">
        <f t="shared" si="3"/>
        <v>0</v>
      </c>
    </row>
    <row r="21" spans="1:33" x14ac:dyDescent="0.25">
      <c r="A21" s="327">
        <v>2027</v>
      </c>
      <c r="B21" s="328">
        <v>34260212</v>
      </c>
      <c r="C21" s="329">
        <f t="shared" si="4"/>
        <v>0</v>
      </c>
      <c r="D21" s="10">
        <v>153300000</v>
      </c>
      <c r="E21" s="330">
        <f t="shared" si="5"/>
        <v>0</v>
      </c>
      <c r="F21" s="328">
        <v>31073713</v>
      </c>
      <c r="G21" s="329">
        <f t="shared" si="6"/>
        <v>0</v>
      </c>
      <c r="H21" s="10">
        <v>158200000</v>
      </c>
      <c r="I21" s="330">
        <f t="shared" si="7"/>
        <v>0</v>
      </c>
      <c r="J21" s="328">
        <v>16740713</v>
      </c>
      <c r="K21" s="329">
        <f t="shared" si="8"/>
        <v>0</v>
      </c>
      <c r="L21" s="10">
        <v>105135000</v>
      </c>
      <c r="M21" s="330">
        <f t="shared" si="9"/>
        <v>0</v>
      </c>
      <c r="N21" s="328">
        <v>10593847</v>
      </c>
      <c r="O21" s="329">
        <f t="shared" si="10"/>
        <v>0</v>
      </c>
      <c r="P21" s="10">
        <v>66810923</v>
      </c>
      <c r="Q21" s="330">
        <f t="shared" si="11"/>
        <v>0</v>
      </c>
      <c r="R21" s="328">
        <v>9715586</v>
      </c>
      <c r="S21" s="329">
        <f t="shared" si="12"/>
        <v>0</v>
      </c>
      <c r="T21" s="10">
        <v>67675000</v>
      </c>
      <c r="U21" s="330">
        <f t="shared" si="13"/>
        <v>0</v>
      </c>
      <c r="V21" s="328">
        <v>3100022</v>
      </c>
      <c r="W21" s="329">
        <f t="shared" si="14"/>
        <v>0</v>
      </c>
      <c r="X21" s="10">
        <v>8802777</v>
      </c>
      <c r="Y21" s="330">
        <f t="shared" si="15"/>
        <v>0</v>
      </c>
      <c r="Z21" s="328">
        <v>28803741</v>
      </c>
      <c r="AA21" s="329">
        <f t="shared" si="16"/>
        <v>0</v>
      </c>
      <c r="AB21" s="10">
        <v>105280000</v>
      </c>
      <c r="AC21" s="330">
        <f t="shared" si="17"/>
        <v>0</v>
      </c>
      <c r="AD21" s="331">
        <f t="shared" si="0"/>
        <v>134287834</v>
      </c>
      <c r="AE21" s="332">
        <f t="shared" si="1"/>
        <v>0</v>
      </c>
      <c r="AF21" s="333">
        <f t="shared" si="2"/>
        <v>665203700</v>
      </c>
      <c r="AG21" s="334">
        <f t="shared" si="3"/>
        <v>0</v>
      </c>
    </row>
    <row r="22" spans="1:33" x14ac:dyDescent="0.25">
      <c r="A22" s="327">
        <v>2028</v>
      </c>
      <c r="B22" s="328">
        <v>24701650</v>
      </c>
      <c r="C22" s="329">
        <f t="shared" si="4"/>
        <v>0</v>
      </c>
      <c r="D22" s="10">
        <v>134985000</v>
      </c>
      <c r="E22" s="330">
        <f t="shared" si="5"/>
        <v>0</v>
      </c>
      <c r="F22" s="328">
        <v>26128913</v>
      </c>
      <c r="G22" s="329">
        <f t="shared" si="6"/>
        <v>0</v>
      </c>
      <c r="H22" s="10">
        <v>139780000</v>
      </c>
      <c r="I22" s="330">
        <f t="shared" si="7"/>
        <v>0</v>
      </c>
      <c r="J22" s="328">
        <v>16720213</v>
      </c>
      <c r="K22" s="329">
        <f t="shared" si="8"/>
        <v>0</v>
      </c>
      <c r="L22" s="10">
        <v>93120000</v>
      </c>
      <c r="M22" s="330">
        <f t="shared" si="9"/>
        <v>0</v>
      </c>
      <c r="N22" s="328">
        <v>8796551</v>
      </c>
      <c r="O22" s="329">
        <f t="shared" si="10"/>
        <v>0</v>
      </c>
      <c r="P22" s="10">
        <v>60875293</v>
      </c>
      <c r="Q22" s="330">
        <f t="shared" si="11"/>
        <v>0</v>
      </c>
      <c r="R22" s="328">
        <v>9716106</v>
      </c>
      <c r="S22" s="329">
        <f t="shared" si="12"/>
        <v>0</v>
      </c>
      <c r="T22" s="10">
        <v>60500000</v>
      </c>
      <c r="U22" s="330">
        <f t="shared" si="13"/>
        <v>0</v>
      </c>
      <c r="V22" s="328">
        <v>2402535</v>
      </c>
      <c r="W22" s="329">
        <f t="shared" si="14"/>
        <v>0</v>
      </c>
      <c r="X22" s="10">
        <v>6625335</v>
      </c>
      <c r="Y22" s="330">
        <f t="shared" si="15"/>
        <v>0</v>
      </c>
      <c r="Z22" s="328">
        <v>20689495</v>
      </c>
      <c r="AA22" s="329">
        <f t="shared" si="16"/>
        <v>0</v>
      </c>
      <c r="AB22" s="10">
        <v>89285000</v>
      </c>
      <c r="AC22" s="330">
        <f t="shared" si="17"/>
        <v>0</v>
      </c>
      <c r="AD22" s="331">
        <f t="shared" si="0"/>
        <v>109155463</v>
      </c>
      <c r="AE22" s="332">
        <f t="shared" si="1"/>
        <v>0</v>
      </c>
      <c r="AF22" s="333">
        <f t="shared" si="2"/>
        <v>585170628</v>
      </c>
      <c r="AG22" s="334">
        <f t="shared" si="3"/>
        <v>0</v>
      </c>
    </row>
    <row r="23" spans="1:33" x14ac:dyDescent="0.25">
      <c r="A23" s="327">
        <v>2029</v>
      </c>
      <c r="B23" s="328">
        <v>23428900</v>
      </c>
      <c r="C23" s="329">
        <f t="shared" si="4"/>
        <v>0</v>
      </c>
      <c r="D23" s="10">
        <v>117175001</v>
      </c>
      <c r="E23" s="330">
        <f t="shared" si="5"/>
        <v>0</v>
      </c>
      <c r="F23" s="328">
        <v>20637513</v>
      </c>
      <c r="G23" s="329">
        <f t="shared" si="6"/>
        <v>0</v>
      </c>
      <c r="H23" s="10">
        <v>126070000</v>
      </c>
      <c r="I23" s="330">
        <f t="shared" si="7"/>
        <v>0</v>
      </c>
      <c r="J23" s="328">
        <v>13775100</v>
      </c>
      <c r="K23" s="329">
        <f t="shared" si="8"/>
        <v>0</v>
      </c>
      <c r="L23" s="10">
        <v>83520000</v>
      </c>
      <c r="M23" s="330">
        <f t="shared" si="9"/>
        <v>0</v>
      </c>
      <c r="N23" s="328">
        <v>8795930</v>
      </c>
      <c r="O23" s="329">
        <f t="shared" si="10"/>
        <v>0</v>
      </c>
      <c r="P23" s="10">
        <v>54640381</v>
      </c>
      <c r="Q23" s="330">
        <f t="shared" si="11"/>
        <v>0</v>
      </c>
      <c r="R23" s="328">
        <v>9708231</v>
      </c>
      <c r="S23" s="329">
        <f t="shared" si="12"/>
        <v>0</v>
      </c>
      <c r="T23" s="10">
        <v>53065000</v>
      </c>
      <c r="U23" s="330">
        <f t="shared" si="13"/>
        <v>0</v>
      </c>
      <c r="V23" s="328">
        <v>1757270</v>
      </c>
      <c r="W23" s="329">
        <f t="shared" si="14"/>
        <v>0</v>
      </c>
      <c r="X23" s="10">
        <v>5032563</v>
      </c>
      <c r="Y23" s="330">
        <f t="shared" si="15"/>
        <v>0</v>
      </c>
      <c r="Z23" s="328">
        <v>17353283</v>
      </c>
      <c r="AA23" s="329">
        <f t="shared" si="16"/>
        <v>0</v>
      </c>
      <c r="AB23" s="10">
        <v>75895000</v>
      </c>
      <c r="AC23" s="330">
        <f t="shared" si="17"/>
        <v>0</v>
      </c>
      <c r="AD23" s="331">
        <f t="shared" si="0"/>
        <v>95456227</v>
      </c>
      <c r="AE23" s="332">
        <f t="shared" si="1"/>
        <v>0</v>
      </c>
      <c r="AF23" s="333">
        <f t="shared" si="2"/>
        <v>515397945</v>
      </c>
      <c r="AG23" s="334">
        <f t="shared" si="3"/>
        <v>0</v>
      </c>
    </row>
    <row r="24" spans="1:33" x14ac:dyDescent="0.25">
      <c r="A24" s="327">
        <v>2030</v>
      </c>
      <c r="B24" s="328">
        <v>23409125</v>
      </c>
      <c r="C24" s="329">
        <f t="shared" si="4"/>
        <v>0</v>
      </c>
      <c r="D24" s="10">
        <v>98600000</v>
      </c>
      <c r="E24" s="330">
        <f t="shared" si="5"/>
        <v>0</v>
      </c>
      <c r="F24" s="328">
        <v>20630313</v>
      </c>
      <c r="G24" s="329">
        <f t="shared" si="6"/>
        <v>0</v>
      </c>
      <c r="H24" s="10">
        <v>111695000</v>
      </c>
      <c r="I24" s="330">
        <f t="shared" si="7"/>
        <v>0</v>
      </c>
      <c r="J24" s="328">
        <v>13781906</v>
      </c>
      <c r="K24" s="329">
        <f t="shared" si="8"/>
        <v>0</v>
      </c>
      <c r="L24" s="10">
        <v>73430000</v>
      </c>
      <c r="M24" s="330">
        <f t="shared" si="9"/>
        <v>0</v>
      </c>
      <c r="N24" s="328">
        <v>8790282</v>
      </c>
      <c r="O24" s="329">
        <f t="shared" si="10"/>
        <v>0</v>
      </c>
      <c r="P24" s="10">
        <v>48096188</v>
      </c>
      <c r="Q24" s="330">
        <f t="shared" si="11"/>
        <v>0</v>
      </c>
      <c r="R24" s="328">
        <v>6902460</v>
      </c>
      <c r="S24" s="329">
        <f t="shared" si="12"/>
        <v>0</v>
      </c>
      <c r="T24" s="10">
        <v>48195000</v>
      </c>
      <c r="U24" s="330">
        <f t="shared" si="13"/>
        <v>0</v>
      </c>
      <c r="V24" s="328">
        <v>1451135</v>
      </c>
      <c r="W24" s="329">
        <f t="shared" si="14"/>
        <v>0</v>
      </c>
      <c r="X24" s="10">
        <v>3706632</v>
      </c>
      <c r="Y24" s="330">
        <f t="shared" si="15"/>
        <v>0</v>
      </c>
      <c r="Z24" s="328">
        <v>14647439</v>
      </c>
      <c r="AA24" s="329">
        <f t="shared" si="16"/>
        <v>0</v>
      </c>
      <c r="AB24" s="10">
        <v>64600000</v>
      </c>
      <c r="AC24" s="330">
        <f t="shared" si="17"/>
        <v>0</v>
      </c>
      <c r="AD24" s="331">
        <f t="shared" si="0"/>
        <v>89612660</v>
      </c>
      <c r="AE24" s="332">
        <f t="shared" si="1"/>
        <v>0</v>
      </c>
      <c r="AF24" s="333">
        <f t="shared" si="2"/>
        <v>448322820</v>
      </c>
      <c r="AG24" s="334">
        <f t="shared" si="3"/>
        <v>0</v>
      </c>
    </row>
    <row r="25" spans="1:33" x14ac:dyDescent="0.25">
      <c r="A25" s="327">
        <v>2031</v>
      </c>
      <c r="B25" s="328">
        <v>20060450</v>
      </c>
      <c r="C25" s="329">
        <f t="shared" si="4"/>
        <v>0</v>
      </c>
      <c r="D25" s="10">
        <v>82615000</v>
      </c>
      <c r="E25" s="330">
        <f t="shared" si="5"/>
        <v>0</v>
      </c>
      <c r="F25" s="328">
        <v>20633463</v>
      </c>
      <c r="G25" s="329">
        <f t="shared" si="6"/>
        <v>0</v>
      </c>
      <c r="H25" s="10">
        <v>96600000</v>
      </c>
      <c r="I25" s="330">
        <f t="shared" si="7"/>
        <v>0</v>
      </c>
      <c r="J25" s="328">
        <v>13777525</v>
      </c>
      <c r="K25" s="329">
        <f t="shared" si="8"/>
        <v>0</v>
      </c>
      <c r="L25" s="10">
        <v>62835000</v>
      </c>
      <c r="M25" s="330">
        <f t="shared" si="9"/>
        <v>0</v>
      </c>
      <c r="N25" s="328">
        <v>8101717</v>
      </c>
      <c r="O25" s="329">
        <f t="shared" si="10"/>
        <v>0</v>
      </c>
      <c r="P25" s="10">
        <v>41925000</v>
      </c>
      <c r="Q25" s="330">
        <f t="shared" si="11"/>
        <v>0</v>
      </c>
      <c r="R25" s="328">
        <v>6899245</v>
      </c>
      <c r="S25" s="329">
        <f t="shared" si="12"/>
        <v>0</v>
      </c>
      <c r="T25" s="10">
        <v>43105000</v>
      </c>
      <c r="U25" s="330">
        <f t="shared" si="13"/>
        <v>0</v>
      </c>
      <c r="V25" s="328">
        <v>1106193</v>
      </c>
      <c r="W25" s="329">
        <f t="shared" si="14"/>
        <v>0</v>
      </c>
      <c r="X25" s="10">
        <v>2690967</v>
      </c>
      <c r="Y25" s="330">
        <f t="shared" si="15"/>
        <v>0</v>
      </c>
      <c r="Z25" s="328">
        <v>11867370</v>
      </c>
      <c r="AA25" s="329">
        <f t="shared" si="16"/>
        <v>0</v>
      </c>
      <c r="AB25" s="10">
        <v>55605000</v>
      </c>
      <c r="AC25" s="330">
        <f t="shared" si="17"/>
        <v>0</v>
      </c>
      <c r="AD25" s="331">
        <f t="shared" si="0"/>
        <v>82445963</v>
      </c>
      <c r="AE25" s="332">
        <f t="shared" si="1"/>
        <v>0</v>
      </c>
      <c r="AF25" s="333">
        <f t="shared" si="2"/>
        <v>385375967</v>
      </c>
      <c r="AG25" s="334">
        <f t="shared" si="3"/>
        <v>0</v>
      </c>
    </row>
    <row r="26" spans="1:33" x14ac:dyDescent="0.25">
      <c r="A26" s="327">
        <v>2032</v>
      </c>
      <c r="B26" s="328">
        <v>20053650</v>
      </c>
      <c r="C26" s="329">
        <f t="shared" si="4"/>
        <v>0</v>
      </c>
      <c r="D26" s="10">
        <v>65905000</v>
      </c>
      <c r="E26" s="330">
        <f t="shared" si="5"/>
        <v>0</v>
      </c>
      <c r="F26" s="328">
        <v>20637513</v>
      </c>
      <c r="G26" s="329">
        <f t="shared" si="6"/>
        <v>0</v>
      </c>
      <c r="H26" s="10">
        <v>80770000</v>
      </c>
      <c r="I26" s="330">
        <f t="shared" si="7"/>
        <v>0</v>
      </c>
      <c r="J26" s="328">
        <v>11397613</v>
      </c>
      <c r="K26" s="329">
        <f t="shared" si="8"/>
        <v>0</v>
      </c>
      <c r="L26" s="10">
        <v>54145000</v>
      </c>
      <c r="M26" s="330">
        <f t="shared" si="9"/>
        <v>0</v>
      </c>
      <c r="N26" s="328">
        <v>7640875</v>
      </c>
      <c r="O26" s="329">
        <f t="shared" si="10"/>
        <v>0</v>
      </c>
      <c r="P26" s="10">
        <v>35910000</v>
      </c>
      <c r="Q26" s="330">
        <f t="shared" si="11"/>
        <v>0</v>
      </c>
      <c r="R26" s="328">
        <v>6900568</v>
      </c>
      <c r="S26" s="329">
        <f t="shared" si="12"/>
        <v>0</v>
      </c>
      <c r="T26" s="10">
        <v>37770000</v>
      </c>
      <c r="U26" s="330">
        <f t="shared" si="13"/>
        <v>0</v>
      </c>
      <c r="V26" s="328">
        <v>652182</v>
      </c>
      <c r="W26" s="329">
        <f t="shared" si="14"/>
        <v>0</v>
      </c>
      <c r="X26" s="10">
        <v>2108298</v>
      </c>
      <c r="Y26" s="330">
        <f t="shared" si="15"/>
        <v>0</v>
      </c>
      <c r="Z26" s="328">
        <v>11866483</v>
      </c>
      <c r="AA26" s="329">
        <f t="shared" si="16"/>
        <v>0</v>
      </c>
      <c r="AB26" s="10">
        <v>46195000</v>
      </c>
      <c r="AC26" s="330">
        <f t="shared" si="17"/>
        <v>0</v>
      </c>
      <c r="AD26" s="331">
        <f t="shared" si="0"/>
        <v>79148884</v>
      </c>
      <c r="AE26" s="332">
        <f t="shared" si="1"/>
        <v>0</v>
      </c>
      <c r="AF26" s="333">
        <f t="shared" si="2"/>
        <v>322803298</v>
      </c>
      <c r="AG26" s="334">
        <f t="shared" si="3"/>
        <v>0</v>
      </c>
    </row>
    <row r="27" spans="1:33" x14ac:dyDescent="0.25">
      <c r="A27" s="327">
        <v>2033</v>
      </c>
      <c r="B27" s="328">
        <v>17666800</v>
      </c>
      <c r="C27" s="329">
        <f t="shared" si="4"/>
        <v>0</v>
      </c>
      <c r="D27" s="10">
        <v>50865000</v>
      </c>
      <c r="E27" s="330">
        <f t="shared" si="5"/>
        <v>0</v>
      </c>
      <c r="F27" s="328">
        <v>20638500</v>
      </c>
      <c r="G27" s="329">
        <f t="shared" si="6"/>
        <v>0</v>
      </c>
      <c r="H27" s="10">
        <v>64170000</v>
      </c>
      <c r="I27" s="330">
        <f t="shared" si="7"/>
        <v>0</v>
      </c>
      <c r="J27" s="328">
        <v>11394775</v>
      </c>
      <c r="K27" s="329">
        <f t="shared" si="8"/>
        <v>0</v>
      </c>
      <c r="L27" s="10">
        <v>45020000</v>
      </c>
      <c r="M27" s="330">
        <f t="shared" si="9"/>
        <v>0</v>
      </c>
      <c r="N27" s="328">
        <v>7635450</v>
      </c>
      <c r="O27" s="329">
        <f t="shared" si="10"/>
        <v>0</v>
      </c>
      <c r="P27" s="10">
        <v>29610000</v>
      </c>
      <c r="Q27" s="330">
        <f t="shared" si="11"/>
        <v>0</v>
      </c>
      <c r="R27" s="328">
        <v>6900005</v>
      </c>
      <c r="S27" s="329">
        <f t="shared" si="12"/>
        <v>0</v>
      </c>
      <c r="T27" s="10">
        <v>32180000</v>
      </c>
      <c r="U27" s="330">
        <f t="shared" si="13"/>
        <v>0</v>
      </c>
      <c r="V27" s="328">
        <v>652182</v>
      </c>
      <c r="W27" s="329">
        <f t="shared" si="14"/>
        <v>0</v>
      </c>
      <c r="X27" s="10">
        <v>1509614</v>
      </c>
      <c r="Y27" s="330">
        <f t="shared" si="15"/>
        <v>0</v>
      </c>
      <c r="Z27" s="328">
        <v>11058535</v>
      </c>
      <c r="AA27" s="329">
        <f t="shared" si="16"/>
        <v>0</v>
      </c>
      <c r="AB27" s="10">
        <v>37170000</v>
      </c>
      <c r="AC27" s="330">
        <f t="shared" si="17"/>
        <v>0</v>
      </c>
      <c r="AD27" s="331">
        <f t="shared" si="0"/>
        <v>75946247</v>
      </c>
      <c r="AE27" s="332">
        <f t="shared" si="1"/>
        <v>0</v>
      </c>
      <c r="AF27" s="333">
        <f t="shared" si="2"/>
        <v>260524614</v>
      </c>
      <c r="AG27" s="334">
        <f t="shared" si="3"/>
        <v>0</v>
      </c>
    </row>
    <row r="28" spans="1:33" x14ac:dyDescent="0.25">
      <c r="A28" s="327">
        <v>2034</v>
      </c>
      <c r="B28" s="328">
        <v>17660275</v>
      </c>
      <c r="C28" s="329">
        <f t="shared" si="4"/>
        <v>0</v>
      </c>
      <c r="D28" s="10">
        <v>35130000</v>
      </c>
      <c r="E28" s="330">
        <f t="shared" si="5"/>
        <v>0</v>
      </c>
      <c r="F28" s="328">
        <v>19123500</v>
      </c>
      <c r="G28" s="329">
        <f t="shared" si="6"/>
        <v>0</v>
      </c>
      <c r="H28" s="10">
        <v>48255000</v>
      </c>
      <c r="I28" s="330">
        <f t="shared" si="7"/>
        <v>0</v>
      </c>
      <c r="J28" s="328">
        <v>9821125</v>
      </c>
      <c r="K28" s="329">
        <f t="shared" si="8"/>
        <v>0</v>
      </c>
      <c r="L28" s="10">
        <v>37045000</v>
      </c>
      <c r="M28" s="330">
        <f t="shared" si="9"/>
        <v>0</v>
      </c>
      <c r="N28" s="328">
        <v>7638350</v>
      </c>
      <c r="O28" s="329">
        <f t="shared" si="10"/>
        <v>0</v>
      </c>
      <c r="P28" s="10">
        <v>23025000</v>
      </c>
      <c r="Q28" s="330">
        <f t="shared" si="11"/>
        <v>0</v>
      </c>
      <c r="R28" s="328">
        <v>6085105</v>
      </c>
      <c r="S28" s="329">
        <f t="shared" si="12"/>
        <v>0</v>
      </c>
      <c r="T28" s="10">
        <v>27165000</v>
      </c>
      <c r="U28" s="330">
        <f t="shared" si="13"/>
        <v>0</v>
      </c>
      <c r="V28" s="328">
        <v>652182</v>
      </c>
      <c r="W28" s="329">
        <f t="shared" si="14"/>
        <v>0</v>
      </c>
      <c r="X28" s="10">
        <v>894474</v>
      </c>
      <c r="Y28" s="330">
        <f t="shared" si="15"/>
        <v>0</v>
      </c>
      <c r="Z28" s="328">
        <v>6884500</v>
      </c>
      <c r="AA28" s="329">
        <f t="shared" si="16"/>
        <v>0</v>
      </c>
      <c r="AB28" s="10">
        <v>31980000</v>
      </c>
      <c r="AC28" s="330">
        <f t="shared" si="17"/>
        <v>0</v>
      </c>
      <c r="AD28" s="331">
        <f t="shared" si="0"/>
        <v>67865037</v>
      </c>
      <c r="AE28" s="332">
        <f t="shared" si="1"/>
        <v>0</v>
      </c>
      <c r="AF28" s="333">
        <f t="shared" si="2"/>
        <v>203494474</v>
      </c>
      <c r="AG28" s="334">
        <f t="shared" si="3"/>
        <v>0</v>
      </c>
    </row>
    <row r="29" spans="1:33" x14ac:dyDescent="0.25">
      <c r="A29" s="327">
        <v>2035</v>
      </c>
      <c r="B29" s="328">
        <v>17634450</v>
      </c>
      <c r="C29" s="329">
        <f t="shared" si="4"/>
        <v>0</v>
      </c>
      <c r="D29" s="10">
        <v>18695000</v>
      </c>
      <c r="E29" s="330">
        <f t="shared" si="5"/>
        <v>0</v>
      </c>
      <c r="F29" s="328">
        <v>19127750</v>
      </c>
      <c r="G29" s="329">
        <f t="shared" si="6"/>
        <v>0</v>
      </c>
      <c r="H29" s="10">
        <v>31540000</v>
      </c>
      <c r="I29" s="330">
        <f t="shared" si="7"/>
        <v>0</v>
      </c>
      <c r="J29" s="328">
        <v>9817250</v>
      </c>
      <c r="K29" s="329">
        <f t="shared" si="8"/>
        <v>0</v>
      </c>
      <c r="L29" s="10">
        <v>28665000</v>
      </c>
      <c r="M29" s="330">
        <f t="shared" si="9"/>
        <v>0</v>
      </c>
      <c r="N29" s="328">
        <v>7642800</v>
      </c>
      <c r="O29" s="329">
        <f t="shared" si="10"/>
        <v>0</v>
      </c>
      <c r="P29" s="10">
        <v>16145000</v>
      </c>
      <c r="Q29" s="330">
        <f t="shared" si="11"/>
        <v>0</v>
      </c>
      <c r="R29" s="328">
        <v>6082043</v>
      </c>
      <c r="S29" s="329">
        <f t="shared" si="12"/>
        <v>0</v>
      </c>
      <c r="T29" s="10">
        <v>21930000</v>
      </c>
      <c r="U29" s="330">
        <f t="shared" si="13"/>
        <v>0</v>
      </c>
      <c r="V29" s="328">
        <v>652182</v>
      </c>
      <c r="W29" s="329">
        <f t="shared" si="14"/>
        <v>0</v>
      </c>
      <c r="X29" s="10">
        <v>262427</v>
      </c>
      <c r="Y29" s="330">
        <f t="shared" si="15"/>
        <v>0</v>
      </c>
      <c r="Z29" s="328">
        <v>6883375</v>
      </c>
      <c r="AA29" s="329">
        <f t="shared" si="16"/>
        <v>0</v>
      </c>
      <c r="AB29" s="10">
        <v>26525000</v>
      </c>
      <c r="AC29" s="330">
        <f t="shared" si="17"/>
        <v>0</v>
      </c>
      <c r="AD29" s="331">
        <f t="shared" si="0"/>
        <v>67839850</v>
      </c>
      <c r="AE29" s="332">
        <f t="shared" si="1"/>
        <v>0</v>
      </c>
      <c r="AF29" s="333">
        <f t="shared" si="2"/>
        <v>143762427</v>
      </c>
      <c r="AG29" s="334">
        <f t="shared" si="3"/>
        <v>0</v>
      </c>
    </row>
    <row r="30" spans="1:33" x14ac:dyDescent="0.25">
      <c r="A30" s="327">
        <v>2036</v>
      </c>
      <c r="B30" s="328">
        <v>8735550</v>
      </c>
      <c r="C30" s="329">
        <f t="shared" si="4"/>
        <v>0</v>
      </c>
      <c r="D30" s="10">
        <v>10615000</v>
      </c>
      <c r="E30" s="330">
        <f t="shared" si="5"/>
        <v>0</v>
      </c>
      <c r="F30" s="328">
        <v>19127000</v>
      </c>
      <c r="G30" s="329">
        <f t="shared" si="6"/>
        <v>0</v>
      </c>
      <c r="H30" s="10">
        <v>13990000</v>
      </c>
      <c r="I30" s="330">
        <f t="shared" si="7"/>
        <v>0</v>
      </c>
      <c r="J30" s="328">
        <v>9822175</v>
      </c>
      <c r="K30" s="329">
        <f t="shared" si="8"/>
        <v>0</v>
      </c>
      <c r="L30" s="10">
        <v>19875000</v>
      </c>
      <c r="M30" s="330">
        <f t="shared" si="9"/>
        <v>0</v>
      </c>
      <c r="N30" s="328">
        <v>7636675</v>
      </c>
      <c r="O30" s="329">
        <f t="shared" si="10"/>
        <v>0</v>
      </c>
      <c r="P30" s="10">
        <v>8990000</v>
      </c>
      <c r="Q30" s="330">
        <f t="shared" si="11"/>
        <v>0</v>
      </c>
      <c r="R30" s="328">
        <v>6089370</v>
      </c>
      <c r="S30" s="329">
        <f t="shared" si="12"/>
        <v>0</v>
      </c>
      <c r="T30" s="10">
        <v>16480000</v>
      </c>
      <c r="U30" s="330">
        <f t="shared" si="13"/>
        <v>0</v>
      </c>
      <c r="V30" s="328">
        <v>266009</v>
      </c>
      <c r="W30" s="329">
        <f t="shared" si="14"/>
        <v>0</v>
      </c>
      <c r="X30" s="10">
        <v>0</v>
      </c>
      <c r="Y30" s="330">
        <f t="shared" si="15"/>
        <v>0</v>
      </c>
      <c r="Z30" s="328">
        <v>6888500</v>
      </c>
      <c r="AA30" s="329">
        <f t="shared" si="16"/>
        <v>0</v>
      </c>
      <c r="AB30" s="10">
        <v>20785000</v>
      </c>
      <c r="AC30" s="330">
        <f t="shared" si="17"/>
        <v>0</v>
      </c>
      <c r="AD30" s="331">
        <f t="shared" si="0"/>
        <v>58565279</v>
      </c>
      <c r="AE30" s="332">
        <f t="shared" si="1"/>
        <v>0</v>
      </c>
      <c r="AF30" s="333">
        <f t="shared" si="2"/>
        <v>90735000</v>
      </c>
      <c r="AG30" s="334">
        <f t="shared" si="3"/>
        <v>0</v>
      </c>
    </row>
    <row r="31" spans="1:33" x14ac:dyDescent="0.25">
      <c r="A31" s="327">
        <v>2037</v>
      </c>
      <c r="B31" s="328">
        <v>5579600</v>
      </c>
      <c r="C31" s="329">
        <f t="shared" si="4"/>
        <v>0</v>
      </c>
      <c r="D31" s="10">
        <v>5410000</v>
      </c>
      <c r="E31" s="330">
        <f t="shared" si="5"/>
        <v>0</v>
      </c>
      <c r="F31" s="328">
        <v>7959500</v>
      </c>
      <c r="G31" s="329">
        <f t="shared" si="6"/>
        <v>0</v>
      </c>
      <c r="H31" s="10">
        <v>6730000</v>
      </c>
      <c r="I31" s="330">
        <f t="shared" si="7"/>
        <v>0</v>
      </c>
      <c r="J31" s="328">
        <v>9822000</v>
      </c>
      <c r="K31" s="329">
        <f t="shared" si="8"/>
        <v>0</v>
      </c>
      <c r="L31" s="10">
        <v>10685000</v>
      </c>
      <c r="M31" s="330">
        <f t="shared" si="9"/>
        <v>0</v>
      </c>
      <c r="N31" s="328">
        <v>3632050</v>
      </c>
      <c r="O31" s="329">
        <f t="shared" si="10"/>
        <v>0</v>
      </c>
      <c r="P31" s="10">
        <v>5640000</v>
      </c>
      <c r="Q31" s="330">
        <f t="shared" si="11"/>
        <v>0</v>
      </c>
      <c r="R31" s="328">
        <v>6088638</v>
      </c>
      <c r="S31" s="329">
        <f t="shared" si="12"/>
        <v>0</v>
      </c>
      <c r="T31" s="10">
        <v>10840000</v>
      </c>
      <c r="U31" s="330">
        <f t="shared" si="13"/>
        <v>0</v>
      </c>
      <c r="V31" s="328">
        <v>0</v>
      </c>
      <c r="W31" s="329">
        <f t="shared" si="14"/>
        <v>0</v>
      </c>
      <c r="X31" s="10">
        <v>0</v>
      </c>
      <c r="Y31" s="330">
        <f t="shared" si="15"/>
        <v>0</v>
      </c>
      <c r="Z31" s="328">
        <v>6884250</v>
      </c>
      <c r="AA31" s="329">
        <f t="shared" si="16"/>
        <v>0</v>
      </c>
      <c r="AB31" s="10">
        <v>14755000</v>
      </c>
      <c r="AC31" s="330">
        <f t="shared" si="17"/>
        <v>0</v>
      </c>
      <c r="AD31" s="331">
        <f t="shared" si="0"/>
        <v>39966038</v>
      </c>
      <c r="AE31" s="332">
        <f t="shared" si="1"/>
        <v>0</v>
      </c>
      <c r="AF31" s="333">
        <f t="shared" si="2"/>
        <v>54060000</v>
      </c>
      <c r="AG31" s="334">
        <f t="shared" si="3"/>
        <v>0</v>
      </c>
    </row>
    <row r="32" spans="1:33" x14ac:dyDescent="0.25">
      <c r="A32" s="327">
        <v>2038</v>
      </c>
      <c r="B32" s="328">
        <v>5545250</v>
      </c>
      <c r="C32" s="329">
        <f t="shared" si="4"/>
        <v>0</v>
      </c>
      <c r="D32" s="10">
        <v>0</v>
      </c>
      <c r="E32" s="330">
        <f t="shared" si="5"/>
        <v>0</v>
      </c>
      <c r="F32" s="328">
        <v>7066500</v>
      </c>
      <c r="G32" s="329">
        <f t="shared" si="6"/>
        <v>0</v>
      </c>
      <c r="H32" s="10">
        <v>0</v>
      </c>
      <c r="I32" s="330">
        <f t="shared" si="7"/>
        <v>0</v>
      </c>
      <c r="J32" s="328">
        <v>5557700</v>
      </c>
      <c r="K32" s="329">
        <f t="shared" si="8"/>
        <v>0</v>
      </c>
      <c r="L32" s="10">
        <v>5450000</v>
      </c>
      <c r="M32" s="330">
        <f t="shared" si="9"/>
        <v>0</v>
      </c>
      <c r="N32" s="328">
        <v>3635250</v>
      </c>
      <c r="O32" s="329">
        <f t="shared" si="10"/>
        <v>0</v>
      </c>
      <c r="P32" s="10">
        <v>2150000</v>
      </c>
      <c r="Q32" s="330">
        <f t="shared" si="11"/>
        <v>0</v>
      </c>
      <c r="R32" s="328">
        <v>5549050</v>
      </c>
      <c r="S32" s="329">
        <f t="shared" si="12"/>
        <v>0</v>
      </c>
      <c r="T32" s="10">
        <v>5550000</v>
      </c>
      <c r="U32" s="330">
        <f t="shared" si="13"/>
        <v>0</v>
      </c>
      <c r="V32" s="328">
        <v>0</v>
      </c>
      <c r="W32" s="329">
        <f t="shared" si="14"/>
        <v>0</v>
      </c>
      <c r="X32" s="10">
        <v>0</v>
      </c>
      <c r="Y32" s="330">
        <f t="shared" si="15"/>
        <v>0</v>
      </c>
      <c r="Z32" s="328">
        <v>6889875</v>
      </c>
      <c r="AA32" s="329">
        <f t="shared" si="16"/>
        <v>0</v>
      </c>
      <c r="AB32" s="10">
        <v>8410000</v>
      </c>
      <c r="AC32" s="330">
        <f t="shared" si="17"/>
        <v>0</v>
      </c>
      <c r="AD32" s="331">
        <f t="shared" si="0"/>
        <v>34243625</v>
      </c>
      <c r="AE32" s="332">
        <f t="shared" si="1"/>
        <v>0</v>
      </c>
      <c r="AF32" s="333">
        <f t="shared" si="2"/>
        <v>21560000</v>
      </c>
      <c r="AG32" s="334">
        <f t="shared" si="3"/>
        <v>0</v>
      </c>
    </row>
    <row r="33" spans="1:33" x14ac:dyDescent="0.25">
      <c r="A33" s="327">
        <v>2039</v>
      </c>
      <c r="B33" s="328">
        <v>0</v>
      </c>
      <c r="C33" s="329">
        <f t="shared" si="4"/>
        <v>0</v>
      </c>
      <c r="D33" s="10">
        <v>0</v>
      </c>
      <c r="E33" s="330">
        <f t="shared" si="5"/>
        <v>0</v>
      </c>
      <c r="F33" s="328">
        <v>0</v>
      </c>
      <c r="G33" s="329">
        <f t="shared" si="6"/>
        <v>0</v>
      </c>
      <c r="H33" s="10">
        <v>0</v>
      </c>
      <c r="I33" s="330">
        <f t="shared" si="7"/>
        <v>0</v>
      </c>
      <c r="J33" s="328">
        <v>5559000</v>
      </c>
      <c r="K33" s="329">
        <f t="shared" si="8"/>
        <v>0</v>
      </c>
      <c r="L33" s="10">
        <v>0</v>
      </c>
      <c r="M33" s="330">
        <f t="shared" si="9"/>
        <v>0</v>
      </c>
      <c r="N33" s="328">
        <v>1114625</v>
      </c>
      <c r="O33" s="329">
        <f t="shared" si="10"/>
        <v>0</v>
      </c>
      <c r="P33" s="10">
        <v>1095000</v>
      </c>
      <c r="Q33" s="330">
        <f t="shared" si="11"/>
        <v>0</v>
      </c>
      <c r="R33" s="328">
        <v>2860475</v>
      </c>
      <c r="S33" s="329">
        <f t="shared" si="12"/>
        <v>0</v>
      </c>
      <c r="T33" s="10">
        <v>2815000</v>
      </c>
      <c r="U33" s="330">
        <f t="shared" si="13"/>
        <v>0</v>
      </c>
      <c r="V33" s="328">
        <v>0</v>
      </c>
      <c r="W33" s="329">
        <f t="shared" si="14"/>
        <v>0</v>
      </c>
      <c r="X33" s="10">
        <v>0</v>
      </c>
      <c r="Y33" s="330">
        <f t="shared" si="15"/>
        <v>0</v>
      </c>
      <c r="Z33" s="328">
        <v>6893025</v>
      </c>
      <c r="AA33" s="329">
        <f t="shared" si="16"/>
        <v>0</v>
      </c>
      <c r="AB33" s="10">
        <v>1745000</v>
      </c>
      <c r="AC33" s="330">
        <f t="shared" si="17"/>
        <v>0</v>
      </c>
      <c r="AD33" s="331">
        <f t="shared" si="0"/>
        <v>16427125</v>
      </c>
      <c r="AE33" s="332">
        <f t="shared" si="1"/>
        <v>0</v>
      </c>
      <c r="AF33" s="333">
        <f t="shared" si="2"/>
        <v>5655000</v>
      </c>
      <c r="AG33" s="334">
        <f t="shared" si="3"/>
        <v>0</v>
      </c>
    </row>
    <row r="34" spans="1:33" x14ac:dyDescent="0.25">
      <c r="A34" s="327">
        <v>2040</v>
      </c>
      <c r="B34" s="328">
        <v>0</v>
      </c>
      <c r="C34" s="329">
        <f t="shared" si="4"/>
        <v>0</v>
      </c>
      <c r="D34" s="10">
        <v>0</v>
      </c>
      <c r="E34" s="330">
        <f t="shared" si="5"/>
        <v>0</v>
      </c>
      <c r="F34" s="328">
        <v>0</v>
      </c>
      <c r="G34" s="329">
        <f t="shared" si="6"/>
        <v>0</v>
      </c>
      <c r="H34" s="10">
        <v>0</v>
      </c>
      <c r="I34" s="330">
        <f t="shared" si="7"/>
        <v>0</v>
      </c>
      <c r="J34" s="328">
        <v>0</v>
      </c>
      <c r="K34" s="329">
        <f t="shared" si="8"/>
        <v>0</v>
      </c>
      <c r="L34" s="10">
        <v>0</v>
      </c>
      <c r="M34" s="330">
        <f t="shared" si="9"/>
        <v>0</v>
      </c>
      <c r="N34" s="328">
        <v>1116900</v>
      </c>
      <c r="O34" s="329">
        <f t="shared" si="10"/>
        <v>0</v>
      </c>
      <c r="P34" s="10">
        <v>0</v>
      </c>
      <c r="Q34" s="330">
        <f t="shared" si="11"/>
        <v>0</v>
      </c>
      <c r="R34" s="328">
        <v>2857225</v>
      </c>
      <c r="S34" s="329">
        <f t="shared" si="12"/>
        <v>0</v>
      </c>
      <c r="T34" s="10">
        <v>0</v>
      </c>
      <c r="U34" s="330">
        <f t="shared" si="13"/>
        <v>0</v>
      </c>
      <c r="V34" s="328">
        <v>0</v>
      </c>
      <c r="W34" s="329">
        <f t="shared" si="14"/>
        <v>0</v>
      </c>
      <c r="X34" s="10">
        <v>0</v>
      </c>
      <c r="Y34" s="330">
        <f t="shared" si="15"/>
        <v>0</v>
      </c>
      <c r="Z34" s="328">
        <v>1779900</v>
      </c>
      <c r="AA34" s="329">
        <f t="shared" si="16"/>
        <v>0</v>
      </c>
      <c r="AB34" s="10">
        <v>0</v>
      </c>
      <c r="AC34" s="330">
        <f t="shared" si="17"/>
        <v>0</v>
      </c>
      <c r="AD34" s="331">
        <f t="shared" si="0"/>
        <v>5754025</v>
      </c>
      <c r="AE34" s="332">
        <f t="shared" si="1"/>
        <v>0</v>
      </c>
      <c r="AF34" s="333">
        <f t="shared" si="2"/>
        <v>0</v>
      </c>
      <c r="AG34" s="334">
        <f t="shared" si="3"/>
        <v>0</v>
      </c>
    </row>
    <row r="35" spans="1:33" x14ac:dyDescent="0.25">
      <c r="A35" s="327">
        <v>2041</v>
      </c>
      <c r="B35" s="328">
        <v>0</v>
      </c>
      <c r="C35" s="329">
        <f t="shared" si="4"/>
        <v>0</v>
      </c>
      <c r="D35" s="10">
        <v>0</v>
      </c>
      <c r="E35" s="330">
        <f t="shared" si="5"/>
        <v>0</v>
      </c>
      <c r="F35" s="328">
        <v>0</v>
      </c>
      <c r="G35" s="329">
        <f t="shared" si="6"/>
        <v>0</v>
      </c>
      <c r="H35" s="10">
        <v>0</v>
      </c>
      <c r="I35" s="330">
        <f t="shared" si="7"/>
        <v>0</v>
      </c>
      <c r="J35" s="328">
        <v>0</v>
      </c>
      <c r="K35" s="329">
        <f t="shared" si="8"/>
        <v>0</v>
      </c>
      <c r="L35" s="10">
        <v>0</v>
      </c>
      <c r="M35" s="330">
        <f t="shared" si="9"/>
        <v>0</v>
      </c>
      <c r="N35" s="328">
        <v>0</v>
      </c>
      <c r="O35" s="329">
        <f t="shared" si="10"/>
        <v>0</v>
      </c>
      <c r="P35" s="10">
        <v>0</v>
      </c>
      <c r="Q35" s="330">
        <f t="shared" si="11"/>
        <v>0</v>
      </c>
      <c r="R35" s="328">
        <v>0</v>
      </c>
      <c r="S35" s="329">
        <f t="shared" si="12"/>
        <v>0</v>
      </c>
      <c r="T35" s="10">
        <v>0</v>
      </c>
      <c r="U35" s="330">
        <f t="shared" si="13"/>
        <v>0</v>
      </c>
      <c r="V35" s="328">
        <v>0</v>
      </c>
      <c r="W35" s="329">
        <f t="shared" si="14"/>
        <v>0</v>
      </c>
      <c r="X35" s="10">
        <v>0</v>
      </c>
      <c r="Y35" s="330">
        <f t="shared" si="15"/>
        <v>0</v>
      </c>
      <c r="Z35" s="328">
        <v>0</v>
      </c>
      <c r="AA35" s="329">
        <f t="shared" si="16"/>
        <v>0</v>
      </c>
      <c r="AB35" s="10">
        <v>0</v>
      </c>
      <c r="AC35" s="330">
        <f t="shared" si="17"/>
        <v>0</v>
      </c>
      <c r="AD35" s="331">
        <f t="shared" si="0"/>
        <v>0</v>
      </c>
      <c r="AE35" s="332">
        <f t="shared" si="1"/>
        <v>0</v>
      </c>
      <c r="AF35" s="333">
        <f t="shared" si="2"/>
        <v>0</v>
      </c>
      <c r="AG35" s="334">
        <f t="shared" si="3"/>
        <v>0</v>
      </c>
    </row>
    <row r="36" spans="1:33" s="9" customFormat="1" ht="15.75" customHeight="1" thickBot="1" x14ac:dyDescent="0.3">
      <c r="A36" s="335">
        <v>2042</v>
      </c>
      <c r="B36" s="336">
        <v>0</v>
      </c>
      <c r="C36" s="337">
        <f t="shared" si="4"/>
        <v>0</v>
      </c>
      <c r="D36" s="338">
        <v>0</v>
      </c>
      <c r="E36" s="339">
        <f t="shared" si="5"/>
        <v>0</v>
      </c>
      <c r="F36" s="336">
        <v>0</v>
      </c>
      <c r="G36" s="337">
        <f t="shared" si="6"/>
        <v>0</v>
      </c>
      <c r="H36" s="338">
        <v>0</v>
      </c>
      <c r="I36" s="339">
        <f t="shared" si="7"/>
        <v>0</v>
      </c>
      <c r="J36" s="336">
        <v>0</v>
      </c>
      <c r="K36" s="337">
        <f t="shared" si="8"/>
        <v>0</v>
      </c>
      <c r="L36" s="338">
        <v>0</v>
      </c>
      <c r="M36" s="339">
        <f t="shared" si="9"/>
        <v>0</v>
      </c>
      <c r="N36" s="336">
        <v>0</v>
      </c>
      <c r="O36" s="337">
        <f t="shared" si="10"/>
        <v>0</v>
      </c>
      <c r="P36" s="338">
        <v>0</v>
      </c>
      <c r="Q36" s="339">
        <f t="shared" si="11"/>
        <v>0</v>
      </c>
      <c r="R36" s="336">
        <v>0</v>
      </c>
      <c r="S36" s="337">
        <f t="shared" si="12"/>
        <v>0</v>
      </c>
      <c r="T36" s="338">
        <v>0</v>
      </c>
      <c r="U36" s="339">
        <f t="shared" si="13"/>
        <v>0</v>
      </c>
      <c r="V36" s="336">
        <v>0</v>
      </c>
      <c r="W36" s="337">
        <f t="shared" si="14"/>
        <v>0</v>
      </c>
      <c r="X36" s="338">
        <v>0</v>
      </c>
      <c r="Y36" s="339">
        <f t="shared" si="15"/>
        <v>0</v>
      </c>
      <c r="Z36" s="336">
        <v>0</v>
      </c>
      <c r="AA36" s="337">
        <f t="shared" si="16"/>
        <v>0</v>
      </c>
      <c r="AB36" s="338">
        <v>0</v>
      </c>
      <c r="AC36" s="339">
        <f t="shared" si="17"/>
        <v>0</v>
      </c>
      <c r="AD36" s="340">
        <f t="shared" si="0"/>
        <v>0</v>
      </c>
      <c r="AE36" s="341">
        <f t="shared" si="1"/>
        <v>0</v>
      </c>
      <c r="AF36" s="342">
        <f t="shared" si="2"/>
        <v>0</v>
      </c>
      <c r="AG36" s="343">
        <f t="shared" si="3"/>
        <v>0</v>
      </c>
    </row>
  </sheetData>
  <mergeCells count="55"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</mergeCells>
  <dataValidations disablePrompts="1" count="1">
    <dataValidation type="list" allowBlank="1" showInputMessage="1" showErrorMessage="1" sqref="E7" xr:uid="{00000000-0002-0000-0B00-000000000000}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4" manualBreakCount="4">
    <brk id="13" max="34" man="1"/>
    <brk id="25" max="34" man="1"/>
    <brk id="13" max="16384" man="1"/>
    <brk id="25" max="16384" man="1"/>
    <brk id="13" max="16384" man="1"/>
    <brk id="25" max="1638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U219"/>
  <sheetViews>
    <sheetView zoomScale="80" zoomScaleNormal="80" workbookViewId="0">
      <pane ySplit="8" topLeftCell="A69" activePane="bottomLeft" state="frozenSplit"/>
      <selection activeCell="B5" sqref="B5 A5:AP9"/>
      <selection pane="bottomLeft" activeCell="A89" sqref="A89:XFD89"/>
    </sheetView>
  </sheetViews>
  <sheetFormatPr defaultColWidth="16.7109375" defaultRowHeight="15" x14ac:dyDescent="0.25"/>
  <cols>
    <col min="1" max="1" width="64.7109375" style="1" customWidth="1"/>
    <col min="2" max="9" width="16.7109375" style="1" customWidth="1"/>
    <col min="10" max="10" width="3.140625" style="1" customWidth="1"/>
    <col min="11" max="21" width="16.7109375" style="1" customWidth="1"/>
  </cols>
  <sheetData>
    <row r="1" spans="1:21" ht="15.75" customHeight="1" x14ac:dyDescent="0.25">
      <c r="A1" s="14" t="s">
        <v>258</v>
      </c>
    </row>
    <row r="2" spans="1:21" ht="15.75" customHeight="1" x14ac:dyDescent="0.25">
      <c r="A2" s="17" t="s">
        <v>31</v>
      </c>
    </row>
    <row r="3" spans="1:21" ht="15.75" customHeight="1" x14ac:dyDescent="0.25">
      <c r="A3" s="17"/>
    </row>
    <row r="4" spans="1:21" x14ac:dyDescent="0.25">
      <c r="A4" s="18" t="s">
        <v>259</v>
      </c>
    </row>
    <row r="5" spans="1:21" ht="15.75" customHeight="1" thickBot="1" x14ac:dyDescent="0.3">
      <c r="A5" s="344" t="s">
        <v>260</v>
      </c>
    </row>
    <row r="6" spans="1:21" s="1" customFormat="1" ht="15" customHeight="1" thickBot="1" x14ac:dyDescent="0.3">
      <c r="A6" s="680"/>
      <c r="B6" s="688" t="s">
        <v>168</v>
      </c>
      <c r="C6" s="689"/>
      <c r="D6" s="568" t="s">
        <v>3</v>
      </c>
      <c r="E6" s="690"/>
      <c r="F6" s="690"/>
      <c r="G6" s="690"/>
      <c r="H6" s="690"/>
      <c r="I6" s="691"/>
      <c r="J6" s="345"/>
      <c r="K6" s="568" t="s">
        <v>4</v>
      </c>
      <c r="L6" s="690"/>
      <c r="M6" s="690"/>
      <c r="N6" s="690"/>
      <c r="O6" s="690"/>
      <c r="P6" s="691"/>
    </row>
    <row r="7" spans="1:21" s="1" customFormat="1" ht="15" customHeight="1" x14ac:dyDescent="0.25">
      <c r="A7" s="681"/>
      <c r="B7" s="683" t="s">
        <v>261</v>
      </c>
      <c r="C7" s="685" t="s">
        <v>44</v>
      </c>
      <c r="D7" s="692" t="s">
        <v>261</v>
      </c>
      <c r="E7" s="693"/>
      <c r="F7" s="694"/>
      <c r="G7" s="695" t="s">
        <v>44</v>
      </c>
      <c r="H7" s="696"/>
      <c r="I7" s="697"/>
      <c r="J7" s="346"/>
      <c r="K7" s="692" t="s">
        <v>261</v>
      </c>
      <c r="L7" s="693"/>
      <c r="M7" s="694"/>
      <c r="N7" s="695" t="s">
        <v>44</v>
      </c>
      <c r="O7" s="696"/>
      <c r="P7" s="697"/>
      <c r="Q7" s="687"/>
      <c r="R7" s="687"/>
      <c r="S7" s="687"/>
      <c r="T7" s="687"/>
      <c r="U7" s="687"/>
    </row>
    <row r="8" spans="1:21" s="1" customFormat="1" ht="49.5" customHeight="1" thickBot="1" x14ac:dyDescent="0.3">
      <c r="A8" s="682"/>
      <c r="B8" s="684"/>
      <c r="C8" s="686"/>
      <c r="D8" s="352" t="s">
        <v>262</v>
      </c>
      <c r="E8" s="351" t="s">
        <v>263</v>
      </c>
      <c r="F8" s="350" t="s">
        <v>141</v>
      </c>
      <c r="G8" s="349" t="s">
        <v>262</v>
      </c>
      <c r="H8" s="348" t="s">
        <v>263</v>
      </c>
      <c r="I8" s="347" t="s">
        <v>141</v>
      </c>
      <c r="J8" s="353"/>
      <c r="K8" s="352" t="s">
        <v>262</v>
      </c>
      <c r="L8" s="351" t="s">
        <v>263</v>
      </c>
      <c r="M8" s="350" t="s">
        <v>143</v>
      </c>
      <c r="N8" s="349" t="s">
        <v>262</v>
      </c>
      <c r="O8" s="348" t="s">
        <v>263</v>
      </c>
      <c r="P8" s="347" t="s">
        <v>143</v>
      </c>
    </row>
    <row r="9" spans="1:21" ht="20.100000000000001" customHeight="1" x14ac:dyDescent="0.3">
      <c r="A9" s="293" t="s">
        <v>190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</row>
    <row r="10" spans="1:21" ht="20.100000000000001" customHeight="1" x14ac:dyDescent="0.25">
      <c r="A10" s="1" t="s">
        <v>264</v>
      </c>
      <c r="B10" s="15">
        <v>721861</v>
      </c>
      <c r="C10" s="15">
        <v>0</v>
      </c>
      <c r="D10" s="15">
        <v>721861</v>
      </c>
      <c r="E10" s="15">
        <v>721861</v>
      </c>
      <c r="F10" s="16">
        <f t="shared" ref="F10:F18" si="0">IF($B10&gt;0, (E10-$B10)/$B10, )</f>
        <v>0</v>
      </c>
      <c r="G10" s="15">
        <v>0</v>
      </c>
      <c r="H10" s="15">
        <v>0</v>
      </c>
      <c r="I10" s="16">
        <f t="shared" ref="I10:I18" si="1">IF($C10&gt;0, (H10-$C10)/$C10, )</f>
        <v>0</v>
      </c>
      <c r="K10" s="15">
        <v>721861</v>
      </c>
      <c r="L10" s="15">
        <v>721861</v>
      </c>
      <c r="M10" s="16">
        <f t="shared" ref="M10:M18" si="2">IF($B10&gt;0, (L10-$B10)/$B10, )</f>
        <v>0</v>
      </c>
      <c r="N10" s="15">
        <v>0</v>
      </c>
      <c r="O10" s="15">
        <v>0</v>
      </c>
      <c r="P10" s="16">
        <f t="shared" ref="P10:P18" si="3">IF($C10&gt;0, (O10-$C10)/$C10, )</f>
        <v>0</v>
      </c>
    </row>
    <row r="11" spans="1:21" ht="20.100000000000001" customHeight="1" x14ac:dyDescent="0.25">
      <c r="A11" s="1" t="s">
        <v>265</v>
      </c>
      <c r="B11" s="15">
        <v>2500000</v>
      </c>
      <c r="C11" s="15">
        <v>0</v>
      </c>
      <c r="D11" s="15">
        <v>2500000</v>
      </c>
      <c r="E11" s="15">
        <v>2500000</v>
      </c>
      <c r="F11" s="16">
        <f t="shared" si="0"/>
        <v>0</v>
      </c>
      <c r="G11" s="15">
        <v>0</v>
      </c>
      <c r="H11" s="15">
        <v>0</v>
      </c>
      <c r="I11" s="16">
        <f t="shared" si="1"/>
        <v>0</v>
      </c>
      <c r="K11" s="15">
        <v>2500000</v>
      </c>
      <c r="L11" s="15">
        <v>2500000</v>
      </c>
      <c r="M11" s="16">
        <f t="shared" si="2"/>
        <v>0</v>
      </c>
      <c r="N11" s="15">
        <v>0</v>
      </c>
      <c r="O11" s="15">
        <v>0</v>
      </c>
      <c r="P11" s="16">
        <f t="shared" si="3"/>
        <v>0</v>
      </c>
    </row>
    <row r="12" spans="1:21" ht="20.100000000000001" customHeight="1" x14ac:dyDescent="0.25">
      <c r="A12" s="1" t="s">
        <v>266</v>
      </c>
      <c r="B12" s="15">
        <v>2698429</v>
      </c>
      <c r="C12" s="15">
        <v>0</v>
      </c>
      <c r="D12" s="15">
        <v>4253715</v>
      </c>
      <c r="E12" s="15">
        <v>4253715</v>
      </c>
      <c r="F12" s="16">
        <f t="shared" si="0"/>
        <v>0.57636721218160636</v>
      </c>
      <c r="G12" s="15">
        <v>0</v>
      </c>
      <c r="H12" s="15">
        <v>0</v>
      </c>
      <c r="I12" s="16">
        <f t="shared" si="1"/>
        <v>0</v>
      </c>
      <c r="K12" s="15">
        <v>4253715</v>
      </c>
      <c r="L12" s="15">
        <v>4253715</v>
      </c>
      <c r="M12" s="16">
        <f t="shared" si="2"/>
        <v>0.57636721218160636</v>
      </c>
      <c r="N12" s="15">
        <v>0</v>
      </c>
      <c r="O12" s="15">
        <v>0</v>
      </c>
      <c r="P12" s="16">
        <f t="shared" si="3"/>
        <v>0</v>
      </c>
    </row>
    <row r="13" spans="1:21" ht="20.100000000000001" customHeight="1" x14ac:dyDescent="0.25">
      <c r="A13" s="1" t="s">
        <v>267</v>
      </c>
      <c r="B13" s="15">
        <v>2783782</v>
      </c>
      <c r="C13" s="15">
        <v>0</v>
      </c>
      <c r="D13" s="15">
        <v>2783782</v>
      </c>
      <c r="E13" s="15">
        <v>2783782</v>
      </c>
      <c r="F13" s="16">
        <f t="shared" si="0"/>
        <v>0</v>
      </c>
      <c r="G13" s="15">
        <v>0</v>
      </c>
      <c r="H13" s="15">
        <v>0</v>
      </c>
      <c r="I13" s="16">
        <f t="shared" si="1"/>
        <v>0</v>
      </c>
      <c r="K13" s="15">
        <v>2783782</v>
      </c>
      <c r="L13" s="15">
        <v>2783782</v>
      </c>
      <c r="M13" s="16">
        <f t="shared" si="2"/>
        <v>0</v>
      </c>
      <c r="N13" s="15">
        <v>0</v>
      </c>
      <c r="O13" s="15">
        <v>0</v>
      </c>
      <c r="P13" s="16">
        <f t="shared" si="3"/>
        <v>0</v>
      </c>
    </row>
    <row r="14" spans="1:21" ht="20.100000000000001" customHeight="1" x14ac:dyDescent="0.25">
      <c r="A14" s="1" t="s">
        <v>268</v>
      </c>
      <c r="B14" s="15">
        <v>1508628</v>
      </c>
      <c r="C14" s="15">
        <v>0</v>
      </c>
      <c r="D14" s="15">
        <v>1508628</v>
      </c>
      <c r="E14" s="15">
        <v>1508628</v>
      </c>
      <c r="F14" s="16">
        <f t="shared" si="0"/>
        <v>0</v>
      </c>
      <c r="G14" s="15">
        <v>0</v>
      </c>
      <c r="H14" s="15">
        <v>0</v>
      </c>
      <c r="I14" s="16">
        <f t="shared" si="1"/>
        <v>0</v>
      </c>
      <c r="K14" s="15">
        <v>1508628</v>
      </c>
      <c r="L14" s="15">
        <v>1508628</v>
      </c>
      <c r="M14" s="16">
        <f t="shared" si="2"/>
        <v>0</v>
      </c>
      <c r="N14" s="15">
        <v>0</v>
      </c>
      <c r="O14" s="15">
        <v>0</v>
      </c>
      <c r="P14" s="16">
        <f t="shared" si="3"/>
        <v>0</v>
      </c>
    </row>
    <row r="15" spans="1:21" ht="20.100000000000001" customHeight="1" x14ac:dyDescent="0.25">
      <c r="A15" s="1" t="s">
        <v>269</v>
      </c>
      <c r="B15" s="15">
        <v>672562</v>
      </c>
      <c r="C15" s="15">
        <v>0</v>
      </c>
      <c r="D15" s="15">
        <v>672562</v>
      </c>
      <c r="E15" s="15">
        <v>672562</v>
      </c>
      <c r="F15" s="16">
        <f t="shared" si="0"/>
        <v>0</v>
      </c>
      <c r="G15" s="15">
        <v>0</v>
      </c>
      <c r="H15" s="15">
        <v>0</v>
      </c>
      <c r="I15" s="16">
        <f t="shared" si="1"/>
        <v>0</v>
      </c>
      <c r="K15" s="15">
        <v>672562</v>
      </c>
      <c r="L15" s="15">
        <v>672562</v>
      </c>
      <c r="M15" s="16">
        <f t="shared" si="2"/>
        <v>0</v>
      </c>
      <c r="N15" s="15">
        <v>0</v>
      </c>
      <c r="O15" s="15">
        <v>0</v>
      </c>
      <c r="P15" s="16">
        <f t="shared" si="3"/>
        <v>0</v>
      </c>
    </row>
    <row r="16" spans="1:21" ht="20.100000000000001" customHeight="1" x14ac:dyDescent="0.25">
      <c r="A16" s="1" t="s">
        <v>270</v>
      </c>
      <c r="B16" s="15">
        <v>2491824</v>
      </c>
      <c r="C16" s="15">
        <v>0</v>
      </c>
      <c r="D16" s="15">
        <v>2491824</v>
      </c>
      <c r="E16" s="15">
        <v>2105824</v>
      </c>
      <c r="F16" s="16">
        <f t="shared" si="0"/>
        <v>-0.15490660656611382</v>
      </c>
      <c r="G16" s="15">
        <v>0</v>
      </c>
      <c r="H16" s="15">
        <v>0</v>
      </c>
      <c r="I16" s="16">
        <f t="shared" si="1"/>
        <v>0</v>
      </c>
      <c r="K16" s="15">
        <v>2491824</v>
      </c>
      <c r="L16" s="15">
        <v>2105824</v>
      </c>
      <c r="M16" s="16">
        <f t="shared" si="2"/>
        <v>-0.15490660656611382</v>
      </c>
      <c r="N16" s="15">
        <v>0</v>
      </c>
      <c r="O16" s="15">
        <v>0</v>
      </c>
      <c r="P16" s="16">
        <f t="shared" si="3"/>
        <v>0</v>
      </c>
    </row>
    <row r="17" spans="1:16" ht="20.100000000000001" customHeight="1" x14ac:dyDescent="0.25">
      <c r="A17" s="1" t="s">
        <v>271</v>
      </c>
      <c r="B17" s="15">
        <v>553429</v>
      </c>
      <c r="C17" s="15">
        <v>0</v>
      </c>
      <c r="D17" s="15">
        <v>553429</v>
      </c>
      <c r="E17" s="15">
        <v>553429</v>
      </c>
      <c r="F17" s="16">
        <f t="shared" si="0"/>
        <v>0</v>
      </c>
      <c r="G17" s="15">
        <v>0</v>
      </c>
      <c r="H17" s="15">
        <v>0</v>
      </c>
      <c r="I17" s="16">
        <f t="shared" si="1"/>
        <v>0</v>
      </c>
      <c r="K17" s="15">
        <v>553429</v>
      </c>
      <c r="L17" s="15">
        <v>553429</v>
      </c>
      <c r="M17" s="16">
        <f t="shared" si="2"/>
        <v>0</v>
      </c>
      <c r="N17" s="15">
        <v>0</v>
      </c>
      <c r="O17" s="15">
        <v>0</v>
      </c>
      <c r="P17" s="16">
        <f t="shared" si="3"/>
        <v>0</v>
      </c>
    </row>
    <row r="18" spans="1:16" ht="20.100000000000001" customHeight="1" x14ac:dyDescent="0.3">
      <c r="A18" s="291" t="s">
        <v>203</v>
      </c>
      <c r="B18" s="289">
        <f>SUM(B10:B17)</f>
        <v>13930515</v>
      </c>
      <c r="C18" s="289">
        <f>SUM(C10:C17)</f>
        <v>0</v>
      </c>
      <c r="D18" s="289">
        <f>SUM(D10:D17)</f>
        <v>15485801</v>
      </c>
      <c r="E18" s="289">
        <f>SUM(E10:E17)</f>
        <v>15099801</v>
      </c>
      <c r="F18" s="354">
        <f t="shared" si="0"/>
        <v>8.3937026018061786E-2</v>
      </c>
      <c r="G18" s="289">
        <f>SUM(G10:G17)</f>
        <v>0</v>
      </c>
      <c r="H18" s="289">
        <f>SUM(H10:H17)</f>
        <v>0</v>
      </c>
      <c r="I18" s="354">
        <f t="shared" si="1"/>
        <v>0</v>
      </c>
      <c r="J18" s="290"/>
      <c r="K18" s="289">
        <f>SUM(K10:K17)</f>
        <v>15485801</v>
      </c>
      <c r="L18" s="289">
        <f>SUM(L10:L17)</f>
        <v>15099801</v>
      </c>
      <c r="M18" s="354">
        <f t="shared" si="2"/>
        <v>8.3937026018061786E-2</v>
      </c>
      <c r="N18" s="289">
        <f>SUM(N10:N17)</f>
        <v>0</v>
      </c>
      <c r="O18" s="289">
        <f>SUM(O10:O17)</f>
        <v>0</v>
      </c>
      <c r="P18" s="354">
        <f t="shared" si="3"/>
        <v>0</v>
      </c>
    </row>
    <row r="19" spans="1:16" ht="20.100000000000001" customHeight="1" x14ac:dyDescent="0.3">
      <c r="A19" s="293" t="s">
        <v>204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</row>
    <row r="20" spans="1:16" ht="20.100000000000001" customHeight="1" x14ac:dyDescent="0.25">
      <c r="A20" s="1" t="s">
        <v>272</v>
      </c>
      <c r="B20" s="15">
        <v>8492325</v>
      </c>
      <c r="C20" s="15">
        <v>0</v>
      </c>
      <c r="D20" s="15">
        <v>8728510</v>
      </c>
      <c r="E20" s="15">
        <v>8492325</v>
      </c>
      <c r="F20" s="16">
        <f t="shared" ref="F20:F30" si="4">IF($B20&gt;0, (E20-$B20)/$B20, )</f>
        <v>0</v>
      </c>
      <c r="G20" s="15">
        <v>0</v>
      </c>
      <c r="H20" s="15">
        <v>0</v>
      </c>
      <c r="I20" s="16">
        <f t="shared" ref="I20:I30" si="5">IF($C20&gt;0, (H20-$C20)/$C20, )</f>
        <v>0</v>
      </c>
      <c r="K20" s="15">
        <v>8973537</v>
      </c>
      <c r="L20" s="15">
        <v>8492325</v>
      </c>
      <c r="M20" s="16">
        <f t="shared" ref="M20:M30" si="6">IF($B20&gt;0, (L20-$B20)/$B20, )</f>
        <v>0</v>
      </c>
      <c r="N20" s="15">
        <v>0</v>
      </c>
      <c r="O20" s="15">
        <v>0</v>
      </c>
      <c r="P20" s="16">
        <f t="shared" ref="P20:P30" si="7">IF($C20&gt;0, (O20-$C20)/$C20, )</f>
        <v>0</v>
      </c>
    </row>
    <row r="21" spans="1:16" ht="20.100000000000001" customHeight="1" x14ac:dyDescent="0.25">
      <c r="A21" s="1" t="s">
        <v>273</v>
      </c>
      <c r="B21" s="15">
        <v>3711561</v>
      </c>
      <c r="C21" s="15">
        <v>0</v>
      </c>
      <c r="D21" s="15">
        <v>4061828</v>
      </c>
      <c r="E21" s="15">
        <v>3711561</v>
      </c>
      <c r="F21" s="16">
        <f t="shared" si="4"/>
        <v>0</v>
      </c>
      <c r="G21" s="15">
        <v>0</v>
      </c>
      <c r="H21" s="15">
        <v>0</v>
      </c>
      <c r="I21" s="16">
        <f t="shared" si="5"/>
        <v>0</v>
      </c>
      <c r="K21" s="15">
        <v>4177915</v>
      </c>
      <c r="L21" s="15">
        <v>3711561</v>
      </c>
      <c r="M21" s="16">
        <f t="shared" si="6"/>
        <v>0</v>
      </c>
      <c r="N21" s="15">
        <v>0</v>
      </c>
      <c r="O21" s="15">
        <v>0</v>
      </c>
      <c r="P21" s="16">
        <f t="shared" si="7"/>
        <v>0</v>
      </c>
    </row>
    <row r="22" spans="1:16" ht="20.100000000000001" customHeight="1" x14ac:dyDescent="0.25">
      <c r="A22" s="1" t="s">
        <v>274</v>
      </c>
      <c r="B22" s="15">
        <v>522558</v>
      </c>
      <c r="C22" s="15">
        <v>0</v>
      </c>
      <c r="D22" s="15">
        <v>538891</v>
      </c>
      <c r="E22" s="15">
        <v>522558</v>
      </c>
      <c r="F22" s="16">
        <f t="shared" si="4"/>
        <v>0</v>
      </c>
      <c r="G22" s="15">
        <v>0</v>
      </c>
      <c r="H22" s="15">
        <v>0</v>
      </c>
      <c r="I22" s="16">
        <f t="shared" si="5"/>
        <v>0</v>
      </c>
      <c r="K22" s="15">
        <v>555508</v>
      </c>
      <c r="L22" s="15">
        <v>522558</v>
      </c>
      <c r="M22" s="16">
        <f t="shared" si="6"/>
        <v>0</v>
      </c>
      <c r="N22" s="15">
        <v>0</v>
      </c>
      <c r="O22" s="15">
        <v>0</v>
      </c>
      <c r="P22" s="16">
        <f t="shared" si="7"/>
        <v>0</v>
      </c>
    </row>
    <row r="23" spans="1:16" ht="20.100000000000001" customHeight="1" x14ac:dyDescent="0.25">
      <c r="A23" s="1" t="s">
        <v>275</v>
      </c>
      <c r="B23" s="15">
        <v>7487816</v>
      </c>
      <c r="C23" s="15">
        <v>0</v>
      </c>
      <c r="D23" s="15">
        <v>7738007</v>
      </c>
      <c r="E23" s="15">
        <v>7487816</v>
      </c>
      <c r="F23" s="16">
        <f t="shared" si="4"/>
        <v>0</v>
      </c>
      <c r="G23" s="15">
        <v>0</v>
      </c>
      <c r="H23" s="15">
        <v>0</v>
      </c>
      <c r="I23" s="16">
        <f t="shared" si="5"/>
        <v>0</v>
      </c>
      <c r="K23" s="15">
        <v>7997457</v>
      </c>
      <c r="L23" s="15">
        <v>7487816</v>
      </c>
      <c r="M23" s="16">
        <f t="shared" si="6"/>
        <v>0</v>
      </c>
      <c r="N23" s="15">
        <v>0</v>
      </c>
      <c r="O23" s="15">
        <v>0</v>
      </c>
      <c r="P23" s="16">
        <f t="shared" si="7"/>
        <v>0</v>
      </c>
    </row>
    <row r="24" spans="1:16" ht="20.100000000000001" customHeight="1" x14ac:dyDescent="0.25">
      <c r="A24" s="1" t="s">
        <v>276</v>
      </c>
      <c r="B24" s="15">
        <v>2130063</v>
      </c>
      <c r="C24" s="15">
        <v>0</v>
      </c>
      <c r="D24" s="15">
        <v>916605</v>
      </c>
      <c r="E24" s="15">
        <v>916605</v>
      </c>
      <c r="F24" s="16">
        <f t="shared" si="4"/>
        <v>-0.56968174180763664</v>
      </c>
      <c r="G24" s="15">
        <v>0</v>
      </c>
      <c r="H24" s="15">
        <v>0</v>
      </c>
      <c r="I24" s="16">
        <f t="shared" si="5"/>
        <v>0</v>
      </c>
      <c r="K24" s="15">
        <v>916605</v>
      </c>
      <c r="L24" s="15">
        <v>916605</v>
      </c>
      <c r="M24" s="16">
        <f t="shared" si="6"/>
        <v>-0.56968174180763664</v>
      </c>
      <c r="N24" s="15">
        <v>0</v>
      </c>
      <c r="O24" s="15">
        <v>0</v>
      </c>
      <c r="P24" s="16">
        <f t="shared" si="7"/>
        <v>0</v>
      </c>
    </row>
    <row r="25" spans="1:16" ht="20.100000000000001" customHeight="1" x14ac:dyDescent="0.25">
      <c r="A25" s="1" t="s">
        <v>277</v>
      </c>
      <c r="B25" s="15">
        <v>4430212</v>
      </c>
      <c r="C25" s="15">
        <v>0</v>
      </c>
      <c r="D25" s="15">
        <v>4430212</v>
      </c>
      <c r="E25" s="15">
        <v>4430212</v>
      </c>
      <c r="F25" s="16">
        <f t="shared" si="4"/>
        <v>0</v>
      </c>
      <c r="G25" s="15">
        <v>0</v>
      </c>
      <c r="H25" s="15">
        <v>0</v>
      </c>
      <c r="I25" s="16">
        <f t="shared" si="5"/>
        <v>0</v>
      </c>
      <c r="K25" s="15">
        <v>4430212</v>
      </c>
      <c r="L25" s="15">
        <v>4430212</v>
      </c>
      <c r="M25" s="16">
        <f t="shared" si="6"/>
        <v>0</v>
      </c>
      <c r="N25" s="15">
        <v>0</v>
      </c>
      <c r="O25" s="15">
        <v>0</v>
      </c>
      <c r="P25" s="16">
        <f t="shared" si="7"/>
        <v>0</v>
      </c>
    </row>
    <row r="26" spans="1:16" ht="20.100000000000001" customHeight="1" thickBot="1" x14ac:dyDescent="0.3">
      <c r="A26" s="1" t="s">
        <v>278</v>
      </c>
      <c r="B26" s="15">
        <v>6695258</v>
      </c>
      <c r="C26" s="15">
        <v>0</v>
      </c>
      <c r="D26" s="15">
        <v>7140082</v>
      </c>
      <c r="E26" s="15">
        <v>6695258</v>
      </c>
      <c r="F26" s="16">
        <f t="shared" si="4"/>
        <v>0</v>
      </c>
      <c r="G26" s="15">
        <v>0</v>
      </c>
      <c r="H26" s="15">
        <v>0</v>
      </c>
      <c r="I26" s="16">
        <f t="shared" si="5"/>
        <v>0</v>
      </c>
      <c r="J26"/>
      <c r="K26" s="15">
        <v>7466417</v>
      </c>
      <c r="L26" s="15">
        <v>6695258</v>
      </c>
      <c r="M26" s="16">
        <f t="shared" si="6"/>
        <v>0</v>
      </c>
      <c r="N26" s="15">
        <v>0</v>
      </c>
      <c r="O26" s="15">
        <v>0</v>
      </c>
      <c r="P26" s="16">
        <f t="shared" si="7"/>
        <v>0</v>
      </c>
    </row>
    <row r="27" spans="1:16" ht="20.100000000000001" customHeight="1" thickTop="1" thickBot="1" x14ac:dyDescent="0.3">
      <c r="A27" s="1" t="s">
        <v>279</v>
      </c>
      <c r="B27" s="15">
        <v>0</v>
      </c>
      <c r="C27" s="15">
        <v>150000</v>
      </c>
      <c r="D27" s="15">
        <v>0</v>
      </c>
      <c r="E27" s="15">
        <v>0</v>
      </c>
      <c r="F27" s="16">
        <f t="shared" si="4"/>
        <v>0</v>
      </c>
      <c r="G27" s="15">
        <v>150000</v>
      </c>
      <c r="H27" s="15">
        <v>150000</v>
      </c>
      <c r="I27" s="16">
        <f t="shared" si="5"/>
        <v>0</v>
      </c>
      <c r="J27"/>
      <c r="K27" s="15">
        <v>0</v>
      </c>
      <c r="L27" s="15">
        <v>0</v>
      </c>
      <c r="M27" s="16">
        <f t="shared" si="6"/>
        <v>0</v>
      </c>
      <c r="N27" s="15">
        <v>150000</v>
      </c>
      <c r="O27" s="15">
        <v>150000</v>
      </c>
      <c r="P27" s="16">
        <f t="shared" si="7"/>
        <v>0</v>
      </c>
    </row>
    <row r="28" spans="1:16" ht="20.100000000000001" customHeight="1" x14ac:dyDescent="0.25">
      <c r="A28" s="1" t="s">
        <v>280</v>
      </c>
      <c r="B28" s="15">
        <v>0</v>
      </c>
      <c r="C28" s="15">
        <v>590000</v>
      </c>
      <c r="D28" s="15">
        <v>0</v>
      </c>
      <c r="E28" s="15">
        <v>0</v>
      </c>
      <c r="F28" s="16">
        <f t="shared" si="4"/>
        <v>0</v>
      </c>
      <c r="G28" s="15">
        <v>651629</v>
      </c>
      <c r="H28" s="15">
        <v>0</v>
      </c>
      <c r="I28" s="16">
        <f t="shared" si="5"/>
        <v>-1</v>
      </c>
      <c r="K28" s="15">
        <v>0</v>
      </c>
      <c r="L28" s="15">
        <v>0</v>
      </c>
      <c r="M28" s="16">
        <f t="shared" si="6"/>
        <v>0</v>
      </c>
      <c r="N28" s="15">
        <v>651629</v>
      </c>
      <c r="O28" s="15">
        <v>0</v>
      </c>
      <c r="P28" s="16">
        <f t="shared" si="7"/>
        <v>-1</v>
      </c>
    </row>
    <row r="29" spans="1:16" ht="20.100000000000001" customHeight="1" x14ac:dyDescent="0.25">
      <c r="A29" s="1" t="s">
        <v>281</v>
      </c>
      <c r="B29" s="15">
        <v>0</v>
      </c>
      <c r="C29" s="15">
        <v>0</v>
      </c>
      <c r="D29" s="15">
        <v>2000000</v>
      </c>
      <c r="E29" s="15">
        <v>2425000</v>
      </c>
      <c r="F29" s="16">
        <f t="shared" si="4"/>
        <v>0</v>
      </c>
      <c r="G29" s="15">
        <v>0</v>
      </c>
      <c r="H29" s="15">
        <v>0</v>
      </c>
      <c r="I29" s="16">
        <f t="shared" si="5"/>
        <v>0</v>
      </c>
      <c r="K29" s="15">
        <v>2000000</v>
      </c>
      <c r="L29" s="15">
        <v>2425000</v>
      </c>
      <c r="M29" s="16">
        <f t="shared" si="6"/>
        <v>0</v>
      </c>
      <c r="N29" s="15">
        <v>0</v>
      </c>
      <c r="O29" s="15">
        <v>0</v>
      </c>
      <c r="P29" s="16">
        <f t="shared" si="7"/>
        <v>0</v>
      </c>
    </row>
    <row r="30" spans="1:16" ht="20.100000000000001" customHeight="1" x14ac:dyDescent="0.3">
      <c r="A30" s="291" t="s">
        <v>214</v>
      </c>
      <c r="B30" s="289">
        <f>SUM(B20:B29)</f>
        <v>33469793</v>
      </c>
      <c r="C30" s="289">
        <f>SUM(C20:C29)</f>
        <v>740000</v>
      </c>
      <c r="D30" s="289">
        <f>SUM(D20:D29)</f>
        <v>35554135</v>
      </c>
      <c r="E30" s="289">
        <f>SUM(E20:E29)</f>
        <v>34681335</v>
      </c>
      <c r="F30" s="354">
        <f t="shared" si="4"/>
        <v>3.6198072691994237E-2</v>
      </c>
      <c r="G30" s="289">
        <f>SUM(G20:G29)</f>
        <v>801629</v>
      </c>
      <c r="H30" s="289">
        <f>SUM(H20:H29)</f>
        <v>150000</v>
      </c>
      <c r="I30" s="354">
        <f t="shared" si="5"/>
        <v>-0.79729729729729726</v>
      </c>
      <c r="J30" s="290"/>
      <c r="K30" s="289">
        <f>SUM(K20:K29)</f>
        <v>36517651</v>
      </c>
      <c r="L30" s="289">
        <f>SUM(L20:L29)</f>
        <v>34681335</v>
      </c>
      <c r="M30" s="354">
        <f t="shared" si="6"/>
        <v>3.6198072691994237E-2</v>
      </c>
      <c r="N30" s="289">
        <f>SUM(N20:N29)</f>
        <v>801629</v>
      </c>
      <c r="O30" s="289">
        <f>SUM(O20:O29)</f>
        <v>150000</v>
      </c>
      <c r="P30" s="354">
        <f t="shared" si="7"/>
        <v>-0.79729729729729726</v>
      </c>
    </row>
    <row r="31" spans="1:16" ht="20.100000000000001" customHeight="1" x14ac:dyDescent="0.3">
      <c r="A31" s="293" t="s">
        <v>215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</row>
    <row r="32" spans="1:16" ht="20.100000000000001" customHeight="1" x14ac:dyDescent="0.25">
      <c r="A32" s="1" t="s">
        <v>282</v>
      </c>
      <c r="B32" s="15">
        <v>4384956</v>
      </c>
      <c r="C32" s="15">
        <v>0</v>
      </c>
      <c r="D32" s="15">
        <v>4494580</v>
      </c>
      <c r="E32" s="15">
        <v>4384956</v>
      </c>
      <c r="F32" s="16">
        <f>IF($B32&gt;0, (E32-$B32)/$B32, )</f>
        <v>0</v>
      </c>
      <c r="G32" s="15">
        <v>0</v>
      </c>
      <c r="H32" s="15">
        <v>0</v>
      </c>
      <c r="I32" s="16">
        <f>IF($C32&gt;0, (H32-$C32)/$C32, )</f>
        <v>0</v>
      </c>
      <c r="K32" s="15">
        <v>4494580</v>
      </c>
      <c r="L32" s="15">
        <v>4384956</v>
      </c>
      <c r="M32" s="16">
        <f>IF($B32&gt;0, (L32-$B32)/$B32, )</f>
        <v>0</v>
      </c>
      <c r="N32" s="15">
        <v>0</v>
      </c>
      <c r="O32" s="15">
        <v>0</v>
      </c>
      <c r="P32" s="16">
        <f>IF($C32&gt;0, (O32-$C32)/$C32, )</f>
        <v>0</v>
      </c>
    </row>
    <row r="33" spans="1:16" ht="20.100000000000001" customHeight="1" x14ac:dyDescent="0.25">
      <c r="A33" s="1" t="s">
        <v>283</v>
      </c>
      <c r="B33" s="15">
        <v>209636</v>
      </c>
      <c r="C33" s="15">
        <v>0</v>
      </c>
      <c r="D33" s="15">
        <v>238815</v>
      </c>
      <c r="E33" s="15">
        <v>238815</v>
      </c>
      <c r="F33" s="16">
        <f>IF($B33&gt;0, (E33-$B33)/$B33, )</f>
        <v>0.13918887977255814</v>
      </c>
      <c r="G33" s="15">
        <v>0</v>
      </c>
      <c r="H33" s="15">
        <v>0</v>
      </c>
      <c r="I33" s="16">
        <f>IF($C33&gt;0, (H33-$C33)/$C33, )</f>
        <v>0</v>
      </c>
      <c r="K33" s="15">
        <v>238815</v>
      </c>
      <c r="L33" s="15">
        <v>238815</v>
      </c>
      <c r="M33" s="16">
        <f>IF($B33&gt;0, (L33-$B33)/$B33, )</f>
        <v>0.13918887977255814</v>
      </c>
      <c r="N33" s="15">
        <v>0</v>
      </c>
      <c r="O33" s="15">
        <v>0</v>
      </c>
      <c r="P33" s="16">
        <f>IF($C33&gt;0, (O33-$C33)/$C33, )</f>
        <v>0</v>
      </c>
    </row>
    <row r="34" spans="1:16" ht="20.100000000000001" customHeight="1" x14ac:dyDescent="0.25">
      <c r="A34" s="1" t="s">
        <v>284</v>
      </c>
      <c r="B34" s="15">
        <v>2500000</v>
      </c>
      <c r="C34" s="15">
        <v>0</v>
      </c>
      <c r="D34" s="15">
        <v>4500000</v>
      </c>
      <c r="E34" s="15">
        <v>2500000</v>
      </c>
      <c r="F34" s="16">
        <f>IF($B34&gt;0, (E34-$B34)/$B34, )</f>
        <v>0</v>
      </c>
      <c r="G34" s="15">
        <v>0</v>
      </c>
      <c r="H34" s="15">
        <v>0</v>
      </c>
      <c r="I34" s="16">
        <f>IF($C34&gt;0, (H34-$C34)/$C34, )</f>
        <v>0</v>
      </c>
      <c r="K34" s="15">
        <v>4500000</v>
      </c>
      <c r="L34" s="15">
        <v>2500000</v>
      </c>
      <c r="M34" s="16">
        <f>IF($B34&gt;0, (L34-$B34)/$B34, )</f>
        <v>0</v>
      </c>
      <c r="N34" s="15">
        <v>0</v>
      </c>
      <c r="O34" s="15">
        <v>0</v>
      </c>
      <c r="P34" s="16">
        <f>IF($C34&gt;0, (O34-$C34)/$C34, )</f>
        <v>0</v>
      </c>
    </row>
    <row r="35" spans="1:16" ht="20.100000000000001" customHeight="1" x14ac:dyDescent="0.3">
      <c r="A35" s="291" t="s">
        <v>220</v>
      </c>
      <c r="B35" s="289">
        <f>SUM(B32:B34)</f>
        <v>7094592</v>
      </c>
      <c r="C35" s="289">
        <f>SUM(C32:C34)</f>
        <v>0</v>
      </c>
      <c r="D35" s="289">
        <f>SUM(D32:D34)</f>
        <v>9233395</v>
      </c>
      <c r="E35" s="289">
        <f>SUM(E32:E34)</f>
        <v>7123771</v>
      </c>
      <c r="F35" s="354">
        <f>IF($B35&gt;0, (E35-$B35)/$B35, )</f>
        <v>4.1128510279379001E-3</v>
      </c>
      <c r="G35" s="289">
        <f>SUM(G32:G34)</f>
        <v>0</v>
      </c>
      <c r="H35" s="289">
        <f>SUM(H32:H34)</f>
        <v>0</v>
      </c>
      <c r="I35" s="354">
        <f>IF($C35&gt;0, (H35-$C35)/$C35, )</f>
        <v>0</v>
      </c>
      <c r="J35" s="290"/>
      <c r="K35" s="289">
        <f>SUM(K32:K34)</f>
        <v>9233395</v>
      </c>
      <c r="L35" s="289">
        <f>SUM(L32:L34)</f>
        <v>7123771</v>
      </c>
      <c r="M35" s="354">
        <f>IF($B35&gt;0, (L35-$B35)/$B35, )</f>
        <v>4.1128510279379001E-3</v>
      </c>
      <c r="N35" s="289">
        <f>SUM(N32:N34)</f>
        <v>0</v>
      </c>
      <c r="O35" s="289">
        <f>SUM(O32:O34)</f>
        <v>0</v>
      </c>
      <c r="P35" s="354">
        <f>IF($C35&gt;0, (O35-$C35)/$C35, )</f>
        <v>0</v>
      </c>
    </row>
    <row r="36" spans="1:16" ht="20.100000000000001" customHeight="1" x14ac:dyDescent="0.3">
      <c r="A36" s="293" t="s">
        <v>221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</row>
    <row r="37" spans="1:16" ht="20.100000000000001" customHeight="1" x14ac:dyDescent="0.25">
      <c r="A37" s="1" t="s">
        <v>285</v>
      </c>
      <c r="B37" s="15">
        <v>446438</v>
      </c>
      <c r="C37" s="15">
        <v>0</v>
      </c>
      <c r="D37" s="15">
        <v>446438</v>
      </c>
      <c r="E37" s="15">
        <v>446438</v>
      </c>
      <c r="F37" s="16">
        <f>IF($B37&gt;0, (E37-$B37)/$B37, )</f>
        <v>0</v>
      </c>
      <c r="G37" s="15">
        <v>0</v>
      </c>
      <c r="H37" s="15">
        <v>0</v>
      </c>
      <c r="I37" s="16">
        <f>IF($C37&gt;0, (H37-$C37)/$C37, )</f>
        <v>0</v>
      </c>
      <c r="K37" s="15">
        <v>446438</v>
      </c>
      <c r="L37" s="15">
        <v>446438</v>
      </c>
      <c r="M37" s="16">
        <f>IF($B37&gt;0, (L37-$B37)/$B37, )</f>
        <v>0</v>
      </c>
      <c r="N37" s="15">
        <v>0</v>
      </c>
      <c r="O37" s="15">
        <v>0</v>
      </c>
      <c r="P37" s="16">
        <f>IF($C37&gt;0, (O37-$C37)/$C37, )</f>
        <v>0</v>
      </c>
    </row>
    <row r="38" spans="1:16" ht="20.100000000000001" customHeight="1" x14ac:dyDescent="0.25">
      <c r="A38" s="1" t="s">
        <v>286</v>
      </c>
      <c r="B38" s="15">
        <v>176257</v>
      </c>
      <c r="C38" s="15">
        <v>0</v>
      </c>
      <c r="D38" s="15">
        <v>199620</v>
      </c>
      <c r="E38" s="15">
        <v>199620</v>
      </c>
      <c r="F38" s="16">
        <f>IF($B38&gt;0, (E38-$B38)/$B38, )</f>
        <v>0.13255076394129028</v>
      </c>
      <c r="G38" s="15">
        <v>0</v>
      </c>
      <c r="H38" s="15">
        <v>0</v>
      </c>
      <c r="I38" s="16">
        <f>IF($C38&gt;0, (H38-$C38)/$C38, )</f>
        <v>0</v>
      </c>
      <c r="K38" s="15">
        <v>199620</v>
      </c>
      <c r="L38" s="15">
        <v>199620</v>
      </c>
      <c r="M38" s="16">
        <f>IF($B38&gt;0, (L38-$B38)/$B38, )</f>
        <v>0.13255076394129028</v>
      </c>
      <c r="N38" s="15">
        <v>0</v>
      </c>
      <c r="O38" s="15">
        <v>0</v>
      </c>
      <c r="P38" s="16">
        <f>IF($C38&gt;0, (O38-$C38)/$C38, )</f>
        <v>0</v>
      </c>
    </row>
    <row r="39" spans="1:16" ht="20.100000000000001" customHeight="1" x14ac:dyDescent="0.25">
      <c r="A39" s="1" t="s">
        <v>287</v>
      </c>
      <c r="B39" s="15">
        <v>204000</v>
      </c>
      <c r="C39" s="15">
        <v>0</v>
      </c>
      <c r="D39" s="15">
        <v>204000</v>
      </c>
      <c r="E39" s="15">
        <v>204000</v>
      </c>
      <c r="F39" s="16">
        <f>IF($B39&gt;0, (E39-$B39)/$B39, )</f>
        <v>0</v>
      </c>
      <c r="G39" s="15">
        <v>0</v>
      </c>
      <c r="H39" s="15">
        <v>0</v>
      </c>
      <c r="I39" s="16">
        <f>IF($C39&gt;0, (H39-$C39)/$C39, )</f>
        <v>0</v>
      </c>
      <c r="K39" s="15">
        <v>204000</v>
      </c>
      <c r="L39" s="15">
        <v>204000</v>
      </c>
      <c r="M39" s="16">
        <f>IF($B39&gt;0, (L39-$B39)/$B39, )</f>
        <v>0</v>
      </c>
      <c r="N39" s="15">
        <v>0</v>
      </c>
      <c r="O39" s="15">
        <v>0</v>
      </c>
      <c r="P39" s="16">
        <f>IF($C39&gt;0, (O39-$C39)/$C39, )</f>
        <v>0</v>
      </c>
    </row>
    <row r="40" spans="1:16" ht="20.100000000000001" customHeight="1" x14ac:dyDescent="0.25">
      <c r="A40" s="1" t="s">
        <v>288</v>
      </c>
      <c r="B40" s="15">
        <v>600000</v>
      </c>
      <c r="C40" s="15">
        <v>0</v>
      </c>
      <c r="D40" s="15">
        <v>600000</v>
      </c>
      <c r="E40" s="15">
        <v>600000</v>
      </c>
      <c r="F40" s="16">
        <f>IF($B40&gt;0, (E40-$B40)/$B40, )</f>
        <v>0</v>
      </c>
      <c r="G40" s="15">
        <v>0</v>
      </c>
      <c r="H40" s="15">
        <v>0</v>
      </c>
      <c r="I40" s="16">
        <f>IF($C40&gt;0, (H40-$C40)/$C40, )</f>
        <v>0</v>
      </c>
      <c r="K40" s="15">
        <v>600000</v>
      </c>
      <c r="L40" s="15">
        <v>600000</v>
      </c>
      <c r="M40" s="16">
        <f>IF($B40&gt;0, (L40-$B40)/$B40, )</f>
        <v>0</v>
      </c>
      <c r="N40" s="15">
        <v>0</v>
      </c>
      <c r="O40" s="15">
        <v>0</v>
      </c>
      <c r="P40" s="16">
        <f>IF($C40&gt;0, (O40-$C40)/$C40, )</f>
        <v>0</v>
      </c>
    </row>
    <row r="41" spans="1:16" ht="20.100000000000001" customHeight="1" x14ac:dyDescent="0.3">
      <c r="A41" s="291" t="s">
        <v>224</v>
      </c>
      <c r="B41" s="289">
        <f>SUM(B37:B40)</f>
        <v>1426695</v>
      </c>
      <c r="C41" s="289">
        <f>SUM(C37:C40)</f>
        <v>0</v>
      </c>
      <c r="D41" s="289">
        <f>SUM(D37:D40)</f>
        <v>1450058</v>
      </c>
      <c r="E41" s="289">
        <f>SUM(E37:E40)</f>
        <v>1450058</v>
      </c>
      <c r="F41" s="354">
        <f>IF($B41&gt;0, (E41-$B41)/$B41, )</f>
        <v>1.6375609362898166E-2</v>
      </c>
      <c r="G41" s="289">
        <f>SUM(G37:G40)</f>
        <v>0</v>
      </c>
      <c r="H41" s="289">
        <f>SUM(H37:H40)</f>
        <v>0</v>
      </c>
      <c r="I41" s="354">
        <f>IF($C41&gt;0, (H41-$C41)/$C41, )</f>
        <v>0</v>
      </c>
      <c r="J41" s="290"/>
      <c r="K41" s="289">
        <f>SUM(K37:K40)</f>
        <v>1450058</v>
      </c>
      <c r="L41" s="289">
        <f>SUM(L37:L40)</f>
        <v>1450058</v>
      </c>
      <c r="M41" s="354">
        <f>IF($B41&gt;0, (L41-$B41)/$B41, )</f>
        <v>1.6375609362898166E-2</v>
      </c>
      <c r="N41" s="289">
        <f>SUM(N37:N40)</f>
        <v>0</v>
      </c>
      <c r="O41" s="289">
        <f>SUM(O37:O40)</f>
        <v>0</v>
      </c>
      <c r="P41" s="354">
        <f>IF($C41&gt;0, (O41-$C41)/$C41, )</f>
        <v>0</v>
      </c>
    </row>
    <row r="42" spans="1:16" ht="20.100000000000001" customHeight="1" x14ac:dyDescent="0.3">
      <c r="A42" s="293" t="s">
        <v>225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</row>
    <row r="43" spans="1:16" ht="20.100000000000001" customHeight="1" x14ac:dyDescent="0.25">
      <c r="A43" s="1" t="s">
        <v>289</v>
      </c>
      <c r="B43" s="15">
        <v>236153</v>
      </c>
      <c r="C43" s="15">
        <v>0</v>
      </c>
      <c r="D43" s="15">
        <v>555480</v>
      </c>
      <c r="E43" s="15">
        <v>555480</v>
      </c>
      <c r="F43" s="16">
        <f>IF($B43&gt;0, (E43-$B43)/$B43, )</f>
        <v>1.3522038678314483</v>
      </c>
      <c r="G43" s="15">
        <v>0</v>
      </c>
      <c r="H43" s="15">
        <v>0</v>
      </c>
      <c r="I43" s="16">
        <f>IF($C43&gt;0, (H43-$C43)/$C43, )</f>
        <v>0</v>
      </c>
      <c r="K43" s="15">
        <v>555480</v>
      </c>
      <c r="L43" s="15">
        <v>555480</v>
      </c>
      <c r="M43" s="16">
        <f>IF($B43&gt;0, (L43-$B43)/$B43, )</f>
        <v>1.3522038678314483</v>
      </c>
      <c r="N43" s="15">
        <v>0</v>
      </c>
      <c r="O43" s="15">
        <v>0</v>
      </c>
      <c r="P43" s="16">
        <f>IF($C43&gt;0, (O43-$C43)/$C43, )</f>
        <v>0</v>
      </c>
    </row>
    <row r="44" spans="1:16" ht="20.100000000000001" customHeight="1" x14ac:dyDescent="0.25">
      <c r="A44" s="1" t="s">
        <v>290</v>
      </c>
      <c r="B44" s="15">
        <v>486878</v>
      </c>
      <c r="C44" s="15">
        <v>0</v>
      </c>
      <c r="D44" s="15">
        <v>535566</v>
      </c>
      <c r="E44" s="15">
        <v>486878</v>
      </c>
      <c r="F44" s="16">
        <f>IF($B44&gt;0, (E44-$B44)/$B44, )</f>
        <v>0</v>
      </c>
      <c r="G44" s="15">
        <v>0</v>
      </c>
      <c r="H44" s="15">
        <v>0</v>
      </c>
      <c r="I44" s="16">
        <f>IF($C44&gt;0, (H44-$C44)/$C44, )</f>
        <v>0</v>
      </c>
      <c r="K44" s="15">
        <v>589123</v>
      </c>
      <c r="L44" s="15">
        <v>486878</v>
      </c>
      <c r="M44" s="16">
        <f>IF($B44&gt;0, (L44-$B44)/$B44, )</f>
        <v>0</v>
      </c>
      <c r="N44" s="15">
        <v>0</v>
      </c>
      <c r="O44" s="15">
        <v>0</v>
      </c>
      <c r="P44" s="16">
        <f>IF($C44&gt;0, (O44-$C44)/$C44, )</f>
        <v>0</v>
      </c>
    </row>
    <row r="45" spans="1:16" ht="20.100000000000001" customHeight="1" x14ac:dyDescent="0.25">
      <c r="A45" s="1" t="s">
        <v>291</v>
      </c>
      <c r="B45" s="15">
        <v>0</v>
      </c>
      <c r="C45" s="15">
        <v>0</v>
      </c>
      <c r="D45" s="15">
        <v>165000</v>
      </c>
      <c r="E45" s="15">
        <v>0</v>
      </c>
      <c r="F45" s="16">
        <f>IF($B45&gt;0, (E45-$B45)/$B45, )</f>
        <v>0</v>
      </c>
      <c r="G45" s="15">
        <v>0</v>
      </c>
      <c r="H45" s="15">
        <v>0</v>
      </c>
      <c r="I45" s="16">
        <f>IF($C45&gt;0, (H45-$C45)/$C45, )</f>
        <v>0</v>
      </c>
      <c r="K45" s="15">
        <v>570000</v>
      </c>
      <c r="L45" s="15">
        <v>0</v>
      </c>
      <c r="M45" s="16">
        <f>IF($B45&gt;0, (L45-$B45)/$B45, )</f>
        <v>0</v>
      </c>
      <c r="N45" s="15">
        <v>0</v>
      </c>
      <c r="O45" s="15">
        <v>0</v>
      </c>
      <c r="P45" s="16">
        <f>IF($C45&gt;0, (O45-$C45)/$C45, )</f>
        <v>0</v>
      </c>
    </row>
    <row r="46" spans="1:16" ht="20.100000000000001" customHeight="1" x14ac:dyDescent="0.25">
      <c r="A46" s="1" t="s">
        <v>292</v>
      </c>
      <c r="B46" s="15">
        <v>0</v>
      </c>
      <c r="C46" s="15">
        <v>0</v>
      </c>
      <c r="D46" s="15">
        <v>236000</v>
      </c>
      <c r="E46" s="15">
        <v>0</v>
      </c>
      <c r="F46" s="16">
        <f>IF($B46&gt;0, (E46-$B46)/$B46, )</f>
        <v>0</v>
      </c>
      <c r="G46" s="15">
        <v>0</v>
      </c>
      <c r="H46" s="15">
        <v>0</v>
      </c>
      <c r="I46" s="16">
        <f>IF($C46&gt;0, (H46-$C46)/$C46, )</f>
        <v>0</v>
      </c>
      <c r="K46" s="15">
        <v>236000</v>
      </c>
      <c r="L46" s="15">
        <v>0</v>
      </c>
      <c r="M46" s="16">
        <f>IF($B46&gt;0, (L46-$B46)/$B46, )</f>
        <v>0</v>
      </c>
      <c r="N46" s="15">
        <v>0</v>
      </c>
      <c r="O46" s="15">
        <v>0</v>
      </c>
      <c r="P46" s="16">
        <f>IF($C46&gt;0, (O46-$C46)/$C46, )</f>
        <v>0</v>
      </c>
    </row>
    <row r="47" spans="1:16" ht="20.100000000000001" customHeight="1" x14ac:dyDescent="0.3">
      <c r="A47" s="291" t="s">
        <v>228</v>
      </c>
      <c r="B47" s="289">
        <f>SUM(B43:B46)</f>
        <v>723031</v>
      </c>
      <c r="C47" s="289">
        <f>SUM(C43:C46)</f>
        <v>0</v>
      </c>
      <c r="D47" s="289">
        <f>SUM(D43:D46)</f>
        <v>1492046</v>
      </c>
      <c r="E47" s="289">
        <f>SUM(E43:E46)</f>
        <v>1042358</v>
      </c>
      <c r="F47" s="354">
        <f>IF($B47&gt;0, (E47-$B47)/$B47, )</f>
        <v>0.44165049631343606</v>
      </c>
      <c r="G47" s="289">
        <f>SUM(G43:G46)</f>
        <v>0</v>
      </c>
      <c r="H47" s="289">
        <f>SUM(H43:H46)</f>
        <v>0</v>
      </c>
      <c r="I47" s="354">
        <f>IF($C47&gt;0, (H47-$C47)/$C47, )</f>
        <v>0</v>
      </c>
      <c r="J47" s="290"/>
      <c r="K47" s="289">
        <f>SUM(K43:K46)</f>
        <v>1950603</v>
      </c>
      <c r="L47" s="289">
        <f>SUM(L43:L46)</f>
        <v>1042358</v>
      </c>
      <c r="M47" s="354">
        <f>IF($B47&gt;0, (L47-$B47)/$B47, )</f>
        <v>0.44165049631343606</v>
      </c>
      <c r="N47" s="289">
        <f>SUM(N43:N46)</f>
        <v>0</v>
      </c>
      <c r="O47" s="289">
        <f>SUM(O43:O46)</f>
        <v>0</v>
      </c>
      <c r="P47" s="354">
        <f>IF($C47&gt;0, (O47-$C47)/$C47, )</f>
        <v>0</v>
      </c>
    </row>
    <row r="48" spans="1:16" ht="20.100000000000001" customHeight="1" x14ac:dyDescent="0.3">
      <c r="A48" s="293" t="s">
        <v>229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</row>
    <row r="49" spans="1:16" ht="20.100000000000001" customHeight="1" x14ac:dyDescent="0.25">
      <c r="A49" s="1" t="s">
        <v>293</v>
      </c>
      <c r="B49" s="15">
        <v>3000000</v>
      </c>
      <c r="C49" s="15">
        <v>0</v>
      </c>
      <c r="D49" s="15">
        <v>4500000</v>
      </c>
      <c r="E49" s="15">
        <v>3000000</v>
      </c>
      <c r="F49" s="16">
        <f>IF($B49&gt;0, (E49-$B49)/$B49, )</f>
        <v>0</v>
      </c>
      <c r="G49" s="15">
        <v>0</v>
      </c>
      <c r="H49" s="15">
        <v>0</v>
      </c>
      <c r="I49" s="16">
        <f>IF($C49&gt;0, (H49-$C49)/$C49, )</f>
        <v>0</v>
      </c>
      <c r="K49" s="15">
        <v>4667000</v>
      </c>
      <c r="L49" s="15">
        <v>3000000</v>
      </c>
      <c r="M49" s="16">
        <f>IF($B49&gt;0, (L49-$B49)/$B49, )</f>
        <v>0</v>
      </c>
      <c r="N49" s="15">
        <v>0</v>
      </c>
      <c r="O49" s="15">
        <v>0</v>
      </c>
      <c r="P49" s="16">
        <f>IF($C49&gt;0, (O49-$C49)/$C49, )</f>
        <v>0</v>
      </c>
    </row>
    <row r="50" spans="1:16" ht="20.100000000000001" customHeight="1" x14ac:dyDescent="0.25">
      <c r="A50" s="1" t="s">
        <v>294</v>
      </c>
      <c r="B50" s="15">
        <v>3714562</v>
      </c>
      <c r="C50" s="15">
        <v>0</v>
      </c>
      <c r="D50" s="15">
        <v>4315365</v>
      </c>
      <c r="E50" s="15">
        <v>4315365</v>
      </c>
      <c r="F50" s="16">
        <f>IF($B50&gt;0, (E50-$B50)/$B50, )</f>
        <v>0.16174262268337425</v>
      </c>
      <c r="G50" s="15">
        <v>0</v>
      </c>
      <c r="H50" s="15">
        <v>0</v>
      </c>
      <c r="I50" s="16">
        <f>IF($C50&gt;0, (H50-$C50)/$C50, )</f>
        <v>0</v>
      </c>
      <c r="K50" s="15">
        <v>4315365</v>
      </c>
      <c r="L50" s="15">
        <v>4315365</v>
      </c>
      <c r="M50" s="16">
        <f>IF($B50&gt;0, (L50-$B50)/$B50, )</f>
        <v>0.16174262268337425</v>
      </c>
      <c r="N50" s="15">
        <v>0</v>
      </c>
      <c r="O50" s="15">
        <v>0</v>
      </c>
      <c r="P50" s="16">
        <f>IF($C50&gt;0, (O50-$C50)/$C50, )</f>
        <v>0</v>
      </c>
    </row>
    <row r="51" spans="1:16" ht="20.100000000000001" customHeight="1" x14ac:dyDescent="0.3">
      <c r="A51" s="291" t="s">
        <v>236</v>
      </c>
      <c r="B51" s="289">
        <f>SUM(B49:B50)</f>
        <v>6714562</v>
      </c>
      <c r="C51" s="289">
        <f>SUM(C49:C50)</f>
        <v>0</v>
      </c>
      <c r="D51" s="289">
        <f>SUM(D49:D50)</f>
        <v>8815365</v>
      </c>
      <c r="E51" s="289">
        <f>SUM(E49:E50)</f>
        <v>7315365</v>
      </c>
      <c r="F51" s="354">
        <f>IF($B51&gt;0, (E51-$B51)/$B51, )</f>
        <v>8.9477615963632476E-2</v>
      </c>
      <c r="G51" s="289">
        <f>SUM(G49:G50)</f>
        <v>0</v>
      </c>
      <c r="H51" s="289">
        <f>SUM(H49:H50)</f>
        <v>0</v>
      </c>
      <c r="I51" s="354">
        <f>IF($C51&gt;0, (H51-$C51)/$C51, )</f>
        <v>0</v>
      </c>
      <c r="J51" s="290"/>
      <c r="K51" s="289">
        <f>SUM(K49:K50)</f>
        <v>8982365</v>
      </c>
      <c r="L51" s="289">
        <f>SUM(L49:L50)</f>
        <v>7315365</v>
      </c>
      <c r="M51" s="354">
        <f>IF($B51&gt;0, (L51-$B51)/$B51, )</f>
        <v>8.9477615963632476E-2</v>
      </c>
      <c r="N51" s="289">
        <f>SUM(N49:N50)</f>
        <v>0</v>
      </c>
      <c r="O51" s="289">
        <f>SUM(O49:O50)</f>
        <v>0</v>
      </c>
      <c r="P51" s="354">
        <f>IF($C51&gt;0, (O51-$C51)/$C51, )</f>
        <v>0</v>
      </c>
    </row>
    <row r="52" spans="1:16" ht="20.100000000000001" customHeight="1" x14ac:dyDescent="0.3">
      <c r="A52" s="293" t="s">
        <v>237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</row>
    <row r="53" spans="1:16" ht="20.100000000000001" customHeight="1" thickBot="1" x14ac:dyDescent="0.3">
      <c r="A53" s="1" t="s">
        <v>295</v>
      </c>
      <c r="B53" s="15">
        <v>13521607</v>
      </c>
      <c r="C53" s="15">
        <v>0</v>
      </c>
      <c r="D53" s="15">
        <v>17073720</v>
      </c>
      <c r="E53" s="15">
        <v>17073720</v>
      </c>
      <c r="F53" s="16">
        <f t="shared" ref="F53:F58" si="8">IF($B53&gt;0, (E53-$B53)/$B53, )</f>
        <v>0.26269902682425245</v>
      </c>
      <c r="G53" s="15">
        <v>0</v>
      </c>
      <c r="H53" s="15">
        <v>0</v>
      </c>
      <c r="I53" s="16">
        <f t="shared" ref="I53:I58" si="9">IF($C53&gt;0, (H53-$C53)/$C53, )</f>
        <v>0</v>
      </c>
      <c r="J53"/>
      <c r="K53" s="15">
        <v>17073720</v>
      </c>
      <c r="L53" s="15">
        <v>17073720</v>
      </c>
      <c r="M53" s="16">
        <f t="shared" ref="M53:M58" si="10">IF($B53&gt;0, (L53-$B53)/$B53, )</f>
        <v>0.26269902682425245</v>
      </c>
      <c r="N53" s="15">
        <v>0</v>
      </c>
      <c r="O53" s="15">
        <v>0</v>
      </c>
      <c r="P53" s="16">
        <f t="shared" ref="P53:P58" si="11">IF($C53&gt;0, (O53-$C53)/$C53, )</f>
        <v>0</v>
      </c>
    </row>
    <row r="54" spans="1:16" ht="20.100000000000001" customHeight="1" thickTop="1" thickBot="1" x14ac:dyDescent="0.3">
      <c r="A54" s="1" t="s">
        <v>296</v>
      </c>
      <c r="B54" s="15">
        <v>1000000</v>
      </c>
      <c r="C54" s="15">
        <v>0</v>
      </c>
      <c r="D54" s="15">
        <v>0</v>
      </c>
      <c r="E54" s="15">
        <v>0</v>
      </c>
      <c r="F54" s="16">
        <f t="shared" si="8"/>
        <v>-1</v>
      </c>
      <c r="G54" s="15">
        <v>0</v>
      </c>
      <c r="H54" s="15">
        <v>0</v>
      </c>
      <c r="I54" s="16">
        <f t="shared" si="9"/>
        <v>0</v>
      </c>
      <c r="J54"/>
      <c r="K54" s="15">
        <v>0</v>
      </c>
      <c r="L54" s="15">
        <v>0</v>
      </c>
      <c r="M54" s="16">
        <f t="shared" si="10"/>
        <v>-1</v>
      </c>
      <c r="N54" s="15">
        <v>0</v>
      </c>
      <c r="O54" s="15">
        <v>0</v>
      </c>
      <c r="P54" s="16">
        <f t="shared" si="11"/>
        <v>0</v>
      </c>
    </row>
    <row r="55" spans="1:16" ht="20.100000000000001" customHeight="1" x14ac:dyDescent="0.25">
      <c r="A55" s="1" t="s">
        <v>297</v>
      </c>
      <c r="B55" s="15">
        <v>1057738</v>
      </c>
      <c r="C55" s="15">
        <v>0</v>
      </c>
      <c r="D55" s="15">
        <v>1057738</v>
      </c>
      <c r="E55" s="15">
        <v>1057738</v>
      </c>
      <c r="F55" s="16">
        <f t="shared" si="8"/>
        <v>0</v>
      </c>
      <c r="G55" s="15">
        <v>0</v>
      </c>
      <c r="H55" s="15">
        <v>0</v>
      </c>
      <c r="I55" s="16">
        <f t="shared" si="9"/>
        <v>0</v>
      </c>
      <c r="K55" s="15">
        <v>1057738</v>
      </c>
      <c r="L55" s="15">
        <v>1057738</v>
      </c>
      <c r="M55" s="16">
        <f t="shared" si="10"/>
        <v>0</v>
      </c>
      <c r="N55" s="15">
        <v>0</v>
      </c>
      <c r="O55" s="15">
        <v>0</v>
      </c>
      <c r="P55" s="16">
        <f t="shared" si="11"/>
        <v>0</v>
      </c>
    </row>
    <row r="56" spans="1:16" ht="20.100000000000001" customHeight="1" x14ac:dyDescent="0.25">
      <c r="A56" s="1" t="s">
        <v>298</v>
      </c>
      <c r="B56" s="15">
        <v>85411</v>
      </c>
      <c r="C56" s="15">
        <v>0</v>
      </c>
      <c r="D56" s="15">
        <v>85411</v>
      </c>
      <c r="E56" s="15">
        <v>85411</v>
      </c>
      <c r="F56" s="16">
        <f t="shared" si="8"/>
        <v>0</v>
      </c>
      <c r="G56" s="15">
        <v>0</v>
      </c>
      <c r="H56" s="15">
        <v>0</v>
      </c>
      <c r="I56" s="16">
        <f t="shared" si="9"/>
        <v>0</v>
      </c>
      <c r="K56" s="15">
        <v>85411</v>
      </c>
      <c r="L56" s="15">
        <v>85411</v>
      </c>
      <c r="M56" s="16">
        <f t="shared" si="10"/>
        <v>0</v>
      </c>
      <c r="N56" s="15">
        <v>0</v>
      </c>
      <c r="O56" s="15">
        <v>0</v>
      </c>
      <c r="P56" s="16">
        <f t="shared" si="11"/>
        <v>0</v>
      </c>
    </row>
    <row r="57" spans="1:16" ht="20.100000000000001" customHeight="1" x14ac:dyDescent="0.25">
      <c r="A57" s="1" t="s">
        <v>299</v>
      </c>
      <c r="B57" s="15">
        <v>710810</v>
      </c>
      <c r="C57" s="15">
        <v>0</v>
      </c>
      <c r="D57" s="15">
        <v>710810</v>
      </c>
      <c r="E57" s="15">
        <v>710810</v>
      </c>
      <c r="F57" s="16">
        <f t="shared" si="8"/>
        <v>0</v>
      </c>
      <c r="G57" s="15">
        <v>0</v>
      </c>
      <c r="H57" s="15">
        <v>0</v>
      </c>
      <c r="I57" s="16">
        <f t="shared" si="9"/>
        <v>0</v>
      </c>
      <c r="K57" s="15">
        <v>710810</v>
      </c>
      <c r="L57" s="15">
        <v>710810</v>
      </c>
      <c r="M57" s="16">
        <f t="shared" si="10"/>
        <v>0</v>
      </c>
      <c r="N57" s="15">
        <v>0</v>
      </c>
      <c r="O57" s="15">
        <v>0</v>
      </c>
      <c r="P57" s="16">
        <f t="shared" si="11"/>
        <v>0</v>
      </c>
    </row>
    <row r="58" spans="1:16" ht="20.100000000000001" customHeight="1" x14ac:dyDescent="0.3">
      <c r="A58" s="291" t="s">
        <v>242</v>
      </c>
      <c r="B58" s="289">
        <f>SUM(B53:B57)</f>
        <v>16375566</v>
      </c>
      <c r="C58" s="289">
        <f>SUM(C53:C57)</f>
        <v>0</v>
      </c>
      <c r="D58" s="289">
        <f>SUM(D53:D57)</f>
        <v>18927679</v>
      </c>
      <c r="E58" s="289">
        <f>SUM(E53:E57)</f>
        <v>18927679</v>
      </c>
      <c r="F58" s="354">
        <f t="shared" si="8"/>
        <v>0.15584884211025132</v>
      </c>
      <c r="G58" s="289">
        <f>SUM(G53:G57)</f>
        <v>0</v>
      </c>
      <c r="H58" s="289">
        <f>SUM(H53:H57)</f>
        <v>0</v>
      </c>
      <c r="I58" s="354">
        <f t="shared" si="9"/>
        <v>0</v>
      </c>
      <c r="J58" s="290"/>
      <c r="K58" s="289">
        <f>SUM(K53:K57)</f>
        <v>18927679</v>
      </c>
      <c r="L58" s="289">
        <f>SUM(L53:L57)</f>
        <v>18927679</v>
      </c>
      <c r="M58" s="354">
        <f t="shared" si="10"/>
        <v>0.15584884211025132</v>
      </c>
      <c r="N58" s="289">
        <f>SUM(N53:N57)</f>
        <v>0</v>
      </c>
      <c r="O58" s="289">
        <f>SUM(O53:O57)</f>
        <v>0</v>
      </c>
      <c r="P58" s="354">
        <f t="shared" si="11"/>
        <v>0</v>
      </c>
    </row>
    <row r="59" spans="1:16" ht="20.100000000000001" customHeight="1" x14ac:dyDescent="0.3">
      <c r="A59" s="293" t="s">
        <v>300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</row>
    <row r="60" spans="1:16" ht="20.100000000000001" customHeight="1" x14ac:dyDescent="0.25">
      <c r="A60" s="1" t="s">
        <v>301</v>
      </c>
      <c r="B60" s="15">
        <v>5312000</v>
      </c>
      <c r="C60" s="15">
        <v>0</v>
      </c>
      <c r="D60" s="15">
        <v>5312000</v>
      </c>
      <c r="E60" s="15">
        <v>4933000</v>
      </c>
      <c r="F60" s="16">
        <f>IF($B60&gt;0, (E60-$B60)/$B60, )</f>
        <v>-7.1347891566265059E-2</v>
      </c>
      <c r="G60" s="15">
        <v>0</v>
      </c>
      <c r="H60" s="15">
        <v>0</v>
      </c>
      <c r="I60" s="16">
        <f>IF($C60&gt;0, (H60-$C60)/$C60, )</f>
        <v>0</v>
      </c>
      <c r="K60" s="15">
        <v>5312000</v>
      </c>
      <c r="L60" s="15">
        <v>4988000</v>
      </c>
      <c r="M60" s="16">
        <f>IF($B60&gt;0, (L60-$B60)/$B60, )</f>
        <v>-6.099397590361446E-2</v>
      </c>
      <c r="N60" s="15">
        <v>0</v>
      </c>
      <c r="O60" s="15">
        <v>0</v>
      </c>
      <c r="P60" s="16">
        <f>IF($C60&gt;0, (O60-$C60)/$C60, )</f>
        <v>0</v>
      </c>
    </row>
    <row r="61" spans="1:16" ht="20.100000000000001" customHeight="1" x14ac:dyDescent="0.3">
      <c r="A61" s="291" t="s">
        <v>302</v>
      </c>
      <c r="B61" s="289">
        <f>SUM(B60:B60)</f>
        <v>5312000</v>
      </c>
      <c r="C61" s="289">
        <f>SUM(C60:C60)</f>
        <v>0</v>
      </c>
      <c r="D61" s="289">
        <f>SUM(D60:D60)</f>
        <v>5312000</v>
      </c>
      <c r="E61" s="289">
        <f>SUM(E60:E60)</f>
        <v>4933000</v>
      </c>
      <c r="F61" s="354">
        <f>IF($B61&gt;0, (E61-$B61)/$B61, )</f>
        <v>-7.1347891566265059E-2</v>
      </c>
      <c r="G61" s="289">
        <f>SUM(G60:G60)</f>
        <v>0</v>
      </c>
      <c r="H61" s="289">
        <f>SUM(H60:H60)</f>
        <v>0</v>
      </c>
      <c r="I61" s="354">
        <f>IF($C61&gt;0, (H61-$C61)/$C61, )</f>
        <v>0</v>
      </c>
      <c r="J61" s="290"/>
      <c r="K61" s="289">
        <f>SUM(K60:K60)</f>
        <v>5312000</v>
      </c>
      <c r="L61" s="289">
        <f>SUM(L60:L60)</f>
        <v>4988000</v>
      </c>
      <c r="M61" s="354">
        <f>IF($B61&gt;0, (L61-$B61)/$B61, )</f>
        <v>-6.099397590361446E-2</v>
      </c>
      <c r="N61" s="289">
        <f>SUM(N60:N60)</f>
        <v>0</v>
      </c>
      <c r="O61" s="289">
        <f>SUM(O60:O60)</f>
        <v>0</v>
      </c>
      <c r="P61" s="354">
        <f>IF($C61&gt;0, (O61-$C61)/$C61, )</f>
        <v>0</v>
      </c>
    </row>
    <row r="62" spans="1:16" ht="20.100000000000001" customHeight="1" x14ac:dyDescent="0.3">
      <c r="A62" s="293" t="s">
        <v>303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</row>
    <row r="63" spans="1:16" ht="20.100000000000001" customHeight="1" x14ac:dyDescent="0.25">
      <c r="A63" s="1" t="s">
        <v>303</v>
      </c>
      <c r="B63" s="15">
        <v>0</v>
      </c>
      <c r="C63" s="15">
        <v>1852698</v>
      </c>
      <c r="D63" s="15">
        <v>0</v>
      </c>
      <c r="E63" s="15">
        <v>0</v>
      </c>
      <c r="F63" s="16">
        <f>IF($B63&gt;0, (E63-$B63)/$B63, )</f>
        <v>0</v>
      </c>
      <c r="G63" s="15">
        <v>1852698</v>
      </c>
      <c r="H63" s="15">
        <v>1852698</v>
      </c>
      <c r="I63" s="16">
        <f>IF($C63&gt;0, (H63-$C63)/$C63, )</f>
        <v>0</v>
      </c>
      <c r="K63" s="15">
        <v>0</v>
      </c>
      <c r="L63" s="15">
        <v>0</v>
      </c>
      <c r="M63" s="16">
        <f>IF($B63&gt;0, (L63-$B63)/$B63, )</f>
        <v>0</v>
      </c>
      <c r="N63" s="15">
        <v>1852698</v>
      </c>
      <c r="O63" s="15">
        <v>1852698</v>
      </c>
      <c r="P63" s="16">
        <f>IF($C63&gt;0, (O63-$C63)/$C63, )</f>
        <v>0</v>
      </c>
    </row>
    <row r="64" spans="1:16" ht="20.100000000000001" customHeight="1" x14ac:dyDescent="0.3">
      <c r="A64" s="291" t="s">
        <v>304</v>
      </c>
      <c r="B64" s="289">
        <f>SUM(B63:B63)</f>
        <v>0</v>
      </c>
      <c r="C64" s="289">
        <f>SUM(C63:C63)</f>
        <v>1852698</v>
      </c>
      <c r="D64" s="289">
        <f>SUM(D63:D63)</f>
        <v>0</v>
      </c>
      <c r="E64" s="289">
        <f>SUM(E63:E63)</f>
        <v>0</v>
      </c>
      <c r="F64" s="354">
        <f>IF($B64&gt;0, (E64-$B64)/$B64, )</f>
        <v>0</v>
      </c>
      <c r="G64" s="289">
        <f>SUM(G63:G63)</f>
        <v>1852698</v>
      </c>
      <c r="H64" s="289">
        <f>SUM(H63:H63)</f>
        <v>1852698</v>
      </c>
      <c r="I64" s="354">
        <f>IF($C64&gt;0, (H64-$C64)/$C64, )</f>
        <v>0</v>
      </c>
      <c r="J64" s="290"/>
      <c r="K64" s="289">
        <f>SUM(K63:K63)</f>
        <v>0</v>
      </c>
      <c r="L64" s="289">
        <f>SUM(L63:L63)</f>
        <v>0</v>
      </c>
      <c r="M64" s="354">
        <f>IF($B64&gt;0, (L64-$B64)/$B64, )</f>
        <v>0</v>
      </c>
      <c r="N64" s="289">
        <f>SUM(N63:N63)</f>
        <v>1852698</v>
      </c>
      <c r="O64" s="289">
        <f>SUM(O63:O63)</f>
        <v>1852698</v>
      </c>
      <c r="P64" s="354">
        <f>IF($C64&gt;0, (O64-$C64)/$C64, )</f>
        <v>0</v>
      </c>
    </row>
    <row r="65" spans="1:16" ht="20.100000000000001" customHeight="1" x14ac:dyDescent="0.3">
      <c r="A65" s="293" t="s">
        <v>305</v>
      </c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</row>
    <row r="66" spans="1:16" ht="20.100000000000001" customHeight="1" x14ac:dyDescent="0.25">
      <c r="A66" s="1" t="s">
        <v>306</v>
      </c>
      <c r="B66" s="15">
        <v>1828638</v>
      </c>
      <c r="C66" s="15">
        <v>0</v>
      </c>
      <c r="D66" s="15">
        <v>1645774</v>
      </c>
      <c r="E66" s="15">
        <v>1645774</v>
      </c>
      <c r="F66" s="16">
        <f t="shared" ref="F66:F83" si="12">IF($B66&gt;0, (E66-$B66)/$B66, )</f>
        <v>-0.10000010937101821</v>
      </c>
      <c r="G66" s="15">
        <v>0</v>
      </c>
      <c r="H66" s="15">
        <v>0</v>
      </c>
      <c r="I66" s="16">
        <f t="shared" ref="I66:I83" si="13">IF($C66&gt;0, (H66-$C66)/$C66, )</f>
        <v>0</v>
      </c>
      <c r="K66" s="15">
        <v>1645774</v>
      </c>
      <c r="L66" s="15">
        <v>1645774</v>
      </c>
      <c r="M66" s="16">
        <f t="shared" ref="M66:M83" si="14">IF($B66&gt;0, (L66-$B66)/$B66, )</f>
        <v>-0.10000010937101821</v>
      </c>
      <c r="N66" s="15">
        <v>0</v>
      </c>
      <c r="O66" s="15">
        <v>0</v>
      </c>
      <c r="P66" s="16">
        <f t="shared" ref="P66:P83" si="15">IF($C66&gt;0, (O66-$C66)/$C66, )</f>
        <v>0</v>
      </c>
    </row>
    <row r="67" spans="1:16" ht="20.100000000000001" customHeight="1" x14ac:dyDescent="0.25">
      <c r="A67" s="1" t="s">
        <v>307</v>
      </c>
      <c r="B67" s="15">
        <v>166270623</v>
      </c>
      <c r="C67" s="15">
        <v>0</v>
      </c>
      <c r="D67" s="15">
        <v>166270623</v>
      </c>
      <c r="E67" s="15">
        <v>166270623</v>
      </c>
      <c r="F67" s="16">
        <f t="shared" si="12"/>
        <v>0</v>
      </c>
      <c r="G67" s="15">
        <v>0</v>
      </c>
      <c r="H67" s="15">
        <v>0</v>
      </c>
      <c r="I67" s="16">
        <f t="shared" si="13"/>
        <v>0</v>
      </c>
      <c r="K67" s="15">
        <v>166270623</v>
      </c>
      <c r="L67" s="15">
        <v>166270623</v>
      </c>
      <c r="M67" s="16">
        <f t="shared" si="14"/>
        <v>0</v>
      </c>
      <c r="N67" s="15">
        <v>0</v>
      </c>
      <c r="O67" s="15">
        <v>0</v>
      </c>
      <c r="P67" s="16">
        <f t="shared" si="15"/>
        <v>0</v>
      </c>
    </row>
    <row r="68" spans="1:16" ht="20.100000000000001" customHeight="1" x14ac:dyDescent="0.25">
      <c r="A68" s="1" t="s">
        <v>308</v>
      </c>
      <c r="B68" s="15">
        <v>7579858</v>
      </c>
      <c r="C68" s="15">
        <v>0</v>
      </c>
      <c r="D68" s="15">
        <v>7579858</v>
      </c>
      <c r="E68" s="15">
        <v>7579858</v>
      </c>
      <c r="F68" s="16">
        <f t="shared" si="12"/>
        <v>0</v>
      </c>
      <c r="G68" s="15">
        <v>0</v>
      </c>
      <c r="H68" s="15">
        <v>0</v>
      </c>
      <c r="I68" s="16">
        <f t="shared" si="13"/>
        <v>0</v>
      </c>
      <c r="K68" s="15">
        <v>7579858</v>
      </c>
      <c r="L68" s="15">
        <v>7579858</v>
      </c>
      <c r="M68" s="16">
        <f t="shared" si="14"/>
        <v>0</v>
      </c>
      <c r="N68" s="15">
        <v>0</v>
      </c>
      <c r="O68" s="15">
        <v>0</v>
      </c>
      <c r="P68" s="16">
        <f t="shared" si="15"/>
        <v>0</v>
      </c>
    </row>
    <row r="69" spans="1:16" ht="20.100000000000001" customHeight="1" x14ac:dyDescent="0.25">
      <c r="A69" s="1" t="s">
        <v>309</v>
      </c>
      <c r="B69" s="15">
        <v>606099</v>
      </c>
      <c r="C69" s="15">
        <v>0</v>
      </c>
      <c r="D69" s="15">
        <v>606099</v>
      </c>
      <c r="E69" s="15">
        <v>606099</v>
      </c>
      <c r="F69" s="16">
        <f t="shared" si="12"/>
        <v>0</v>
      </c>
      <c r="G69" s="15">
        <v>0</v>
      </c>
      <c r="H69" s="15">
        <v>0</v>
      </c>
      <c r="I69" s="16">
        <f t="shared" si="13"/>
        <v>0</v>
      </c>
      <c r="K69" s="15">
        <v>606099</v>
      </c>
      <c r="L69" s="15">
        <v>606099</v>
      </c>
      <c r="M69" s="16">
        <f t="shared" si="14"/>
        <v>0</v>
      </c>
      <c r="N69" s="15">
        <v>0</v>
      </c>
      <c r="O69" s="15">
        <v>0</v>
      </c>
      <c r="P69" s="16">
        <f t="shared" si="15"/>
        <v>0</v>
      </c>
    </row>
    <row r="70" spans="1:16" ht="20.100000000000001" customHeight="1" x14ac:dyDescent="0.25">
      <c r="A70" s="1" t="s">
        <v>310</v>
      </c>
      <c r="B70" s="15">
        <v>66225902</v>
      </c>
      <c r="C70" s="15">
        <v>0</v>
      </c>
      <c r="D70" s="15">
        <v>66225902</v>
      </c>
      <c r="E70" s="15">
        <v>66225902</v>
      </c>
      <c r="F70" s="16">
        <f t="shared" si="12"/>
        <v>0</v>
      </c>
      <c r="G70" s="15">
        <v>0</v>
      </c>
      <c r="H70" s="15">
        <v>0</v>
      </c>
      <c r="I70" s="16">
        <f t="shared" si="13"/>
        <v>0</v>
      </c>
      <c r="K70" s="15">
        <v>66225902</v>
      </c>
      <c r="L70" s="15">
        <v>66225902</v>
      </c>
      <c r="M70" s="16">
        <f t="shared" si="14"/>
        <v>0</v>
      </c>
      <c r="N70" s="15">
        <v>0</v>
      </c>
      <c r="O70" s="15">
        <v>0</v>
      </c>
      <c r="P70" s="16">
        <f t="shared" si="15"/>
        <v>0</v>
      </c>
    </row>
    <row r="71" spans="1:16" ht="20.100000000000001" customHeight="1" x14ac:dyDescent="0.25">
      <c r="A71" s="1" t="s">
        <v>311</v>
      </c>
      <c r="B71" s="15">
        <v>450000</v>
      </c>
      <c r="C71" s="15">
        <v>0</v>
      </c>
      <c r="D71" s="15">
        <v>450000</v>
      </c>
      <c r="E71" s="15">
        <v>450000</v>
      </c>
      <c r="F71" s="16">
        <f t="shared" si="12"/>
        <v>0</v>
      </c>
      <c r="G71" s="15">
        <v>0</v>
      </c>
      <c r="H71" s="15">
        <v>0</v>
      </c>
      <c r="I71" s="16">
        <f t="shared" si="13"/>
        <v>0</v>
      </c>
      <c r="K71" s="15">
        <v>450000</v>
      </c>
      <c r="L71" s="15">
        <v>450000</v>
      </c>
      <c r="M71" s="16">
        <f t="shared" si="14"/>
        <v>0</v>
      </c>
      <c r="N71" s="15">
        <v>0</v>
      </c>
      <c r="O71" s="15">
        <v>0</v>
      </c>
      <c r="P71" s="16">
        <f t="shared" si="15"/>
        <v>0</v>
      </c>
    </row>
    <row r="72" spans="1:16" ht="20.100000000000001" customHeight="1" x14ac:dyDescent="0.25">
      <c r="A72" s="1" t="s">
        <v>312</v>
      </c>
      <c r="B72" s="15">
        <v>4000000</v>
      </c>
      <c r="C72" s="15">
        <v>0</v>
      </c>
      <c r="D72" s="15">
        <v>4000000</v>
      </c>
      <c r="E72" s="15">
        <v>1000000</v>
      </c>
      <c r="F72" s="16">
        <f t="shared" si="12"/>
        <v>-0.75</v>
      </c>
      <c r="G72" s="15">
        <v>0</v>
      </c>
      <c r="H72" s="15">
        <v>0</v>
      </c>
      <c r="I72" s="16">
        <f t="shared" si="13"/>
        <v>0</v>
      </c>
      <c r="K72" s="15">
        <v>4000000</v>
      </c>
      <c r="L72" s="15">
        <v>1000000</v>
      </c>
      <c r="M72" s="16">
        <f t="shared" si="14"/>
        <v>-0.75</v>
      </c>
      <c r="N72" s="15">
        <v>0</v>
      </c>
      <c r="O72" s="15">
        <v>0</v>
      </c>
      <c r="P72" s="16">
        <f t="shared" si="15"/>
        <v>0</v>
      </c>
    </row>
    <row r="73" spans="1:16" ht="20.100000000000001" customHeight="1" x14ac:dyDescent="0.25">
      <c r="A73" s="1" t="s">
        <v>313</v>
      </c>
      <c r="B73" s="15">
        <v>101425081</v>
      </c>
      <c r="C73" s="15">
        <v>0</v>
      </c>
      <c r="D73" s="15">
        <v>101425081</v>
      </c>
      <c r="E73" s="15">
        <v>101425081</v>
      </c>
      <c r="F73" s="16">
        <f t="shared" si="12"/>
        <v>0</v>
      </c>
      <c r="G73" s="15">
        <v>0</v>
      </c>
      <c r="H73" s="15">
        <v>0</v>
      </c>
      <c r="I73" s="16">
        <f t="shared" si="13"/>
        <v>0</v>
      </c>
      <c r="K73" s="15">
        <v>101425081</v>
      </c>
      <c r="L73" s="15">
        <v>101425081</v>
      </c>
      <c r="M73" s="16">
        <f t="shared" si="14"/>
        <v>0</v>
      </c>
      <c r="N73" s="15">
        <v>0</v>
      </c>
      <c r="O73" s="15">
        <v>0</v>
      </c>
      <c r="P73" s="16">
        <f t="shared" si="15"/>
        <v>0</v>
      </c>
    </row>
    <row r="74" spans="1:16" ht="20.100000000000001" customHeight="1" x14ac:dyDescent="0.25">
      <c r="A74" s="1" t="s">
        <v>314</v>
      </c>
      <c r="B74" s="15">
        <v>250000</v>
      </c>
      <c r="C74" s="15">
        <v>0</v>
      </c>
      <c r="D74" s="15">
        <v>212500</v>
      </c>
      <c r="E74" s="15">
        <v>0</v>
      </c>
      <c r="F74" s="16">
        <f t="shared" si="12"/>
        <v>-1</v>
      </c>
      <c r="G74" s="15">
        <v>0</v>
      </c>
      <c r="H74" s="15">
        <v>0</v>
      </c>
      <c r="I74" s="16">
        <f t="shared" si="13"/>
        <v>0</v>
      </c>
      <c r="K74" s="15">
        <v>212500</v>
      </c>
      <c r="L74" s="15">
        <v>0</v>
      </c>
      <c r="M74" s="16">
        <f t="shared" si="14"/>
        <v>-1</v>
      </c>
      <c r="N74" s="15">
        <v>0</v>
      </c>
      <c r="O74" s="15">
        <v>0</v>
      </c>
      <c r="P74" s="16">
        <f t="shared" si="15"/>
        <v>0</v>
      </c>
    </row>
    <row r="75" spans="1:16" ht="20.100000000000001" customHeight="1" x14ac:dyDescent="0.25">
      <c r="A75" s="1" t="s">
        <v>315</v>
      </c>
      <c r="B75" s="15">
        <v>50000</v>
      </c>
      <c r="C75" s="15">
        <v>0</v>
      </c>
      <c r="D75" s="15">
        <v>50000</v>
      </c>
      <c r="E75" s="15">
        <v>50000</v>
      </c>
      <c r="F75" s="16">
        <f t="shared" si="12"/>
        <v>0</v>
      </c>
      <c r="G75" s="15">
        <v>0</v>
      </c>
      <c r="H75" s="15">
        <v>0</v>
      </c>
      <c r="I75" s="16">
        <f t="shared" si="13"/>
        <v>0</v>
      </c>
      <c r="K75" s="15">
        <v>50000</v>
      </c>
      <c r="L75" s="15">
        <v>50000</v>
      </c>
      <c r="M75" s="16">
        <f t="shared" si="14"/>
        <v>0</v>
      </c>
      <c r="N75" s="15">
        <v>0</v>
      </c>
      <c r="O75" s="15">
        <v>0</v>
      </c>
      <c r="P75" s="16">
        <f t="shared" si="15"/>
        <v>0</v>
      </c>
    </row>
    <row r="76" spans="1:16" ht="20.100000000000001" customHeight="1" x14ac:dyDescent="0.25">
      <c r="A76" s="1" t="s">
        <v>316</v>
      </c>
      <c r="B76" s="15">
        <v>400000</v>
      </c>
      <c r="C76" s="15">
        <v>0</v>
      </c>
      <c r="D76" s="15">
        <v>400000</v>
      </c>
      <c r="E76" s="15">
        <v>400000</v>
      </c>
      <c r="F76" s="16">
        <f t="shared" si="12"/>
        <v>0</v>
      </c>
      <c r="G76" s="15">
        <v>0</v>
      </c>
      <c r="H76" s="15">
        <v>0</v>
      </c>
      <c r="I76" s="16">
        <f t="shared" si="13"/>
        <v>0</v>
      </c>
      <c r="K76" s="15">
        <v>400000</v>
      </c>
      <c r="L76" s="15">
        <v>400000</v>
      </c>
      <c r="M76" s="16">
        <f t="shared" si="14"/>
        <v>0</v>
      </c>
      <c r="N76" s="15">
        <v>0</v>
      </c>
      <c r="O76" s="15">
        <v>0</v>
      </c>
      <c r="P76" s="16">
        <f t="shared" si="15"/>
        <v>0</v>
      </c>
    </row>
    <row r="77" spans="1:16" ht="20.100000000000001" customHeight="1" x14ac:dyDescent="0.25">
      <c r="A77" s="1" t="s">
        <v>317</v>
      </c>
      <c r="B77" s="15">
        <v>3676240</v>
      </c>
      <c r="C77" s="15">
        <v>0</v>
      </c>
      <c r="D77" s="15">
        <v>3676240</v>
      </c>
      <c r="E77" s="15">
        <v>3676240</v>
      </c>
      <c r="F77" s="16">
        <f t="shared" si="12"/>
        <v>0</v>
      </c>
      <c r="G77" s="15">
        <v>0</v>
      </c>
      <c r="H77" s="15">
        <v>0</v>
      </c>
      <c r="I77" s="16">
        <f t="shared" si="13"/>
        <v>0</v>
      </c>
      <c r="K77" s="15">
        <v>3676240</v>
      </c>
      <c r="L77" s="15">
        <v>3676240</v>
      </c>
      <c r="M77" s="16">
        <f t="shared" si="14"/>
        <v>0</v>
      </c>
      <c r="N77" s="15">
        <v>0</v>
      </c>
      <c r="O77" s="15">
        <v>0</v>
      </c>
      <c r="P77" s="16">
        <f t="shared" si="15"/>
        <v>0</v>
      </c>
    </row>
    <row r="78" spans="1:16" ht="20.100000000000001" customHeight="1" x14ac:dyDescent="0.25">
      <c r="A78" s="1" t="s">
        <v>318</v>
      </c>
      <c r="B78" s="15">
        <v>3081010</v>
      </c>
      <c r="C78" s="15">
        <v>3001390</v>
      </c>
      <c r="D78" s="15">
        <v>6082400</v>
      </c>
      <c r="E78" s="15">
        <v>6082400</v>
      </c>
      <c r="F78" s="16">
        <f t="shared" si="12"/>
        <v>0.97415782486911762</v>
      </c>
      <c r="G78" s="15">
        <v>0</v>
      </c>
      <c r="H78" s="15">
        <v>0</v>
      </c>
      <c r="I78" s="16">
        <f t="shared" si="13"/>
        <v>-1</v>
      </c>
      <c r="K78" s="15">
        <v>6082400</v>
      </c>
      <c r="L78" s="15">
        <v>6082400</v>
      </c>
      <c r="M78" s="16">
        <f t="shared" si="14"/>
        <v>0.97415782486911762</v>
      </c>
      <c r="N78" s="15">
        <v>0</v>
      </c>
      <c r="O78" s="15">
        <v>0</v>
      </c>
      <c r="P78" s="16">
        <f t="shared" si="15"/>
        <v>-1</v>
      </c>
    </row>
    <row r="79" spans="1:16" ht="20.100000000000001" customHeight="1" x14ac:dyDescent="0.25">
      <c r="A79" s="1" t="s">
        <v>319</v>
      </c>
      <c r="B79" s="15">
        <v>0</v>
      </c>
      <c r="C79" s="15">
        <v>2000000</v>
      </c>
      <c r="D79" s="15">
        <v>0</v>
      </c>
      <c r="E79" s="15">
        <v>0</v>
      </c>
      <c r="F79" s="16">
        <f t="shared" si="12"/>
        <v>0</v>
      </c>
      <c r="G79" s="15">
        <v>2000000</v>
      </c>
      <c r="H79" s="15">
        <v>2000000</v>
      </c>
      <c r="I79" s="16">
        <f t="shared" si="13"/>
        <v>0</v>
      </c>
      <c r="K79" s="15">
        <v>0</v>
      </c>
      <c r="L79" s="15">
        <v>0</v>
      </c>
      <c r="M79" s="16">
        <f t="shared" si="14"/>
        <v>0</v>
      </c>
      <c r="N79" s="15">
        <v>2000000</v>
      </c>
      <c r="O79" s="15">
        <v>2000000</v>
      </c>
      <c r="P79" s="16">
        <f t="shared" si="15"/>
        <v>0</v>
      </c>
    </row>
    <row r="80" spans="1:16" ht="20.100000000000001" customHeight="1" thickBot="1" x14ac:dyDescent="0.3">
      <c r="A80" s="1" t="s">
        <v>320</v>
      </c>
      <c r="B80" s="15">
        <v>31773696</v>
      </c>
      <c r="C80" s="15">
        <v>0</v>
      </c>
      <c r="D80" s="15">
        <v>31773696</v>
      </c>
      <c r="E80" s="15">
        <v>31773696</v>
      </c>
      <c r="F80" s="16">
        <f t="shared" si="12"/>
        <v>0</v>
      </c>
      <c r="G80" s="15">
        <v>0</v>
      </c>
      <c r="H80" s="15">
        <v>0</v>
      </c>
      <c r="I80" s="16">
        <f t="shared" si="13"/>
        <v>0</v>
      </c>
      <c r="J80"/>
      <c r="K80" s="15">
        <v>31773696</v>
      </c>
      <c r="L80" s="15">
        <v>31773696</v>
      </c>
      <c r="M80" s="16">
        <f t="shared" si="14"/>
        <v>0</v>
      </c>
      <c r="N80" s="15">
        <v>0</v>
      </c>
      <c r="O80" s="15">
        <v>0</v>
      </c>
      <c r="P80" s="16">
        <f t="shared" si="15"/>
        <v>0</v>
      </c>
    </row>
    <row r="81" spans="1:16" ht="20.100000000000001" customHeight="1" thickTop="1" thickBot="1" x14ac:dyDescent="0.3">
      <c r="A81" s="1" t="s">
        <v>321</v>
      </c>
      <c r="B81" s="15">
        <v>0</v>
      </c>
      <c r="C81" s="15">
        <v>0</v>
      </c>
      <c r="D81" s="15">
        <v>1000000</v>
      </c>
      <c r="E81" s="15">
        <v>1000000</v>
      </c>
      <c r="F81" s="16">
        <f t="shared" si="12"/>
        <v>0</v>
      </c>
      <c r="G81" s="15">
        <v>0</v>
      </c>
      <c r="H81" s="15">
        <v>0</v>
      </c>
      <c r="I81" s="16">
        <f t="shared" si="13"/>
        <v>0</v>
      </c>
      <c r="J81"/>
      <c r="K81" s="15">
        <v>1000000</v>
      </c>
      <c r="L81" s="15">
        <v>1000000</v>
      </c>
      <c r="M81" s="16">
        <f t="shared" si="14"/>
        <v>0</v>
      </c>
      <c r="N81" s="15">
        <v>0</v>
      </c>
      <c r="O81" s="15">
        <v>0</v>
      </c>
      <c r="P81" s="16">
        <f t="shared" si="15"/>
        <v>0</v>
      </c>
    </row>
    <row r="82" spans="1:16" ht="20.100000000000001" customHeight="1" x14ac:dyDescent="0.25">
      <c r="A82" s="1" t="s">
        <v>322</v>
      </c>
      <c r="B82" s="15">
        <v>0</v>
      </c>
      <c r="C82" s="15">
        <v>0</v>
      </c>
      <c r="D82" s="15">
        <v>250000</v>
      </c>
      <c r="E82" s="15">
        <v>250000</v>
      </c>
      <c r="F82" s="16">
        <f t="shared" si="12"/>
        <v>0</v>
      </c>
      <c r="G82" s="15">
        <v>0</v>
      </c>
      <c r="H82" s="15">
        <v>0</v>
      </c>
      <c r="I82" s="16">
        <f t="shared" si="13"/>
        <v>0</v>
      </c>
      <c r="K82" s="15">
        <v>250000</v>
      </c>
      <c r="L82" s="15">
        <v>250000</v>
      </c>
      <c r="M82" s="16">
        <f t="shared" si="14"/>
        <v>0</v>
      </c>
      <c r="N82" s="15">
        <v>0</v>
      </c>
      <c r="O82" s="15">
        <v>0</v>
      </c>
      <c r="P82" s="16">
        <f t="shared" si="15"/>
        <v>0</v>
      </c>
    </row>
    <row r="83" spans="1:16" ht="20.100000000000001" customHeight="1" x14ac:dyDescent="0.3">
      <c r="A83" s="291" t="s">
        <v>323</v>
      </c>
      <c r="B83" s="289">
        <f>SUM(B66:B82)</f>
        <v>387617147</v>
      </c>
      <c r="C83" s="289">
        <f>SUM(C66:C82)</f>
        <v>5001390</v>
      </c>
      <c r="D83" s="289">
        <f>SUM(D66:D82)</f>
        <v>391648173</v>
      </c>
      <c r="E83" s="289">
        <f>SUM(E66:E82)</f>
        <v>388435673</v>
      </c>
      <c r="F83" s="354">
        <f t="shared" si="12"/>
        <v>2.1116867670459378E-3</v>
      </c>
      <c r="G83" s="289">
        <f>SUM(G66:G82)</f>
        <v>2000000</v>
      </c>
      <c r="H83" s="289">
        <f>SUM(H66:H82)</f>
        <v>2000000</v>
      </c>
      <c r="I83" s="354">
        <f t="shared" si="13"/>
        <v>-0.60011116909499163</v>
      </c>
      <c r="J83" s="290"/>
      <c r="K83" s="289">
        <f>SUM(K66:K82)</f>
        <v>391648173</v>
      </c>
      <c r="L83" s="289">
        <f>SUM(L66:L82)</f>
        <v>388435673</v>
      </c>
      <c r="M83" s="354">
        <f t="shared" si="14"/>
        <v>2.1116867670459378E-3</v>
      </c>
      <c r="N83" s="289">
        <f>SUM(N66:N82)</f>
        <v>2000000</v>
      </c>
      <c r="O83" s="289">
        <f>SUM(O66:O82)</f>
        <v>2000000</v>
      </c>
      <c r="P83" s="354">
        <f t="shared" si="15"/>
        <v>-0.60011116909499163</v>
      </c>
    </row>
    <row r="84" spans="1:16" ht="20.100000000000001" customHeight="1" x14ac:dyDescent="0.3">
      <c r="A84" s="293" t="s">
        <v>324</v>
      </c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</row>
    <row r="85" spans="1:16" ht="20.100000000000001" customHeight="1" x14ac:dyDescent="0.25">
      <c r="A85" s="1" t="s">
        <v>324</v>
      </c>
      <c r="B85" s="15">
        <v>3071177</v>
      </c>
      <c r="C85" s="15">
        <v>0</v>
      </c>
      <c r="D85" s="15">
        <v>2764059</v>
      </c>
      <c r="E85" s="15">
        <v>2764059</v>
      </c>
      <c r="F85" s="16">
        <f t="shared" ref="F85:F91" si="16">IF($B85&gt;0, (E85-$B85)/$B85, )</f>
        <v>-0.10000009768241948</v>
      </c>
      <c r="G85" s="15">
        <v>0</v>
      </c>
      <c r="H85" s="15">
        <v>0</v>
      </c>
      <c r="I85" s="16">
        <f t="shared" ref="I85:I91" si="17">IF($C85&gt;0, (H85-$C85)/$C85, )</f>
        <v>0</v>
      </c>
      <c r="K85" s="15">
        <v>2764059</v>
      </c>
      <c r="L85" s="15">
        <v>2764059</v>
      </c>
      <c r="M85" s="16">
        <f t="shared" ref="M85:M91" si="18">IF($B85&gt;0, (L85-$B85)/$B85, )</f>
        <v>-0.10000009768241948</v>
      </c>
      <c r="N85" s="15">
        <v>0</v>
      </c>
      <c r="O85" s="15">
        <v>0</v>
      </c>
      <c r="P85" s="16">
        <f t="shared" ref="P85:P91" si="19">IF($C85&gt;0, (O85-$C85)/$C85, )</f>
        <v>0</v>
      </c>
    </row>
    <row r="86" spans="1:16" ht="20.100000000000001" customHeight="1" x14ac:dyDescent="0.25">
      <c r="A86" s="1" t="s">
        <v>325</v>
      </c>
      <c r="B86" s="15">
        <v>0</v>
      </c>
      <c r="C86" s="15">
        <v>4000000</v>
      </c>
      <c r="D86" s="15">
        <v>0</v>
      </c>
      <c r="E86" s="15">
        <v>0</v>
      </c>
      <c r="F86" s="16">
        <f t="shared" si="16"/>
        <v>0</v>
      </c>
      <c r="G86" s="15">
        <v>3400000</v>
      </c>
      <c r="H86" s="15">
        <v>4000000</v>
      </c>
      <c r="I86" s="16">
        <f t="shared" si="17"/>
        <v>0</v>
      </c>
      <c r="K86" s="15">
        <v>0</v>
      </c>
      <c r="L86" s="15">
        <v>0</v>
      </c>
      <c r="M86" s="16">
        <f t="shared" si="18"/>
        <v>0</v>
      </c>
      <c r="N86" s="15">
        <v>3400000</v>
      </c>
      <c r="O86" s="15">
        <v>5000000</v>
      </c>
      <c r="P86" s="16">
        <f t="shared" si="19"/>
        <v>0.25</v>
      </c>
    </row>
    <row r="87" spans="1:16" ht="20.100000000000001" customHeight="1" x14ac:dyDescent="0.25">
      <c r="A87" s="1" t="s">
        <v>326</v>
      </c>
      <c r="B87" s="15">
        <v>646994</v>
      </c>
      <c r="C87" s="15">
        <v>0</v>
      </c>
      <c r="D87" s="15">
        <v>582295</v>
      </c>
      <c r="E87" s="15">
        <v>582295</v>
      </c>
      <c r="F87" s="16">
        <f t="shared" si="16"/>
        <v>-9.9999381756245037E-2</v>
      </c>
      <c r="G87" s="15">
        <v>0</v>
      </c>
      <c r="H87" s="15">
        <v>0</v>
      </c>
      <c r="I87" s="16">
        <f t="shared" si="17"/>
        <v>0</v>
      </c>
      <c r="K87" s="15">
        <v>582295</v>
      </c>
      <c r="L87" s="15">
        <v>582295</v>
      </c>
      <c r="M87" s="16">
        <f t="shared" si="18"/>
        <v>-9.9999381756245037E-2</v>
      </c>
      <c r="N87" s="15">
        <v>0</v>
      </c>
      <c r="O87" s="15">
        <v>0</v>
      </c>
      <c r="P87" s="16">
        <f t="shared" si="19"/>
        <v>0</v>
      </c>
    </row>
    <row r="88" spans="1:16" ht="20.100000000000001" customHeight="1" x14ac:dyDescent="0.25">
      <c r="A88" s="1" t="s">
        <v>327</v>
      </c>
      <c r="B88" s="15">
        <v>115000</v>
      </c>
      <c r="C88" s="15">
        <v>0</v>
      </c>
      <c r="D88" s="15">
        <v>115000</v>
      </c>
      <c r="E88" s="15">
        <v>115000</v>
      </c>
      <c r="F88" s="16">
        <f t="shared" si="16"/>
        <v>0</v>
      </c>
      <c r="G88" s="15">
        <v>0</v>
      </c>
      <c r="H88" s="15">
        <v>0</v>
      </c>
      <c r="I88" s="16">
        <f t="shared" si="17"/>
        <v>0</v>
      </c>
      <c r="K88" s="15">
        <v>115000</v>
      </c>
      <c r="L88" s="15">
        <v>115000</v>
      </c>
      <c r="M88" s="16">
        <f t="shared" si="18"/>
        <v>0</v>
      </c>
      <c r="N88" s="15">
        <v>0</v>
      </c>
      <c r="O88" s="15">
        <v>0</v>
      </c>
      <c r="P88" s="16">
        <f t="shared" si="19"/>
        <v>0</v>
      </c>
    </row>
    <row r="89" spans="1:16" ht="20.100000000000001" customHeight="1" x14ac:dyDescent="0.25">
      <c r="A89" s="1" t="s">
        <v>328</v>
      </c>
      <c r="B89" s="15">
        <v>1014737</v>
      </c>
      <c r="C89" s="15">
        <v>0</v>
      </c>
      <c r="D89" s="15">
        <v>913263</v>
      </c>
      <c r="E89" s="15">
        <v>913263</v>
      </c>
      <c r="F89" s="16">
        <f t="shared" si="16"/>
        <v>-0.10000029564310753</v>
      </c>
      <c r="G89" s="15">
        <v>0</v>
      </c>
      <c r="H89" s="15">
        <v>0</v>
      </c>
      <c r="I89" s="16">
        <f t="shared" si="17"/>
        <v>0</v>
      </c>
      <c r="K89" s="15">
        <v>913263</v>
      </c>
      <c r="L89" s="15">
        <v>913263</v>
      </c>
      <c r="M89" s="16">
        <f t="shared" si="18"/>
        <v>-0.10000029564310753</v>
      </c>
      <c r="N89" s="15">
        <v>0</v>
      </c>
      <c r="O89" s="15">
        <v>0</v>
      </c>
      <c r="P89" s="16">
        <f t="shared" si="19"/>
        <v>0</v>
      </c>
    </row>
    <row r="90" spans="1:16" ht="20.100000000000001" customHeight="1" x14ac:dyDescent="0.25">
      <c r="A90" s="1" t="s">
        <v>329</v>
      </c>
      <c r="B90" s="15">
        <v>5000000</v>
      </c>
      <c r="C90" s="15">
        <v>0</v>
      </c>
      <c r="D90" s="15">
        <v>4250000</v>
      </c>
      <c r="E90" s="15">
        <v>5000000</v>
      </c>
      <c r="F90" s="16">
        <f t="shared" si="16"/>
        <v>0</v>
      </c>
      <c r="G90" s="15">
        <v>0</v>
      </c>
      <c r="H90" s="15">
        <v>0</v>
      </c>
      <c r="I90" s="16">
        <f t="shared" si="17"/>
        <v>0</v>
      </c>
      <c r="K90" s="15">
        <v>4250000</v>
      </c>
      <c r="L90" s="15">
        <v>5000000</v>
      </c>
      <c r="M90" s="16">
        <f t="shared" si="18"/>
        <v>0</v>
      </c>
      <c r="N90" s="15">
        <v>0</v>
      </c>
      <c r="O90" s="15">
        <v>0</v>
      </c>
      <c r="P90" s="16">
        <f t="shared" si="19"/>
        <v>0</v>
      </c>
    </row>
    <row r="91" spans="1:16" ht="20.100000000000001" customHeight="1" x14ac:dyDescent="0.3">
      <c r="A91" s="291" t="s">
        <v>330</v>
      </c>
      <c r="B91" s="289">
        <f>SUM(B85:B90)</f>
        <v>9847908</v>
      </c>
      <c r="C91" s="289">
        <f>SUM(C85:C90)</f>
        <v>4000000</v>
      </c>
      <c r="D91" s="289">
        <f>SUM(D85:D90)</f>
        <v>8624617</v>
      </c>
      <c r="E91" s="289">
        <f>SUM(E85:E90)</f>
        <v>9374617</v>
      </c>
      <c r="F91" s="354">
        <f t="shared" si="16"/>
        <v>-4.8060054988328486E-2</v>
      </c>
      <c r="G91" s="289">
        <f>SUM(G85:G90)</f>
        <v>3400000</v>
      </c>
      <c r="H91" s="289">
        <f>SUM(H85:H90)</f>
        <v>4000000</v>
      </c>
      <c r="I91" s="354">
        <f t="shared" si="17"/>
        <v>0</v>
      </c>
      <c r="J91" s="290"/>
      <c r="K91" s="289">
        <f>SUM(K85:K90)</f>
        <v>8624617</v>
      </c>
      <c r="L91" s="289">
        <f>SUM(L85:L90)</f>
        <v>9374617</v>
      </c>
      <c r="M91" s="354">
        <f t="shared" si="18"/>
        <v>-4.8060054988328486E-2</v>
      </c>
      <c r="N91" s="289">
        <f>SUM(N85:N90)</f>
        <v>3400000</v>
      </c>
      <c r="O91" s="289">
        <f>SUM(O85:O90)</f>
        <v>5000000</v>
      </c>
      <c r="P91" s="354">
        <f t="shared" si="19"/>
        <v>0.25</v>
      </c>
    </row>
    <row r="92" spans="1:16" ht="20.100000000000001" customHeight="1" x14ac:dyDescent="0.3">
      <c r="A92" s="294" t="s">
        <v>331</v>
      </c>
      <c r="B92" s="296">
        <f>SUM(B18,B30,B35,B41,B47,B51,B58)</f>
        <v>79734754</v>
      </c>
      <c r="C92" s="296">
        <f>SUM(C18,C30,C35,C41,C47,C51,C58)</f>
        <v>740000</v>
      </c>
      <c r="D92" s="296">
        <f>SUM(D18,D30,D35,D41,D47,D51,D58)</f>
        <v>90958479</v>
      </c>
      <c r="E92" s="296">
        <f>SUM(E18,E30,E35,E41,E47,E51,E58)</f>
        <v>85640367</v>
      </c>
      <c r="F92" s="295"/>
      <c r="G92" s="296">
        <f>SUM(G18,G30,G35,G41,G47,G51,G58)</f>
        <v>801629</v>
      </c>
      <c r="H92" s="296">
        <f>SUM(H18,H30,H35,H41,H47,H51,H58)</f>
        <v>150000</v>
      </c>
      <c r="I92" s="295"/>
      <c r="J92" s="295"/>
      <c r="K92" s="296">
        <f>SUM(K18,K30,K35,K41,K47,K51,K58)</f>
        <v>92547552</v>
      </c>
      <c r="L92" s="296">
        <f>SUM(L18,L30,L35,L41,L47,L51,L58)</f>
        <v>85640367</v>
      </c>
      <c r="M92" s="295"/>
      <c r="N92" s="296">
        <f>SUM(N18,N30,N35,N41,N47,N51,N58)</f>
        <v>801629</v>
      </c>
      <c r="O92" s="296">
        <f>SUM(O18,O30,O35,O41,O47,O51,O58)</f>
        <v>150000</v>
      </c>
      <c r="P92" s="295"/>
    </row>
    <row r="93" spans="1:16" ht="20.100000000000001" customHeight="1" x14ac:dyDescent="0.3">
      <c r="A93" s="294" t="s">
        <v>332</v>
      </c>
      <c r="B93" s="296">
        <f>SUM(B61,B64,B83,B91)</f>
        <v>402777055</v>
      </c>
      <c r="C93" s="296">
        <f>SUM(C61,C64,C83,C91)</f>
        <v>10854088</v>
      </c>
      <c r="D93" s="296">
        <f>SUM(D61,D64,D83,D91)</f>
        <v>405584790</v>
      </c>
      <c r="E93" s="296">
        <f>SUM(E61,E64,E83,E91)</f>
        <v>402743290</v>
      </c>
      <c r="F93" s="295"/>
      <c r="G93" s="296">
        <f>SUM(G61,G64,G83,G91)</f>
        <v>7252698</v>
      </c>
      <c r="H93" s="296">
        <f>SUM(H61,H64,H83,H91)</f>
        <v>7852698</v>
      </c>
      <c r="I93" s="295"/>
      <c r="J93" s="295"/>
      <c r="K93" s="296">
        <f>SUM(K61,K64,K83,K91)</f>
        <v>405584790</v>
      </c>
      <c r="L93" s="296">
        <f>SUM(L61,L64,L83,L91)</f>
        <v>402798290</v>
      </c>
      <c r="M93" s="295"/>
      <c r="N93" s="296">
        <f>SUM(N61,N64,N83,N91)</f>
        <v>7252698</v>
      </c>
      <c r="O93" s="296">
        <f>SUM(O61,O64,O83,O91)</f>
        <v>8852698</v>
      </c>
      <c r="P93" s="295"/>
    </row>
    <row r="94" spans="1:16" ht="20.100000000000001" customHeight="1" x14ac:dyDescent="0.3">
      <c r="A94" s="294" t="s">
        <v>333</v>
      </c>
      <c r="B94" s="296">
        <f>SUM(B92,B93)</f>
        <v>482511809</v>
      </c>
      <c r="C94" s="296">
        <f>SUM(C92,C93)</f>
        <v>11594088</v>
      </c>
      <c r="D94" s="296">
        <f>SUM(D92,D93)</f>
        <v>496543269</v>
      </c>
      <c r="E94" s="296">
        <f>SUM(E92,E93)</f>
        <v>488383657</v>
      </c>
      <c r="F94" s="295"/>
      <c r="G94" s="296">
        <f>SUM(G92,G93)</f>
        <v>8054327</v>
      </c>
      <c r="H94" s="296">
        <f>SUM(H92,H93)</f>
        <v>8002698</v>
      </c>
      <c r="I94" s="295"/>
      <c r="J94" s="295"/>
      <c r="K94" s="296">
        <f>SUM(K92,K93)</f>
        <v>498132342</v>
      </c>
      <c r="L94" s="296">
        <f>SUM(L92,L93)</f>
        <v>488438657</v>
      </c>
      <c r="M94" s="295"/>
      <c r="N94" s="296">
        <f>SUM(N92,N93)</f>
        <v>8054327</v>
      </c>
      <c r="O94" s="296">
        <f>SUM(O92,O93)</f>
        <v>9002698</v>
      </c>
      <c r="P94" s="295"/>
    </row>
    <row r="107" spans="1:16" ht="15.75" customHeight="1" thickBo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6.5" customHeight="1" thickTop="1" thickBo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34" spans="1:16" ht="15.75" customHeight="1" thickBo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.5" customHeight="1" thickTop="1" thickBo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61" spans="1:16" ht="15.75" customHeight="1" thickBo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.5" customHeight="1" thickTop="1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88" spans="1:16" ht="15.75" customHeight="1" thickBo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6.5" customHeight="1" thickTop="1" thickBo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215" spans="1:16" ht="15.75" customHeight="1" thickBo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 ht="16.5" customHeight="1" thickTop="1" thickBo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 ht="21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ht="15.75" customHeight="1" thickBo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ht="16.5" customHeight="1" thickTop="1" thickBo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</sheetData>
  <dataConsolidate/>
  <mergeCells count="12">
    <mergeCell ref="A6:A8"/>
    <mergeCell ref="B7:B8"/>
    <mergeCell ref="C7:C8"/>
    <mergeCell ref="Q7:S7"/>
    <mergeCell ref="T7:U7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H32"/>
  <sheetViews>
    <sheetView zoomScale="80" zoomScaleNormal="80" workbookViewId="0">
      <selection activeCell="P45" sqref="P45"/>
    </sheetView>
  </sheetViews>
  <sheetFormatPr defaultRowHeight="15" x14ac:dyDescent="0.25"/>
  <cols>
    <col min="1" max="1" width="14" style="1" customWidth="1"/>
    <col min="2" max="2" width="15.5703125" style="15" customWidth="1"/>
    <col min="3" max="3" width="8.7109375" style="1" customWidth="1"/>
    <col min="4" max="4" width="16" style="15" customWidth="1"/>
    <col min="5" max="5" width="21" style="16" customWidth="1"/>
    <col min="6" max="6" width="3.28515625" style="1" customWidth="1"/>
    <col min="7" max="7" width="16" style="15" customWidth="1"/>
    <col min="8" max="8" width="21" style="147" customWidth="1"/>
  </cols>
  <sheetData>
    <row r="1" spans="1:8" ht="15.75" customHeight="1" x14ac:dyDescent="0.25">
      <c r="A1" s="14" t="s">
        <v>334</v>
      </c>
    </row>
    <row r="2" spans="1:8" ht="15.75" customHeight="1" x14ac:dyDescent="0.25">
      <c r="A2" s="17" t="s">
        <v>31</v>
      </c>
    </row>
    <row r="3" spans="1:8" ht="15.75" customHeight="1" x14ac:dyDescent="0.25">
      <c r="A3" s="17"/>
    </row>
    <row r="4" spans="1:8" x14ac:dyDescent="0.25">
      <c r="A4" s="18" t="s">
        <v>335</v>
      </c>
    </row>
    <row r="5" spans="1:8" ht="15.75" customHeight="1" thickBot="1" x14ac:dyDescent="0.3"/>
    <row r="6" spans="1:8" ht="15.6" customHeight="1" thickBot="1" x14ac:dyDescent="0.3">
      <c r="A6" s="404"/>
      <c r="B6" s="398" t="s">
        <v>336</v>
      </c>
      <c r="C6" s="601" t="s">
        <v>337</v>
      </c>
      <c r="D6" s="600" t="s">
        <v>3</v>
      </c>
      <c r="E6" s="407"/>
      <c r="F6" s="355"/>
      <c r="G6" s="600" t="s">
        <v>4</v>
      </c>
      <c r="H6" s="407"/>
    </row>
    <row r="7" spans="1:8" ht="24.95" customHeight="1" x14ac:dyDescent="0.25">
      <c r="A7" s="593"/>
      <c r="B7" s="403"/>
      <c r="C7" s="700"/>
      <c r="D7" s="356" t="s">
        <v>338</v>
      </c>
      <c r="E7" s="698" t="s">
        <v>141</v>
      </c>
      <c r="F7" s="357"/>
      <c r="G7" s="356" t="s">
        <v>338</v>
      </c>
      <c r="H7" s="698" t="s">
        <v>143</v>
      </c>
    </row>
    <row r="8" spans="1:8" ht="24.95" customHeight="1" thickBot="1" x14ac:dyDescent="0.3">
      <c r="A8" s="593"/>
      <c r="B8" s="399"/>
      <c r="C8" s="602"/>
      <c r="D8" s="358">
        <v>45</v>
      </c>
      <c r="E8" s="699"/>
      <c r="F8" s="359"/>
      <c r="G8" s="358">
        <v>45</v>
      </c>
      <c r="H8" s="699"/>
    </row>
    <row r="9" spans="1:8" x14ac:dyDescent="0.25">
      <c r="A9" s="238" t="s">
        <v>50</v>
      </c>
      <c r="B9" s="67">
        <v>1602582</v>
      </c>
      <c r="C9" s="157">
        <v>45555</v>
      </c>
      <c r="D9" s="70">
        <f t="shared" ref="D9:D15" si="0">ROUND($C9*D$8, 0)</f>
        <v>2049975</v>
      </c>
      <c r="E9" s="159">
        <f t="shared" ref="E9:E16" si="1">IF($B9 &gt; 0, (D9-$B9)/$B9, "")</f>
        <v>0.27917011422816429</v>
      </c>
      <c r="F9" s="275"/>
      <c r="G9" s="70">
        <f t="shared" ref="G9:G15" si="2">ROUND($C9*G$8, 0)</f>
        <v>2049975</v>
      </c>
      <c r="H9" s="159">
        <f t="shared" ref="H9:H16" si="3">IF($B9 &gt; 0, (G9-$B9)/$B9, "")</f>
        <v>0.27917011422816429</v>
      </c>
    </row>
    <row r="10" spans="1:8" x14ac:dyDescent="0.25">
      <c r="A10" s="242" t="s">
        <v>54</v>
      </c>
      <c r="B10" s="67">
        <v>242773</v>
      </c>
      <c r="C10" s="157">
        <v>7755</v>
      </c>
      <c r="D10" s="70">
        <f t="shared" si="0"/>
        <v>348975</v>
      </c>
      <c r="E10" s="159">
        <f t="shared" si="1"/>
        <v>0.43745391785742238</v>
      </c>
      <c r="F10" s="275"/>
      <c r="G10" s="70">
        <f t="shared" si="2"/>
        <v>348975</v>
      </c>
      <c r="H10" s="159">
        <f t="shared" si="3"/>
        <v>0.43745391785742238</v>
      </c>
    </row>
    <row r="11" spans="1:8" x14ac:dyDescent="0.25">
      <c r="A11" s="242" t="s">
        <v>55</v>
      </c>
      <c r="B11" s="67">
        <v>241158</v>
      </c>
      <c r="C11" s="157">
        <v>8782</v>
      </c>
      <c r="D11" s="70">
        <f t="shared" si="0"/>
        <v>395190</v>
      </c>
      <c r="E11" s="159">
        <f t="shared" si="1"/>
        <v>0.63871818475854003</v>
      </c>
      <c r="F11" s="275"/>
      <c r="G11" s="70">
        <f t="shared" si="2"/>
        <v>395190</v>
      </c>
      <c r="H11" s="159">
        <f t="shared" si="3"/>
        <v>0.63871818475854003</v>
      </c>
    </row>
    <row r="12" spans="1:8" x14ac:dyDescent="0.25">
      <c r="A12" s="242" t="s">
        <v>56</v>
      </c>
      <c r="B12" s="67">
        <v>95535</v>
      </c>
      <c r="C12" s="157">
        <v>15831</v>
      </c>
      <c r="D12" s="70">
        <f t="shared" si="0"/>
        <v>712395</v>
      </c>
      <c r="E12" s="159">
        <f t="shared" si="1"/>
        <v>6.4569006123410269</v>
      </c>
      <c r="F12" s="275"/>
      <c r="G12" s="70">
        <f t="shared" si="2"/>
        <v>712395</v>
      </c>
      <c r="H12" s="159">
        <f t="shared" si="3"/>
        <v>6.4569006123410269</v>
      </c>
    </row>
    <row r="13" spans="1:8" x14ac:dyDescent="0.25">
      <c r="A13" s="242" t="s">
        <v>57</v>
      </c>
      <c r="B13" s="67">
        <v>0</v>
      </c>
      <c r="C13" s="157">
        <v>0</v>
      </c>
      <c r="D13" s="70">
        <f t="shared" si="0"/>
        <v>0</v>
      </c>
      <c r="E13" s="159" t="str">
        <f t="shared" si="1"/>
        <v/>
      </c>
      <c r="F13" s="275"/>
      <c r="G13" s="70">
        <f t="shared" si="2"/>
        <v>0</v>
      </c>
      <c r="H13" s="159" t="str">
        <f t="shared" si="3"/>
        <v/>
      </c>
    </row>
    <row r="14" spans="1:8" x14ac:dyDescent="0.25">
      <c r="A14" s="242" t="s">
        <v>58</v>
      </c>
      <c r="B14" s="67">
        <v>402603</v>
      </c>
      <c r="C14" s="157">
        <v>12412</v>
      </c>
      <c r="D14" s="70">
        <f t="shared" si="0"/>
        <v>558540</v>
      </c>
      <c r="E14" s="159">
        <f t="shared" si="1"/>
        <v>0.38732200207151957</v>
      </c>
      <c r="F14" s="275"/>
      <c r="G14" s="70">
        <f t="shared" si="2"/>
        <v>558540</v>
      </c>
      <c r="H14" s="159">
        <f t="shared" si="3"/>
        <v>0.38732200207151957</v>
      </c>
    </row>
    <row r="15" spans="1:8" ht="15.75" customHeight="1" thickBot="1" x14ac:dyDescent="0.3">
      <c r="A15" s="242" t="s">
        <v>59</v>
      </c>
      <c r="B15" s="67">
        <v>113778</v>
      </c>
      <c r="C15" s="157">
        <v>4192</v>
      </c>
      <c r="D15" s="70">
        <f t="shared" si="0"/>
        <v>188640</v>
      </c>
      <c r="E15" s="159">
        <f t="shared" si="1"/>
        <v>0.65796551178610985</v>
      </c>
      <c r="F15" s="275"/>
      <c r="G15" s="70">
        <f t="shared" si="2"/>
        <v>188640</v>
      </c>
      <c r="H15" s="159">
        <f t="shared" si="3"/>
        <v>0.65796551178610985</v>
      </c>
    </row>
    <row r="16" spans="1:8" ht="15.75" customHeight="1" thickTop="1" x14ac:dyDescent="0.25">
      <c r="A16" s="243" t="s">
        <v>131</v>
      </c>
      <c r="B16" s="244">
        <f>SUM(B9:B15)</f>
        <v>2698429</v>
      </c>
      <c r="C16" s="360">
        <f>SUM(C9:C15)</f>
        <v>94527</v>
      </c>
      <c r="D16" s="245">
        <f>SUM(D9:D15)</f>
        <v>4253715</v>
      </c>
      <c r="E16" s="312">
        <f t="shared" si="1"/>
        <v>0.57636721218160636</v>
      </c>
      <c r="F16" s="279"/>
      <c r="G16" s="245">
        <f>SUM(G9:G15)</f>
        <v>4253715</v>
      </c>
      <c r="H16" s="312">
        <f t="shared" si="3"/>
        <v>0.57636721218160636</v>
      </c>
    </row>
    <row r="17" spans="1:8" x14ac:dyDescent="0.25">
      <c r="A17" s="250"/>
      <c r="B17" s="251"/>
      <c r="C17" s="361"/>
      <c r="D17" s="252"/>
      <c r="E17" s="281"/>
      <c r="F17" s="275"/>
      <c r="G17" s="252"/>
      <c r="H17" s="281"/>
    </row>
    <row r="18" spans="1:8" x14ac:dyDescent="0.25">
      <c r="A18" s="242" t="s">
        <v>65</v>
      </c>
      <c r="B18" s="67">
        <v>0</v>
      </c>
      <c r="C18" s="157">
        <v>0</v>
      </c>
      <c r="D18" s="70">
        <f>ROUND($C18*D$8, 0)</f>
        <v>0</v>
      </c>
      <c r="E18" s="159" t="str">
        <f>IF($B18 &gt; 0, (D18-$B18)/$B18, "")</f>
        <v/>
      </c>
      <c r="F18" s="275"/>
      <c r="G18" s="70">
        <f>ROUND($C18*G$8, 0)</f>
        <v>0</v>
      </c>
      <c r="H18" s="159" t="str">
        <f>IF($B18 &gt; 0, (G18-$B18)/$B18, "")</f>
        <v/>
      </c>
    </row>
    <row r="19" spans="1:8" x14ac:dyDescent="0.25">
      <c r="A19" s="242" t="s">
        <v>66</v>
      </c>
      <c r="B19" s="67">
        <v>1512375</v>
      </c>
      <c r="C19" s="157">
        <v>7277</v>
      </c>
      <c r="D19" s="70">
        <f>ROUND($C19*D$8, 0)</f>
        <v>327465</v>
      </c>
      <c r="E19" s="159">
        <f>IF($B19 &gt; 0, (D19-$B19)/$B19, "")</f>
        <v>-0.78347632035705428</v>
      </c>
      <c r="F19" s="275"/>
      <c r="G19" s="70">
        <f>ROUND($C19*G$8, 0)</f>
        <v>327465</v>
      </c>
      <c r="H19" s="159">
        <f>IF($B19 &gt; 0, (G19-$B19)/$B19, "")</f>
        <v>-0.78347632035705428</v>
      </c>
    </row>
    <row r="20" spans="1:8" ht="15.75" customHeight="1" thickBot="1" x14ac:dyDescent="0.3">
      <c r="A20" s="242" t="s">
        <v>68</v>
      </c>
      <c r="B20" s="67">
        <v>617688</v>
      </c>
      <c r="C20" s="157">
        <v>13092</v>
      </c>
      <c r="D20" s="70">
        <f>ROUND($C20*D$8, 0)</f>
        <v>589140</v>
      </c>
      <c r="E20" s="159">
        <f>IF($B20 &gt; 0, (D20-$B20)/$B20, "")</f>
        <v>-4.6217507868049887E-2</v>
      </c>
      <c r="F20" s="275"/>
      <c r="G20" s="70">
        <f>ROUND($C20*G$8, 0)</f>
        <v>589140</v>
      </c>
      <c r="H20" s="159">
        <f>IF($B20 &gt; 0, (G20-$B20)/$B20, "")</f>
        <v>-4.6217507868049887E-2</v>
      </c>
    </row>
    <row r="21" spans="1:8" ht="15.75" customHeight="1" thickTop="1" x14ac:dyDescent="0.25">
      <c r="A21" s="243" t="s">
        <v>132</v>
      </c>
      <c r="B21" s="244">
        <f>SUM(B18:B20)</f>
        <v>2130063</v>
      </c>
      <c r="C21" s="360">
        <f>SUM(C18:C20)</f>
        <v>20369</v>
      </c>
      <c r="D21" s="245">
        <f>SUM(D18:D20)</f>
        <v>916605</v>
      </c>
      <c r="E21" s="312">
        <f>IF($B21 &gt; 0, (D21-$B21)/$B21, "")</f>
        <v>-0.56968174180763664</v>
      </c>
      <c r="F21" s="279"/>
      <c r="G21" s="245">
        <f>SUM(G18:G20)</f>
        <v>916605</v>
      </c>
      <c r="H21" s="312">
        <f>IF($B21 &gt; 0, (G21-$B21)/$B21, "")</f>
        <v>-0.56968174180763664</v>
      </c>
    </row>
    <row r="22" spans="1:8" x14ac:dyDescent="0.25">
      <c r="A22" s="250"/>
      <c r="B22" s="251"/>
      <c r="C22" s="361"/>
      <c r="D22" s="252"/>
      <c r="E22" s="281"/>
      <c r="F22" s="275"/>
      <c r="G22" s="252"/>
      <c r="H22" s="281"/>
    </row>
    <row r="23" spans="1:8" x14ac:dyDescent="0.25">
      <c r="A23" s="242" t="s">
        <v>71</v>
      </c>
      <c r="B23" s="67">
        <v>209636</v>
      </c>
      <c r="C23" s="157">
        <v>5307</v>
      </c>
      <c r="D23" s="70">
        <f>ROUND($C23*D$8, 0)</f>
        <v>238815</v>
      </c>
      <c r="E23" s="159">
        <f t="shared" ref="E23:E28" si="4">IF($B23 &gt; 0, (D23-$B23)/$B23, "")</f>
        <v>0.13918887977255814</v>
      </c>
      <c r="F23" s="275"/>
      <c r="G23" s="70">
        <f>ROUND($C23*G$8, 0)</f>
        <v>238815</v>
      </c>
      <c r="H23" s="159">
        <f t="shared" ref="H23:H28" si="5">IF($B23 &gt; 0, (G23-$B23)/$B23, "")</f>
        <v>0.13918887977255814</v>
      </c>
    </row>
    <row r="24" spans="1:8" x14ac:dyDescent="0.25">
      <c r="A24" s="242" t="s">
        <v>72</v>
      </c>
      <c r="B24" s="67">
        <v>176257</v>
      </c>
      <c r="C24" s="157">
        <v>4436</v>
      </c>
      <c r="D24" s="70">
        <f>ROUND($C24*D$8, 0)</f>
        <v>199620</v>
      </c>
      <c r="E24" s="159">
        <f t="shared" si="4"/>
        <v>0.13255076394129028</v>
      </c>
      <c r="F24" s="275"/>
      <c r="G24" s="70">
        <f>ROUND($C24*G$8, 0)</f>
        <v>199620</v>
      </c>
      <c r="H24" s="159">
        <f t="shared" si="5"/>
        <v>0.13255076394129028</v>
      </c>
    </row>
    <row r="25" spans="1:8" x14ac:dyDescent="0.25">
      <c r="A25" s="242" t="s">
        <v>73</v>
      </c>
      <c r="B25" s="67">
        <v>236153</v>
      </c>
      <c r="C25" s="157">
        <v>12344</v>
      </c>
      <c r="D25" s="70">
        <f>ROUND($C25*D$8, 0)</f>
        <v>555480</v>
      </c>
      <c r="E25" s="159">
        <f t="shared" si="4"/>
        <v>1.3522038678314483</v>
      </c>
      <c r="F25" s="275"/>
      <c r="G25" s="70">
        <f>ROUND($C25*G$8, 0)</f>
        <v>555480</v>
      </c>
      <c r="H25" s="159">
        <f t="shared" si="5"/>
        <v>1.3522038678314483</v>
      </c>
    </row>
    <row r="26" spans="1:8" x14ac:dyDescent="0.25">
      <c r="A26" s="242" t="s">
        <v>74</v>
      </c>
      <c r="B26" s="67">
        <v>3714562</v>
      </c>
      <c r="C26" s="157">
        <v>95897</v>
      </c>
      <c r="D26" s="70">
        <f>ROUND($C26*D$8, 0)</f>
        <v>4315365</v>
      </c>
      <c r="E26" s="159">
        <f t="shared" si="4"/>
        <v>0.16174262268337425</v>
      </c>
      <c r="F26" s="275"/>
      <c r="G26" s="70">
        <f>ROUND($C26*G$8, 0)</f>
        <v>4315365</v>
      </c>
      <c r="H26" s="159">
        <f t="shared" si="5"/>
        <v>0.16174262268337425</v>
      </c>
    </row>
    <row r="27" spans="1:8" ht="15.75" customHeight="1" thickBot="1" x14ac:dyDescent="0.3">
      <c r="A27" s="242" t="s">
        <v>75</v>
      </c>
      <c r="B27" s="67">
        <v>13521607</v>
      </c>
      <c r="C27" s="157">
        <v>379416</v>
      </c>
      <c r="D27" s="70">
        <f>ROUND($C27*D$8, 0)</f>
        <v>17073720</v>
      </c>
      <c r="E27" s="159">
        <f t="shared" si="4"/>
        <v>0.26269902682425245</v>
      </c>
      <c r="F27" s="275"/>
      <c r="G27" s="70">
        <f>ROUND($C27*G$8, 0)</f>
        <v>17073720</v>
      </c>
      <c r="H27" s="159">
        <f t="shared" si="5"/>
        <v>0.26269902682425245</v>
      </c>
    </row>
    <row r="28" spans="1:8" ht="15.75" customHeight="1" thickBot="1" x14ac:dyDescent="0.3">
      <c r="A28" s="317" t="s">
        <v>46</v>
      </c>
      <c r="B28" s="261">
        <f>SUM(B16,B21,B23:B27)</f>
        <v>22686707</v>
      </c>
      <c r="C28" s="362">
        <f>SUM(C16,C21,C23:C27)</f>
        <v>612296</v>
      </c>
      <c r="D28" s="99">
        <f>SUM(D16,D21,D23:D27)</f>
        <v>27553320</v>
      </c>
      <c r="E28" s="188">
        <f t="shared" si="4"/>
        <v>0.2145138560655806</v>
      </c>
      <c r="F28" s="283"/>
      <c r="G28" s="99">
        <f>SUM(G16,G21,G23:G27)</f>
        <v>27553320</v>
      </c>
      <c r="H28" s="188">
        <f t="shared" si="5"/>
        <v>0.2145138560655806</v>
      </c>
    </row>
    <row r="31" spans="1:8" x14ac:dyDescent="0.25">
      <c r="A31" s="143" t="s">
        <v>112</v>
      </c>
    </row>
    <row r="32" spans="1:8" x14ac:dyDescent="0.25">
      <c r="A32" s="1" t="s">
        <v>339</v>
      </c>
    </row>
  </sheetData>
  <mergeCells count="7">
    <mergeCell ref="G6:H6"/>
    <mergeCell ref="H7:H8"/>
    <mergeCell ref="A6:A8"/>
    <mergeCell ref="B6:B8"/>
    <mergeCell ref="C6:C8"/>
    <mergeCell ref="E7:E8"/>
    <mergeCell ref="D6:E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3"/>
  <sheetViews>
    <sheetView zoomScale="80" zoomScaleNormal="80" workbookViewId="0">
      <selection activeCell="K21" sqref="K21"/>
    </sheetView>
  </sheetViews>
  <sheetFormatPr defaultColWidth="9.140625" defaultRowHeight="15" x14ac:dyDescent="0.25"/>
  <cols>
    <col min="1" max="1" width="24" style="1" customWidth="1"/>
    <col min="2" max="2" width="16.5703125" style="15" customWidth="1"/>
    <col min="3" max="3" width="21.42578125" style="15" bestFit="1" customWidth="1"/>
    <col min="4" max="4" width="16.5703125" style="15" customWidth="1"/>
    <col min="5" max="5" width="22.7109375" style="16" customWidth="1"/>
    <col min="6" max="6" width="14.5703125" style="15" customWidth="1"/>
    <col min="7" max="7" width="20" style="16" customWidth="1"/>
    <col min="8" max="8" width="2.7109375" style="1" customWidth="1"/>
    <col min="9" max="9" width="16.5703125" style="15" customWidth="1"/>
    <col min="10" max="10" width="21.42578125" style="16" customWidth="1"/>
    <col min="11" max="11" width="14.5703125" style="15" customWidth="1"/>
    <col min="12" max="12" width="20" style="16" customWidth="1"/>
    <col min="13" max="13" width="9.140625" style="1" customWidth="1"/>
    <col min="14" max="16384" width="9.140625" style="1"/>
  </cols>
  <sheetData>
    <row r="1" spans="1:17" customFormat="1" ht="15.75" customHeight="1" x14ac:dyDescent="0.25">
      <c r="A1" s="14" t="s">
        <v>340</v>
      </c>
      <c r="M1" s="1"/>
      <c r="N1" s="1"/>
    </row>
    <row r="2" spans="1:17" customFormat="1" ht="15.75" customHeight="1" x14ac:dyDescent="0.25">
      <c r="A2" s="17" t="s">
        <v>31</v>
      </c>
      <c r="M2" s="1"/>
      <c r="N2" s="1"/>
    </row>
    <row r="3" spans="1:17" customFormat="1" ht="15.75" customHeight="1" x14ac:dyDescent="0.25">
      <c r="A3" s="17"/>
      <c r="M3" s="1"/>
      <c r="N3" s="1"/>
    </row>
    <row r="4" spans="1:17" x14ac:dyDescent="0.25">
      <c r="A4" s="18" t="s">
        <v>341</v>
      </c>
    </row>
    <row r="5" spans="1:17" customFormat="1" ht="15.75" customHeight="1" thickBot="1" x14ac:dyDescent="0.3">
      <c r="M5" s="1"/>
      <c r="N5" s="1"/>
    </row>
    <row r="6" spans="1:17" customFormat="1" ht="15.75" customHeight="1" thickBot="1" x14ac:dyDescent="0.3">
      <c r="A6" s="404"/>
      <c r="B6" s="705" t="s">
        <v>168</v>
      </c>
      <c r="C6" s="706"/>
      <c r="D6" s="600" t="s">
        <v>3</v>
      </c>
      <c r="E6" s="707"/>
      <c r="F6" s="406"/>
      <c r="G6" s="707"/>
      <c r="H6" s="363"/>
      <c r="I6" s="600" t="s">
        <v>4</v>
      </c>
      <c r="J6" s="707"/>
      <c r="K6" s="406"/>
      <c r="L6" s="707"/>
      <c r="M6" s="1"/>
      <c r="N6" s="1"/>
    </row>
    <row r="7" spans="1:17" x14ac:dyDescent="0.25">
      <c r="A7" s="593"/>
      <c r="B7" s="701" t="s">
        <v>261</v>
      </c>
      <c r="C7" s="703" t="s">
        <v>44</v>
      </c>
      <c r="D7" s="708" t="s">
        <v>261</v>
      </c>
      <c r="E7" s="709"/>
      <c r="F7" s="710" t="s">
        <v>44</v>
      </c>
      <c r="G7" s="711"/>
      <c r="H7" s="364"/>
      <c r="I7" s="708" t="s">
        <v>261</v>
      </c>
      <c r="J7" s="709"/>
      <c r="K7" s="710" t="s">
        <v>44</v>
      </c>
      <c r="L7" s="711"/>
      <c r="N7" s="687"/>
      <c r="O7" s="687"/>
      <c r="P7" s="687"/>
      <c r="Q7" s="687"/>
    </row>
    <row r="8" spans="1:17" customFormat="1" ht="45.75" customHeight="1" thickBot="1" x14ac:dyDescent="0.3">
      <c r="A8" s="593"/>
      <c r="B8" s="702"/>
      <c r="C8" s="704"/>
      <c r="D8" s="368" t="s">
        <v>243</v>
      </c>
      <c r="E8" s="367" t="s">
        <v>141</v>
      </c>
      <c r="F8" s="366" t="s">
        <v>243</v>
      </c>
      <c r="G8" s="365" t="s">
        <v>141</v>
      </c>
      <c r="H8" s="369"/>
      <c r="I8" s="368" t="s">
        <v>243</v>
      </c>
      <c r="J8" s="367" t="s">
        <v>143</v>
      </c>
      <c r="K8" s="366" t="s">
        <v>243</v>
      </c>
      <c r="L8" s="365" t="s">
        <v>143</v>
      </c>
      <c r="M8" s="1"/>
      <c r="N8" s="1"/>
    </row>
    <row r="9" spans="1:17" x14ac:dyDescent="0.25">
      <c r="A9" s="238" t="s">
        <v>342</v>
      </c>
      <c r="B9" s="67">
        <v>13930515</v>
      </c>
      <c r="C9" s="240">
        <v>0</v>
      </c>
      <c r="D9" s="305">
        <v>15099801</v>
      </c>
      <c r="E9" s="159">
        <f t="shared" ref="E9:E16" si="0">IF($B9 &gt; 0, (D9-$B9)/$B9, "")</f>
        <v>8.3937026018061786E-2</v>
      </c>
      <c r="F9" s="305">
        <v>0</v>
      </c>
      <c r="G9" s="159" t="str">
        <f t="shared" ref="G9:G16" si="1">IF($C9 &gt;0, (F9-$C9)/$C9, "")</f>
        <v/>
      </c>
      <c r="H9" s="19"/>
      <c r="I9" s="305">
        <v>15099801</v>
      </c>
      <c r="J9" s="159">
        <f t="shared" ref="J9:J16" si="2">IF($B9 &gt; 0, (I9-$B9)/$B9, "")</f>
        <v>8.3937026018061786E-2</v>
      </c>
      <c r="K9" s="305">
        <v>0</v>
      </c>
      <c r="L9" s="159" t="str">
        <f t="shared" ref="L9:L16" si="3">IF($C9 &gt;0, (K9-$C9)/$C9, "")</f>
        <v/>
      </c>
    </row>
    <row r="10" spans="1:17" x14ac:dyDescent="0.25">
      <c r="A10" s="242" t="s">
        <v>343</v>
      </c>
      <c r="B10" s="67">
        <v>33469793</v>
      </c>
      <c r="C10" s="240">
        <v>740000</v>
      </c>
      <c r="D10" s="70">
        <v>34681335</v>
      </c>
      <c r="E10" s="159">
        <f t="shared" si="0"/>
        <v>3.6198072691994237E-2</v>
      </c>
      <c r="F10" s="70">
        <v>150000</v>
      </c>
      <c r="G10" s="159">
        <f t="shared" si="1"/>
        <v>-0.79729729729729726</v>
      </c>
      <c r="H10" s="23"/>
      <c r="I10" s="70">
        <v>34681335</v>
      </c>
      <c r="J10" s="159">
        <f t="shared" si="2"/>
        <v>3.6198072691994237E-2</v>
      </c>
      <c r="K10" s="70">
        <v>150000</v>
      </c>
      <c r="L10" s="159">
        <f t="shared" si="3"/>
        <v>-0.79729729729729726</v>
      </c>
    </row>
    <row r="11" spans="1:17" x14ac:dyDescent="0.25">
      <c r="A11" s="242" t="s">
        <v>71</v>
      </c>
      <c r="B11" s="67">
        <v>7094592</v>
      </c>
      <c r="C11" s="240">
        <v>0</v>
      </c>
      <c r="D11" s="70">
        <v>7123771</v>
      </c>
      <c r="E11" s="159">
        <f t="shared" si="0"/>
        <v>4.1128510279379001E-3</v>
      </c>
      <c r="F11" s="70">
        <v>0</v>
      </c>
      <c r="G11" s="159" t="str">
        <f t="shared" si="1"/>
        <v/>
      </c>
      <c r="H11" s="23"/>
      <c r="I11" s="70">
        <v>7123771</v>
      </c>
      <c r="J11" s="159">
        <f t="shared" si="2"/>
        <v>4.1128510279379001E-3</v>
      </c>
      <c r="K11" s="70">
        <v>0</v>
      </c>
      <c r="L11" s="159" t="str">
        <f t="shared" si="3"/>
        <v/>
      </c>
    </row>
    <row r="12" spans="1:17" x14ac:dyDescent="0.25">
      <c r="A12" s="242" t="s">
        <v>72</v>
      </c>
      <c r="B12" s="67">
        <v>1426695</v>
      </c>
      <c r="C12" s="240">
        <v>0</v>
      </c>
      <c r="D12" s="70">
        <v>1450058</v>
      </c>
      <c r="E12" s="159">
        <f t="shared" si="0"/>
        <v>1.6375609362898166E-2</v>
      </c>
      <c r="F12" s="70">
        <v>0</v>
      </c>
      <c r="G12" s="159" t="str">
        <f t="shared" si="1"/>
        <v/>
      </c>
      <c r="H12" s="23"/>
      <c r="I12" s="70">
        <v>1450058</v>
      </c>
      <c r="J12" s="159">
        <f t="shared" si="2"/>
        <v>1.6375609362898166E-2</v>
      </c>
      <c r="K12" s="70">
        <v>0</v>
      </c>
      <c r="L12" s="159" t="str">
        <f t="shared" si="3"/>
        <v/>
      </c>
    </row>
    <row r="13" spans="1:17" x14ac:dyDescent="0.25">
      <c r="A13" s="242" t="s">
        <v>73</v>
      </c>
      <c r="B13" s="67">
        <v>723031</v>
      </c>
      <c r="C13" s="240">
        <v>0</v>
      </c>
      <c r="D13" s="70">
        <v>1042358</v>
      </c>
      <c r="E13" s="159">
        <f t="shared" si="0"/>
        <v>0.44165049631343606</v>
      </c>
      <c r="F13" s="70">
        <v>0</v>
      </c>
      <c r="G13" s="159" t="str">
        <f t="shared" si="1"/>
        <v/>
      </c>
      <c r="H13" s="23"/>
      <c r="I13" s="70">
        <v>1042358</v>
      </c>
      <c r="J13" s="159">
        <f t="shared" si="2"/>
        <v>0.44165049631343606</v>
      </c>
      <c r="K13" s="70">
        <v>0</v>
      </c>
      <c r="L13" s="159" t="str">
        <f t="shared" si="3"/>
        <v/>
      </c>
    </row>
    <row r="14" spans="1:17" x14ac:dyDescent="0.25">
      <c r="A14" s="242" t="s">
        <v>74</v>
      </c>
      <c r="B14" s="67">
        <v>6714562</v>
      </c>
      <c r="C14" s="240">
        <v>0</v>
      </c>
      <c r="D14" s="70">
        <v>7315365</v>
      </c>
      <c r="E14" s="159">
        <f t="shared" si="0"/>
        <v>8.9477615963632476E-2</v>
      </c>
      <c r="F14" s="70">
        <v>0</v>
      </c>
      <c r="G14" s="159" t="str">
        <f t="shared" si="1"/>
        <v/>
      </c>
      <c r="H14" s="23"/>
      <c r="I14" s="70">
        <v>7315365</v>
      </c>
      <c r="J14" s="159">
        <f t="shared" si="2"/>
        <v>8.9477615963632476E-2</v>
      </c>
      <c r="K14" s="70">
        <v>0</v>
      </c>
      <c r="L14" s="159" t="str">
        <f t="shared" si="3"/>
        <v/>
      </c>
    </row>
    <row r="15" spans="1:17" customFormat="1" ht="15.75" customHeight="1" thickBot="1" x14ac:dyDescent="0.3">
      <c r="A15" s="242" t="s">
        <v>75</v>
      </c>
      <c r="B15" s="67">
        <v>16375566</v>
      </c>
      <c r="C15" s="240">
        <v>0</v>
      </c>
      <c r="D15" s="70">
        <v>18927679</v>
      </c>
      <c r="E15" s="159">
        <f t="shared" si="0"/>
        <v>0.15584884211025132</v>
      </c>
      <c r="F15" s="70">
        <v>0</v>
      </c>
      <c r="G15" s="159" t="str">
        <f t="shared" si="1"/>
        <v/>
      </c>
      <c r="H15" s="23"/>
      <c r="I15" s="70">
        <v>18927679</v>
      </c>
      <c r="J15" s="159">
        <f t="shared" si="2"/>
        <v>0.15584884211025132</v>
      </c>
      <c r="K15" s="70">
        <v>0</v>
      </c>
      <c r="L15" s="159" t="str">
        <f t="shared" si="3"/>
        <v/>
      </c>
      <c r="M15" s="1"/>
      <c r="N15" s="1"/>
    </row>
    <row r="16" spans="1:17" customFormat="1" ht="15.75" customHeight="1" thickTop="1" x14ac:dyDescent="0.25">
      <c r="A16" s="243" t="s">
        <v>344</v>
      </c>
      <c r="B16" s="244">
        <f>SUM(B9:B15)</f>
        <v>79734754</v>
      </c>
      <c r="C16" s="246">
        <f>SUM(C9:C15)</f>
        <v>740000</v>
      </c>
      <c r="D16" s="245">
        <f>SUM(D9:D15)</f>
        <v>85640367</v>
      </c>
      <c r="E16" s="312">
        <f t="shared" si="0"/>
        <v>7.4065732992667166E-2</v>
      </c>
      <c r="F16" s="245">
        <f>SUM(F9:F15)</f>
        <v>150000</v>
      </c>
      <c r="G16" s="312">
        <f t="shared" si="1"/>
        <v>-0.79729729729729726</v>
      </c>
      <c r="H16" s="23"/>
      <c r="I16" s="245">
        <f>SUM(I9:I15)</f>
        <v>85640367</v>
      </c>
      <c r="J16" s="312">
        <f t="shared" si="2"/>
        <v>7.4065732992667166E-2</v>
      </c>
      <c r="K16" s="245">
        <f>SUM(K9:K15)</f>
        <v>150000</v>
      </c>
      <c r="L16" s="312">
        <f t="shared" si="3"/>
        <v>-0.79729729729729726</v>
      </c>
      <c r="M16" s="1"/>
      <c r="N16" s="1"/>
    </row>
    <row r="17" spans="1:14" x14ac:dyDescent="0.25">
      <c r="A17" s="250"/>
      <c r="B17" s="251"/>
      <c r="C17" s="257"/>
      <c r="D17" s="252"/>
      <c r="E17" s="281"/>
      <c r="F17" s="252"/>
      <c r="G17" s="281"/>
      <c r="H17" s="23"/>
      <c r="I17" s="252"/>
      <c r="J17" s="281"/>
      <c r="K17" s="252"/>
      <c r="L17" s="281"/>
    </row>
    <row r="18" spans="1:14" x14ac:dyDescent="0.25">
      <c r="A18" s="242" t="s">
        <v>77</v>
      </c>
      <c r="B18" s="67">
        <v>5312000</v>
      </c>
      <c r="C18" s="240">
        <v>0</v>
      </c>
      <c r="D18" s="70">
        <v>4933000</v>
      </c>
      <c r="E18" s="159">
        <f t="shared" ref="E18:E23" si="4">IF($B18 &gt; 0, (D18-$B18)/$B18, "")</f>
        <v>-7.1347891566265059E-2</v>
      </c>
      <c r="F18" s="70">
        <v>0</v>
      </c>
      <c r="G18" s="159" t="str">
        <f t="shared" ref="G18:G23" si="5">IF($C18 &gt;0, (F18-$C18)/$C18, "")</f>
        <v/>
      </c>
      <c r="H18" s="23"/>
      <c r="I18" s="70">
        <v>4988000</v>
      </c>
      <c r="J18" s="159">
        <f t="shared" ref="J18:J23" si="6">IF($B18 &gt; 0, (I18-$B18)/$B18, "")</f>
        <v>-6.099397590361446E-2</v>
      </c>
      <c r="K18" s="70">
        <v>0</v>
      </c>
      <c r="L18" s="159" t="str">
        <f t="shared" ref="L18:L23" si="7">IF($C18 &gt;0, (K18-$C18)/$C18, "")</f>
        <v/>
      </c>
    </row>
    <row r="19" spans="1:14" x14ac:dyDescent="0.25">
      <c r="A19" s="242" t="s">
        <v>345</v>
      </c>
      <c r="B19" s="67">
        <v>0</v>
      </c>
      <c r="C19" s="240">
        <v>1852698</v>
      </c>
      <c r="D19" s="70">
        <v>0</v>
      </c>
      <c r="E19" s="159" t="str">
        <f t="shared" si="4"/>
        <v/>
      </c>
      <c r="F19" s="70">
        <v>1852698</v>
      </c>
      <c r="G19" s="159">
        <f t="shared" si="5"/>
        <v>0</v>
      </c>
      <c r="H19" s="23"/>
      <c r="I19" s="70">
        <v>0</v>
      </c>
      <c r="J19" s="159" t="str">
        <f t="shared" si="6"/>
        <v/>
      </c>
      <c r="K19" s="70">
        <v>1852698</v>
      </c>
      <c r="L19" s="159">
        <f t="shared" si="7"/>
        <v>0</v>
      </c>
    </row>
    <row r="20" spans="1:14" x14ac:dyDescent="0.25">
      <c r="A20" s="242" t="s">
        <v>79</v>
      </c>
      <c r="B20" s="67">
        <v>387617147</v>
      </c>
      <c r="C20" s="240">
        <v>5001390</v>
      </c>
      <c r="D20" s="70">
        <v>388435673</v>
      </c>
      <c r="E20" s="159">
        <f t="shared" si="4"/>
        <v>2.1116867670459378E-3</v>
      </c>
      <c r="F20" s="70">
        <v>2000000</v>
      </c>
      <c r="G20" s="159">
        <f t="shared" si="5"/>
        <v>-0.60011116909499163</v>
      </c>
      <c r="H20" s="23"/>
      <c r="I20" s="70">
        <v>388435673</v>
      </c>
      <c r="J20" s="159">
        <f t="shared" si="6"/>
        <v>2.1116867670459378E-3</v>
      </c>
      <c r="K20" s="70">
        <v>2000000</v>
      </c>
      <c r="L20" s="159">
        <f t="shared" si="7"/>
        <v>-0.60011116909499163</v>
      </c>
    </row>
    <row r="21" spans="1:14" customFormat="1" ht="15.75" customHeight="1" thickBot="1" x14ac:dyDescent="0.3">
      <c r="A21" s="242" t="s">
        <v>80</v>
      </c>
      <c r="B21" s="67">
        <v>9847908</v>
      </c>
      <c r="C21" s="240">
        <v>4000000</v>
      </c>
      <c r="D21" s="70">
        <v>9374617</v>
      </c>
      <c r="E21" s="159">
        <f t="shared" si="4"/>
        <v>-4.8060054988328486E-2</v>
      </c>
      <c r="F21" s="70">
        <v>4000000</v>
      </c>
      <c r="G21" s="159">
        <f t="shared" si="5"/>
        <v>0</v>
      </c>
      <c r="H21" s="23"/>
      <c r="I21" s="70">
        <v>9374617</v>
      </c>
      <c r="J21" s="159">
        <f t="shared" si="6"/>
        <v>-4.8060054988328486E-2</v>
      </c>
      <c r="K21" s="70">
        <f>'LINE ITEM Requests'!O91</f>
        <v>5000000</v>
      </c>
      <c r="L21" s="159">
        <f t="shared" si="7"/>
        <v>0.25</v>
      </c>
      <c r="M21" s="1"/>
      <c r="N21" s="1"/>
    </row>
    <row r="22" spans="1:14" customFormat="1" ht="16.5" customHeight="1" thickTop="1" thickBot="1" x14ac:dyDescent="0.3">
      <c r="A22" s="370" t="s">
        <v>346</v>
      </c>
      <c r="B22" s="371">
        <f>SUM(B18:B21)</f>
        <v>402777055</v>
      </c>
      <c r="C22" s="372">
        <f>SUM(C18:C21)</f>
        <v>10854088</v>
      </c>
      <c r="D22" s="162">
        <f>SUM(D18:D21)</f>
        <v>402743290</v>
      </c>
      <c r="E22" s="164">
        <f t="shared" si="4"/>
        <v>-8.3830495259964592E-5</v>
      </c>
      <c r="F22" s="162">
        <f>SUM(F18:F21)</f>
        <v>7852698</v>
      </c>
      <c r="G22" s="164">
        <f t="shared" si="5"/>
        <v>-0.27652162024114785</v>
      </c>
      <c r="H22" s="23"/>
      <c r="I22" s="162">
        <f>SUM(I18:I21)</f>
        <v>402798290</v>
      </c>
      <c r="J22" s="164">
        <f t="shared" si="6"/>
        <v>5.2721473918120783E-5</v>
      </c>
      <c r="K22" s="162">
        <f>SUM(K18:K21)</f>
        <v>8852698</v>
      </c>
      <c r="L22" s="164">
        <f t="shared" si="7"/>
        <v>-0.18439043427692867</v>
      </c>
      <c r="M22" s="1"/>
      <c r="N22" s="1"/>
    </row>
    <row r="23" spans="1:14" customFormat="1" ht="15.75" customHeight="1" thickBot="1" x14ac:dyDescent="0.3">
      <c r="A23" s="317" t="s">
        <v>46</v>
      </c>
      <c r="B23" s="261">
        <f>SUM(B16,B22)</f>
        <v>482511809</v>
      </c>
      <c r="C23" s="262">
        <f>SUM(C16,C22)</f>
        <v>11594088</v>
      </c>
      <c r="D23" s="99">
        <f>SUM(D16,D22)</f>
        <v>488383657</v>
      </c>
      <c r="E23" s="188">
        <f t="shared" si="4"/>
        <v>1.21693353208688E-2</v>
      </c>
      <c r="F23" s="99">
        <f>SUM(F16,F22)</f>
        <v>8002698</v>
      </c>
      <c r="G23" s="188">
        <f t="shared" si="5"/>
        <v>-0.3097604572261311</v>
      </c>
      <c r="H23" s="373"/>
      <c r="I23" s="99">
        <f>SUM(I16,I22)</f>
        <v>488438657</v>
      </c>
      <c r="J23" s="188">
        <f t="shared" si="6"/>
        <v>1.2283322168390702E-2</v>
      </c>
      <c r="K23" s="99">
        <f>SUM(K16,K22)</f>
        <v>9002698</v>
      </c>
      <c r="L23" s="188">
        <f t="shared" si="7"/>
        <v>-0.22350960248016058</v>
      </c>
      <c r="M23" s="1"/>
      <c r="N23" s="1"/>
    </row>
  </sheetData>
  <mergeCells count="12">
    <mergeCell ref="A6:A8"/>
    <mergeCell ref="B7:B8"/>
    <mergeCell ref="C7:C8"/>
    <mergeCell ref="N7:O7"/>
    <mergeCell ref="P7:Q7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7"/>
  <sheetViews>
    <sheetView zoomScale="80" zoomScaleNormal="80" workbookViewId="0">
      <selection activeCell="K32" sqref="K32"/>
    </sheetView>
  </sheetViews>
  <sheetFormatPr defaultRowHeight="15" x14ac:dyDescent="0.25"/>
  <cols>
    <col min="1" max="1" width="10.28515625" style="1" customWidth="1"/>
    <col min="2" max="2" width="15.5703125" style="15" customWidth="1"/>
    <col min="3" max="3" width="19.28515625" style="15" bestFit="1" customWidth="1"/>
    <col min="4" max="4" width="24.140625" style="15" bestFit="1" customWidth="1"/>
    <col min="5" max="5" width="15.28515625" style="15" bestFit="1" customWidth="1"/>
    <col min="6" max="6" width="13.85546875" style="15" customWidth="1"/>
    <col min="7" max="8" width="15.28515625" style="15" bestFit="1" customWidth="1"/>
    <col min="9" max="9" width="21.42578125" style="16" customWidth="1"/>
    <col min="10" max="10" width="2.5703125" style="1" customWidth="1"/>
    <col min="11" max="11" width="15.28515625" style="15" bestFit="1" customWidth="1"/>
    <col min="12" max="12" width="21.42578125" style="147" customWidth="1"/>
  </cols>
  <sheetData>
    <row r="1" spans="1:12" ht="15.75" customHeight="1" x14ac:dyDescent="0.25">
      <c r="A1" s="14" t="s">
        <v>347</v>
      </c>
    </row>
    <row r="2" spans="1:12" ht="15.75" customHeight="1" x14ac:dyDescent="0.25">
      <c r="A2" s="17" t="s">
        <v>31</v>
      </c>
    </row>
    <row r="3" spans="1:12" ht="15.75" customHeight="1" x14ac:dyDescent="0.25">
      <c r="A3" s="17"/>
    </row>
    <row r="4" spans="1:12" x14ac:dyDescent="0.25">
      <c r="A4" s="18" t="s">
        <v>348</v>
      </c>
    </row>
    <row r="5" spans="1:12" ht="15.75" customHeight="1" thickBot="1" x14ac:dyDescent="0.3"/>
    <row r="6" spans="1:12" ht="15.75" customHeight="1" thickBot="1" x14ac:dyDescent="0.3">
      <c r="A6" s="404"/>
      <c r="B6" s="398" t="s">
        <v>336</v>
      </c>
      <c r="C6" s="712" t="s">
        <v>349</v>
      </c>
      <c r="D6" s="715" t="s">
        <v>350</v>
      </c>
      <c r="E6" s="721" t="s">
        <v>187</v>
      </c>
      <c r="F6" s="722"/>
      <c r="G6" s="723"/>
      <c r="H6" s="600" t="s">
        <v>3</v>
      </c>
      <c r="I6" s="407"/>
      <c r="J6" s="19"/>
      <c r="K6" s="600" t="s">
        <v>4</v>
      </c>
      <c r="L6" s="407"/>
    </row>
    <row r="7" spans="1:12" ht="21.75" customHeight="1" x14ac:dyDescent="0.25">
      <c r="A7" s="593"/>
      <c r="B7" s="403"/>
      <c r="C7" s="713"/>
      <c r="D7" s="716"/>
      <c r="E7" s="374" t="s">
        <v>351</v>
      </c>
      <c r="F7" s="375" t="s">
        <v>352</v>
      </c>
      <c r="G7" s="724" t="s">
        <v>243</v>
      </c>
      <c r="H7" s="718" t="s">
        <v>243</v>
      </c>
      <c r="I7" s="698" t="s">
        <v>141</v>
      </c>
      <c r="J7" s="23"/>
      <c r="K7" s="718" t="s">
        <v>243</v>
      </c>
      <c r="L7" s="698" t="s">
        <v>143</v>
      </c>
    </row>
    <row r="8" spans="1:12" ht="27.75" customHeight="1" thickBot="1" x14ac:dyDescent="0.3">
      <c r="A8" s="405"/>
      <c r="B8" s="399"/>
      <c r="C8" s="714"/>
      <c r="D8" s="717"/>
      <c r="E8" s="376"/>
      <c r="F8" s="377"/>
      <c r="G8" s="725"/>
      <c r="H8" s="719"/>
      <c r="I8" s="720"/>
      <c r="J8" s="23"/>
      <c r="K8" s="719"/>
      <c r="L8" s="720"/>
    </row>
    <row r="9" spans="1:12" x14ac:dyDescent="0.25">
      <c r="A9" s="242" t="s">
        <v>50</v>
      </c>
      <c r="B9" s="67">
        <v>6986163</v>
      </c>
      <c r="C9" s="70">
        <v>2617172377</v>
      </c>
      <c r="D9" s="240">
        <v>550257116</v>
      </c>
      <c r="E9" s="70">
        <f t="shared" ref="E9:F15" si="0">ROUND(E$8*C9 / 2, 0) * 2</f>
        <v>0</v>
      </c>
      <c r="F9" s="158">
        <f t="shared" si="0"/>
        <v>0</v>
      </c>
      <c r="G9" s="15">
        <f t="shared" ref="G9:G15" si="1">SUM(E9,F9)</f>
        <v>0</v>
      </c>
      <c r="H9" s="70">
        <f>B9</f>
        <v>6986163</v>
      </c>
      <c r="I9" s="159">
        <f t="shared" ref="I9:I16" si="2">IF($B9 &gt; 0, (H9-$B9)/$B9, "")</f>
        <v>0</v>
      </c>
      <c r="J9" s="23"/>
      <c r="K9" s="70">
        <f>B9</f>
        <v>6986163</v>
      </c>
      <c r="L9" s="159">
        <f t="shared" ref="L9:L16" si="3">IF($B9 &gt; 0, (K9-$B9)/$B9, "")</f>
        <v>0</v>
      </c>
    </row>
    <row r="10" spans="1:12" x14ac:dyDescent="0.25">
      <c r="A10" s="242" t="s">
        <v>54</v>
      </c>
      <c r="B10" s="67">
        <v>198603</v>
      </c>
      <c r="C10" s="70">
        <v>76973663</v>
      </c>
      <c r="D10" s="240">
        <v>13588852</v>
      </c>
      <c r="E10" s="70">
        <f t="shared" si="0"/>
        <v>0</v>
      </c>
      <c r="F10" s="158">
        <f t="shared" si="0"/>
        <v>0</v>
      </c>
      <c r="G10" s="15">
        <f t="shared" si="1"/>
        <v>0</v>
      </c>
      <c r="H10" s="70">
        <f t="shared" ref="H10:H15" si="4">B10</f>
        <v>198603</v>
      </c>
      <c r="I10" s="159">
        <f t="shared" si="2"/>
        <v>0</v>
      </c>
      <c r="J10" s="23"/>
      <c r="K10" s="70">
        <f t="shared" ref="K10:K15" si="5">B10</f>
        <v>198603</v>
      </c>
      <c r="L10" s="159">
        <f t="shared" si="3"/>
        <v>0</v>
      </c>
    </row>
    <row r="11" spans="1:12" x14ac:dyDescent="0.25">
      <c r="A11" s="242" t="s">
        <v>55</v>
      </c>
      <c r="B11" s="67">
        <v>273208</v>
      </c>
      <c r="C11" s="70">
        <v>105518772</v>
      </c>
      <c r="D11" s="240">
        <v>11794331</v>
      </c>
      <c r="E11" s="70">
        <f t="shared" si="0"/>
        <v>0</v>
      </c>
      <c r="F11" s="158">
        <f t="shared" si="0"/>
        <v>0</v>
      </c>
      <c r="G11" s="15">
        <f t="shared" si="1"/>
        <v>0</v>
      </c>
      <c r="H11" s="70">
        <f t="shared" si="4"/>
        <v>273208</v>
      </c>
      <c r="I11" s="159">
        <f t="shared" si="2"/>
        <v>0</v>
      </c>
      <c r="J11" s="23"/>
      <c r="K11" s="70">
        <f t="shared" si="5"/>
        <v>273208</v>
      </c>
      <c r="L11" s="159">
        <f t="shared" si="3"/>
        <v>0</v>
      </c>
    </row>
    <row r="12" spans="1:12" x14ac:dyDescent="0.25">
      <c r="A12" s="242" t="s">
        <v>56</v>
      </c>
      <c r="B12" s="67">
        <v>530709</v>
      </c>
      <c r="C12" s="70">
        <v>201204979</v>
      </c>
      <c r="D12" s="240">
        <v>23680786</v>
      </c>
      <c r="E12" s="70">
        <f t="shared" si="0"/>
        <v>0</v>
      </c>
      <c r="F12" s="158">
        <f t="shared" si="0"/>
        <v>0</v>
      </c>
      <c r="G12" s="15">
        <f t="shared" si="1"/>
        <v>0</v>
      </c>
      <c r="H12" s="70">
        <f t="shared" si="4"/>
        <v>530709</v>
      </c>
      <c r="I12" s="159">
        <f t="shared" si="2"/>
        <v>0</v>
      </c>
      <c r="J12" s="23"/>
      <c r="K12" s="70">
        <f t="shared" si="5"/>
        <v>530709</v>
      </c>
      <c r="L12" s="159">
        <f t="shared" si="3"/>
        <v>0</v>
      </c>
    </row>
    <row r="13" spans="1:12" x14ac:dyDescent="0.25">
      <c r="A13" s="242" t="s">
        <v>57</v>
      </c>
      <c r="B13" s="67">
        <v>5341464</v>
      </c>
      <c r="C13" s="70">
        <v>2108073328</v>
      </c>
      <c r="D13" s="240">
        <v>148880863</v>
      </c>
      <c r="E13" s="70">
        <f t="shared" si="0"/>
        <v>0</v>
      </c>
      <c r="F13" s="158">
        <f t="shared" si="0"/>
        <v>0</v>
      </c>
      <c r="G13" s="15">
        <f t="shared" si="1"/>
        <v>0</v>
      </c>
      <c r="H13" s="70">
        <f t="shared" si="4"/>
        <v>5341464</v>
      </c>
      <c r="I13" s="159">
        <f t="shared" si="2"/>
        <v>0</v>
      </c>
      <c r="J13" s="23"/>
      <c r="K13" s="70">
        <f t="shared" si="5"/>
        <v>5341464</v>
      </c>
      <c r="L13" s="159">
        <f t="shared" si="3"/>
        <v>0</v>
      </c>
    </row>
    <row r="14" spans="1:12" x14ac:dyDescent="0.25">
      <c r="A14" s="242" t="s">
        <v>58</v>
      </c>
      <c r="B14" s="67">
        <v>522017</v>
      </c>
      <c r="C14" s="70">
        <v>231749080</v>
      </c>
      <c r="D14" s="240">
        <v>22742860</v>
      </c>
      <c r="E14" s="70">
        <f t="shared" si="0"/>
        <v>0</v>
      </c>
      <c r="F14" s="158">
        <f t="shared" si="0"/>
        <v>0</v>
      </c>
      <c r="G14" s="15">
        <f t="shared" si="1"/>
        <v>0</v>
      </c>
      <c r="H14" s="70">
        <f t="shared" si="4"/>
        <v>522017</v>
      </c>
      <c r="I14" s="159">
        <f t="shared" si="2"/>
        <v>0</v>
      </c>
      <c r="J14" s="23"/>
      <c r="K14" s="70">
        <f t="shared" si="5"/>
        <v>522017</v>
      </c>
      <c r="L14" s="159">
        <f t="shared" si="3"/>
        <v>0</v>
      </c>
    </row>
    <row r="15" spans="1:12" ht="15.75" customHeight="1" thickBot="1" x14ac:dyDescent="0.3">
      <c r="A15" s="242" t="s">
        <v>59</v>
      </c>
      <c r="B15" s="67">
        <v>496934</v>
      </c>
      <c r="C15" s="70">
        <v>184083182</v>
      </c>
      <c r="D15" s="240">
        <v>32115503</v>
      </c>
      <c r="E15" s="70">
        <f t="shared" si="0"/>
        <v>0</v>
      </c>
      <c r="F15" s="158">
        <f t="shared" si="0"/>
        <v>0</v>
      </c>
      <c r="G15" s="15">
        <f t="shared" si="1"/>
        <v>0</v>
      </c>
      <c r="H15" s="70">
        <f t="shared" si="4"/>
        <v>496934</v>
      </c>
      <c r="I15" s="159">
        <f t="shared" si="2"/>
        <v>0</v>
      </c>
      <c r="J15" s="23"/>
      <c r="K15" s="70">
        <f t="shared" si="5"/>
        <v>496934</v>
      </c>
      <c r="L15" s="159">
        <f t="shared" si="3"/>
        <v>0</v>
      </c>
    </row>
    <row r="16" spans="1:12" ht="15.75" customHeight="1" thickTop="1" x14ac:dyDescent="0.25">
      <c r="A16" s="243" t="s">
        <v>131</v>
      </c>
      <c r="B16" s="244">
        <f t="shared" ref="B16:H16" si="6">SUM(B9:B15)</f>
        <v>14349098</v>
      </c>
      <c r="C16" s="245">
        <f t="shared" si="6"/>
        <v>5524775381</v>
      </c>
      <c r="D16" s="246">
        <f t="shared" si="6"/>
        <v>803060311</v>
      </c>
      <c r="E16" s="245">
        <f t="shared" si="6"/>
        <v>0</v>
      </c>
      <c r="F16" s="247">
        <f t="shared" si="6"/>
        <v>0</v>
      </c>
      <c r="G16" s="378">
        <f t="shared" si="6"/>
        <v>0</v>
      </c>
      <c r="H16" s="245">
        <f t="shared" si="6"/>
        <v>14349098</v>
      </c>
      <c r="I16" s="312">
        <f t="shared" si="2"/>
        <v>0</v>
      </c>
      <c r="J16" s="23"/>
      <c r="K16" s="245">
        <f>SUM(K9:K15)</f>
        <v>14349098</v>
      </c>
      <c r="L16" s="312">
        <f t="shared" si="3"/>
        <v>0</v>
      </c>
    </row>
    <row r="17" spans="1:12" x14ac:dyDescent="0.25">
      <c r="A17" s="250"/>
      <c r="B17" s="251"/>
      <c r="C17" s="252"/>
      <c r="D17" s="257"/>
      <c r="E17" s="252"/>
      <c r="F17" s="254"/>
      <c r="G17" s="253"/>
      <c r="H17" s="252"/>
      <c r="I17" s="281"/>
      <c r="J17" s="23"/>
      <c r="K17" s="252"/>
      <c r="L17" s="281"/>
    </row>
    <row r="18" spans="1:12" x14ac:dyDescent="0.25">
      <c r="A18" s="242" t="s">
        <v>65</v>
      </c>
      <c r="B18" s="67">
        <v>10059617</v>
      </c>
      <c r="C18" s="70">
        <v>3310041508</v>
      </c>
      <c r="D18" s="240">
        <v>721052232</v>
      </c>
      <c r="E18" s="70">
        <f t="shared" ref="E18:F20" si="7">ROUND(E$8*C18 / 2, 0) * 2</f>
        <v>0</v>
      </c>
      <c r="F18" s="158">
        <f t="shared" si="7"/>
        <v>0</v>
      </c>
      <c r="G18" s="15">
        <f>SUM(E18,F18)</f>
        <v>0</v>
      </c>
      <c r="H18" s="70">
        <f t="shared" ref="H18:H20" si="8">B18</f>
        <v>10059617</v>
      </c>
      <c r="I18" s="159">
        <f>IF($B18 &gt; 0, (H18-$B18)/$B18, "")</f>
        <v>0</v>
      </c>
      <c r="J18" s="23"/>
      <c r="K18" s="70">
        <f t="shared" ref="K18:K20" si="9">B18</f>
        <v>10059617</v>
      </c>
      <c r="L18" s="159">
        <f>IF($B18 &gt; 0, (K18-$B18)/$B18, "")</f>
        <v>0</v>
      </c>
    </row>
    <row r="19" spans="1:12" x14ac:dyDescent="0.25">
      <c r="A19" s="242" t="s">
        <v>66</v>
      </c>
      <c r="B19" s="67">
        <v>1004885</v>
      </c>
      <c r="C19" s="70">
        <v>399927647</v>
      </c>
      <c r="D19" s="240">
        <v>58744175</v>
      </c>
      <c r="E19" s="70">
        <f t="shared" si="7"/>
        <v>0</v>
      </c>
      <c r="F19" s="158">
        <f t="shared" si="7"/>
        <v>0</v>
      </c>
      <c r="G19" s="15">
        <f>SUM(E19,F19)</f>
        <v>0</v>
      </c>
      <c r="H19" s="70">
        <f t="shared" si="8"/>
        <v>1004885</v>
      </c>
      <c r="I19" s="159">
        <f>IF($B19 &gt; 0, (H19-$B19)/$B19, "")</f>
        <v>0</v>
      </c>
      <c r="J19" s="23"/>
      <c r="K19" s="70">
        <f t="shared" si="9"/>
        <v>1004885</v>
      </c>
      <c r="L19" s="159">
        <f>IF($B19 &gt; 0, (K19-$B19)/$B19, "")</f>
        <v>0</v>
      </c>
    </row>
    <row r="20" spans="1:12" ht="15.75" customHeight="1" thickBot="1" x14ac:dyDescent="0.3">
      <c r="A20" s="242" t="s">
        <v>68</v>
      </c>
      <c r="B20" s="67">
        <v>1177652</v>
      </c>
      <c r="C20" s="70">
        <v>439821228</v>
      </c>
      <c r="D20" s="240">
        <v>54143021</v>
      </c>
      <c r="E20" s="70">
        <f t="shared" si="7"/>
        <v>0</v>
      </c>
      <c r="F20" s="158">
        <f t="shared" si="7"/>
        <v>0</v>
      </c>
      <c r="G20" s="15">
        <f>SUM(E20,F20)</f>
        <v>0</v>
      </c>
      <c r="H20" s="70">
        <f t="shared" si="8"/>
        <v>1177652</v>
      </c>
      <c r="I20" s="159">
        <f>IF($B20 &gt; 0, (H20-$B20)/$B20, "")</f>
        <v>0</v>
      </c>
      <c r="J20" s="23"/>
      <c r="K20" s="70">
        <f t="shared" si="9"/>
        <v>1177652</v>
      </c>
      <c r="L20" s="159">
        <f>IF($B20 &gt; 0, (K20-$B20)/$B20, "")</f>
        <v>0</v>
      </c>
    </row>
    <row r="21" spans="1:12" ht="15.75" customHeight="1" thickTop="1" x14ac:dyDescent="0.25">
      <c r="A21" s="243" t="s">
        <v>132</v>
      </c>
      <c r="B21" s="244">
        <f t="shared" ref="B21:H21" si="10">SUM(B18:B20)</f>
        <v>12242154</v>
      </c>
      <c r="C21" s="245">
        <f t="shared" si="10"/>
        <v>4149790383</v>
      </c>
      <c r="D21" s="246">
        <f t="shared" si="10"/>
        <v>833939428</v>
      </c>
      <c r="E21" s="245">
        <f t="shared" si="10"/>
        <v>0</v>
      </c>
      <c r="F21" s="247">
        <f t="shared" si="10"/>
        <v>0</v>
      </c>
      <c r="G21" s="378">
        <f t="shared" si="10"/>
        <v>0</v>
      </c>
      <c r="H21" s="245">
        <f t="shared" si="10"/>
        <v>12242154</v>
      </c>
      <c r="I21" s="312">
        <f>IF($B21 &gt; 0, (H21-$B21)/$B21, "")</f>
        <v>0</v>
      </c>
      <c r="J21" s="23"/>
      <c r="K21" s="245">
        <f>SUM(K18:K20)</f>
        <v>12242154</v>
      </c>
      <c r="L21" s="312">
        <f>IF($B21 &gt; 0, (K21-$B21)/$B21, "")</f>
        <v>0</v>
      </c>
    </row>
    <row r="22" spans="1:12" x14ac:dyDescent="0.25">
      <c r="A22" s="250"/>
      <c r="B22" s="251"/>
      <c r="C22" s="252"/>
      <c r="D22" s="257"/>
      <c r="E22" s="252"/>
      <c r="F22" s="254"/>
      <c r="G22" s="253"/>
      <c r="H22" s="252"/>
      <c r="I22" s="281"/>
      <c r="J22" s="23"/>
      <c r="K22" s="252"/>
      <c r="L22" s="281"/>
    </row>
    <row r="23" spans="1:12" x14ac:dyDescent="0.25">
      <c r="A23" s="242" t="s">
        <v>71</v>
      </c>
      <c r="B23" s="67">
        <v>2917359</v>
      </c>
      <c r="C23" s="70">
        <v>959854241</v>
      </c>
      <c r="D23" s="240">
        <v>304057565</v>
      </c>
      <c r="E23" s="70">
        <f t="shared" ref="E23:F27" si="11">ROUND(E$8*C23 / 2, 0) * 2</f>
        <v>0</v>
      </c>
      <c r="F23" s="158">
        <f t="shared" si="11"/>
        <v>0</v>
      </c>
      <c r="G23" s="15">
        <f>SUM(E23,F23)</f>
        <v>0</v>
      </c>
      <c r="H23" s="70">
        <f t="shared" ref="H23:H27" si="12">B23</f>
        <v>2917359</v>
      </c>
      <c r="I23" s="159">
        <f t="shared" ref="I23:I28" si="13">IF($B23 &gt; 0, (H23-$B23)/$B23, "")</f>
        <v>0</v>
      </c>
      <c r="J23" s="23"/>
      <c r="K23" s="70">
        <f t="shared" ref="K23:K27" si="14">B23</f>
        <v>2917359</v>
      </c>
      <c r="L23" s="159">
        <f t="shared" ref="L23:L28" si="15">IF($B23 &gt; 0, (K23-$B23)/$B23, "")</f>
        <v>0</v>
      </c>
    </row>
    <row r="24" spans="1:12" x14ac:dyDescent="0.25">
      <c r="A24" s="242" t="s">
        <v>72</v>
      </c>
      <c r="B24" s="67">
        <v>1504289</v>
      </c>
      <c r="C24" s="70">
        <v>563536715</v>
      </c>
      <c r="D24" s="240">
        <v>98112209</v>
      </c>
      <c r="E24" s="70">
        <f t="shared" si="11"/>
        <v>0</v>
      </c>
      <c r="F24" s="158">
        <f t="shared" si="11"/>
        <v>0</v>
      </c>
      <c r="G24" s="15">
        <f>SUM(E24,F24)</f>
        <v>0</v>
      </c>
      <c r="H24" s="70">
        <f t="shared" si="12"/>
        <v>1504289</v>
      </c>
      <c r="I24" s="159">
        <f t="shared" si="13"/>
        <v>0</v>
      </c>
      <c r="J24" s="23"/>
      <c r="K24" s="70">
        <f t="shared" si="14"/>
        <v>1504289</v>
      </c>
      <c r="L24" s="159">
        <f t="shared" si="15"/>
        <v>0</v>
      </c>
    </row>
    <row r="25" spans="1:12" x14ac:dyDescent="0.25">
      <c r="A25" s="242" t="s">
        <v>73</v>
      </c>
      <c r="B25" s="67">
        <v>1112962</v>
      </c>
      <c r="C25" s="70">
        <v>415150473</v>
      </c>
      <c r="D25" s="240">
        <v>71186818</v>
      </c>
      <c r="E25" s="70">
        <f t="shared" si="11"/>
        <v>0</v>
      </c>
      <c r="F25" s="158">
        <f t="shared" si="11"/>
        <v>0</v>
      </c>
      <c r="G25" s="15">
        <f>SUM(E25,F25)</f>
        <v>0</v>
      </c>
      <c r="H25" s="70">
        <f t="shared" si="12"/>
        <v>1112962</v>
      </c>
      <c r="I25" s="159">
        <f t="shared" si="13"/>
        <v>0</v>
      </c>
      <c r="J25" s="23"/>
      <c r="K25" s="70">
        <f t="shared" si="14"/>
        <v>1112962</v>
      </c>
      <c r="L25" s="159">
        <f t="shared" si="15"/>
        <v>0</v>
      </c>
    </row>
    <row r="26" spans="1:12" x14ac:dyDescent="0.25">
      <c r="A26" s="242" t="s">
        <v>74</v>
      </c>
      <c r="B26" s="67">
        <v>1005286</v>
      </c>
      <c r="C26" s="70">
        <v>381932323</v>
      </c>
      <c r="D26" s="240">
        <v>32375181</v>
      </c>
      <c r="E26" s="70">
        <f t="shared" si="11"/>
        <v>0</v>
      </c>
      <c r="F26" s="158">
        <f t="shared" si="11"/>
        <v>0</v>
      </c>
      <c r="G26" s="15">
        <f>SUM(E26,F26)</f>
        <v>0</v>
      </c>
      <c r="H26" s="70">
        <f t="shared" si="12"/>
        <v>1005286</v>
      </c>
      <c r="I26" s="159">
        <f t="shared" si="13"/>
        <v>0</v>
      </c>
      <c r="J26" s="23"/>
      <c r="K26" s="70">
        <f t="shared" si="14"/>
        <v>1005286</v>
      </c>
      <c r="L26" s="159">
        <f t="shared" si="15"/>
        <v>0</v>
      </c>
    </row>
    <row r="27" spans="1:12" ht="15.75" customHeight="1" thickBot="1" x14ac:dyDescent="0.3">
      <c r="A27" s="242" t="s">
        <v>75</v>
      </c>
      <c r="B27" s="67">
        <v>3610577</v>
      </c>
      <c r="C27" s="70">
        <v>1347140081</v>
      </c>
      <c r="D27" s="240">
        <v>95307714</v>
      </c>
      <c r="E27" s="70">
        <f t="shared" si="11"/>
        <v>0</v>
      </c>
      <c r="F27" s="158">
        <f t="shared" si="11"/>
        <v>0</v>
      </c>
      <c r="G27" s="15">
        <f>SUM(E27,F27)</f>
        <v>0</v>
      </c>
      <c r="H27" s="70">
        <f t="shared" si="12"/>
        <v>3610577</v>
      </c>
      <c r="I27" s="159">
        <f t="shared" si="13"/>
        <v>0</v>
      </c>
      <c r="J27" s="23"/>
      <c r="K27" s="70">
        <f t="shared" si="14"/>
        <v>3610577</v>
      </c>
      <c r="L27" s="159">
        <f t="shared" si="15"/>
        <v>0</v>
      </c>
    </row>
    <row r="28" spans="1:12" ht="15.75" customHeight="1" thickBot="1" x14ac:dyDescent="0.3">
      <c r="A28" s="317" t="s">
        <v>46</v>
      </c>
      <c r="B28" s="261">
        <f t="shared" ref="B28:H28" si="16">SUM(B16,B21,B23:B27)</f>
        <v>36741725</v>
      </c>
      <c r="C28" s="99">
        <f t="shared" si="16"/>
        <v>13342179597</v>
      </c>
      <c r="D28" s="262">
        <f t="shared" si="16"/>
        <v>2238039226</v>
      </c>
      <c r="E28" s="99">
        <f t="shared" si="16"/>
        <v>0</v>
      </c>
      <c r="F28" s="263">
        <f t="shared" si="16"/>
        <v>0</v>
      </c>
      <c r="G28" s="379">
        <f t="shared" si="16"/>
        <v>0</v>
      </c>
      <c r="H28" s="99">
        <f t="shared" si="16"/>
        <v>36741725</v>
      </c>
      <c r="I28" s="188">
        <f t="shared" si="13"/>
        <v>0</v>
      </c>
      <c r="J28" s="95"/>
      <c r="K28" s="99">
        <f>SUM(K16,K21,K23:K27)</f>
        <v>36741725</v>
      </c>
      <c r="L28" s="188">
        <f t="shared" si="15"/>
        <v>0</v>
      </c>
    </row>
    <row r="47" spans="1:11" ht="15.75" customHeight="1" x14ac:dyDescent="0.25">
      <c r="A47"/>
      <c r="B47"/>
      <c r="C47"/>
      <c r="D47"/>
      <c r="E47"/>
      <c r="F47"/>
      <c r="G47"/>
      <c r="H47"/>
      <c r="I47"/>
      <c r="J47"/>
      <c r="K47"/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I20"/>
  <sheetViews>
    <sheetView zoomScale="80" zoomScaleNormal="80" workbookViewId="0">
      <selection activeCell="G8" sqref="G8"/>
    </sheetView>
  </sheetViews>
  <sheetFormatPr defaultRowHeight="15" x14ac:dyDescent="0.25"/>
  <cols>
    <col min="1" max="1" width="38.140625" style="1" customWidth="1"/>
    <col min="2" max="3" width="18.28515625" style="15" customWidth="1"/>
    <col min="4" max="4" width="21.7109375" style="15" customWidth="1"/>
    <col min="5" max="5" width="22.28515625" style="16" customWidth="1"/>
    <col min="6" max="6" width="2.85546875" style="1" customWidth="1"/>
    <col min="7" max="7" width="18.28515625" style="15" customWidth="1"/>
    <col min="8" max="8" width="21.7109375" style="15" customWidth="1"/>
    <col min="9" max="9" width="22.28515625" style="16" customWidth="1"/>
  </cols>
  <sheetData>
    <row r="1" spans="1:9" ht="15.75" customHeight="1" x14ac:dyDescent="0.25">
      <c r="A1" s="14" t="s">
        <v>30</v>
      </c>
    </row>
    <row r="2" spans="1:9" ht="15.75" customHeight="1" x14ac:dyDescent="0.25">
      <c r="A2" s="17" t="s">
        <v>31</v>
      </c>
    </row>
    <row r="3" spans="1:9" ht="15.75" customHeight="1" x14ac:dyDescent="0.25">
      <c r="A3" s="17"/>
    </row>
    <row r="4" spans="1:9" x14ac:dyDescent="0.25">
      <c r="A4" s="18" t="s">
        <v>32</v>
      </c>
    </row>
    <row r="5" spans="1:9" ht="15.75" customHeight="1" thickBot="1" x14ac:dyDescent="0.3">
      <c r="A5" s="18"/>
    </row>
    <row r="6" spans="1:9" ht="15.75" customHeight="1" thickBot="1" x14ac:dyDescent="0.3">
      <c r="A6" s="396"/>
      <c r="B6" s="398" t="s">
        <v>33</v>
      </c>
      <c r="C6" s="400" t="s">
        <v>3</v>
      </c>
      <c r="D6" s="401"/>
      <c r="E6" s="402"/>
      <c r="F6" s="19"/>
      <c r="G6" s="400" t="s">
        <v>4</v>
      </c>
      <c r="H6" s="401"/>
      <c r="I6" s="402"/>
    </row>
    <row r="7" spans="1:9" ht="30.75" customHeight="1" thickBot="1" x14ac:dyDescent="0.3">
      <c r="A7" s="397"/>
      <c r="B7" s="399"/>
      <c r="C7" s="20" t="s">
        <v>34</v>
      </c>
      <c r="D7" s="21" t="s">
        <v>35</v>
      </c>
      <c r="E7" s="22" t="s">
        <v>36</v>
      </c>
      <c r="F7" s="23"/>
      <c r="G7" s="20" t="s">
        <v>34</v>
      </c>
      <c r="H7" s="21" t="s">
        <v>35</v>
      </c>
      <c r="I7" s="22" t="s">
        <v>36</v>
      </c>
    </row>
    <row r="8" spans="1:9" ht="20.100000000000001" customHeight="1" x14ac:dyDescent="0.25">
      <c r="A8" s="24" t="s">
        <v>37</v>
      </c>
      <c r="B8" s="25">
        <v>1394155799</v>
      </c>
      <c r="C8" s="26">
        <f>'OPERATING Total Funding'!O32</f>
        <v>1394155799</v>
      </c>
      <c r="D8" s="27">
        <f t="shared" ref="D8:D13" si="0">C8-$B8</f>
        <v>0</v>
      </c>
      <c r="E8" s="28">
        <f t="shared" ref="E8:E14" si="1">IF($B8&gt;0,D8/$B8, "")</f>
        <v>0</v>
      </c>
      <c r="F8" s="29"/>
      <c r="G8" s="26">
        <f>'OPERATING Total Funding'!AA32</f>
        <v>1421586861</v>
      </c>
      <c r="H8" s="27">
        <f t="shared" ref="H8:H13" si="2">G8-$B8</f>
        <v>27431062</v>
      </c>
      <c r="I8" s="28">
        <f t="shared" ref="I8:I14" si="3">IF($B8&gt;0,H8/$B8, "")</f>
        <v>1.9675750744411601E-2</v>
      </c>
    </row>
    <row r="9" spans="1:9" ht="20.100000000000001" customHeight="1" x14ac:dyDescent="0.25">
      <c r="A9" s="30" t="s">
        <v>38</v>
      </c>
      <c r="B9" s="25">
        <v>189883090</v>
      </c>
      <c r="C9" s="26">
        <v>166485429</v>
      </c>
      <c r="D9" s="27">
        <f t="shared" si="0"/>
        <v>-23397661</v>
      </c>
      <c r="E9" s="28">
        <f t="shared" si="1"/>
        <v>-0.12322140428618472</v>
      </c>
      <c r="F9" s="29"/>
      <c r="G9" s="26">
        <v>160024816</v>
      </c>
      <c r="H9" s="27">
        <f t="shared" si="2"/>
        <v>-29858274</v>
      </c>
      <c r="I9" s="28">
        <f t="shared" si="3"/>
        <v>-0.15724556620602709</v>
      </c>
    </row>
    <row r="10" spans="1:9" ht="20.100000000000001" customHeight="1" x14ac:dyDescent="0.25">
      <c r="A10" s="30" t="s">
        <v>39</v>
      </c>
      <c r="B10" s="25">
        <v>36741725</v>
      </c>
      <c r="C10" s="26">
        <f>'R&amp;R Funding'!H28</f>
        <v>36741725</v>
      </c>
      <c r="D10" s="27">
        <f t="shared" si="0"/>
        <v>0</v>
      </c>
      <c r="E10" s="28">
        <f t="shared" si="1"/>
        <v>0</v>
      </c>
      <c r="F10" s="29"/>
      <c r="G10" s="26">
        <f>'R&amp;R Funding'!K28</f>
        <v>36741725</v>
      </c>
      <c r="H10" s="27">
        <f t="shared" si="2"/>
        <v>0</v>
      </c>
      <c r="I10" s="28">
        <f t="shared" si="3"/>
        <v>0</v>
      </c>
    </row>
    <row r="11" spans="1:9" ht="20.100000000000001" customHeight="1" x14ac:dyDescent="0.25">
      <c r="A11" s="30" t="s">
        <v>40</v>
      </c>
      <c r="B11" s="25">
        <v>79734754</v>
      </c>
      <c r="C11" s="26">
        <v>85640367</v>
      </c>
      <c r="D11" s="27">
        <f t="shared" si="0"/>
        <v>5905613</v>
      </c>
      <c r="E11" s="28">
        <f t="shared" si="1"/>
        <v>7.4065732992667166E-2</v>
      </c>
      <c r="F11" s="29"/>
      <c r="G11" s="26">
        <v>85640367</v>
      </c>
      <c r="H11" s="27">
        <f t="shared" si="2"/>
        <v>5905613</v>
      </c>
      <c r="I11" s="28">
        <f t="shared" si="3"/>
        <v>7.4065732992667166E-2</v>
      </c>
    </row>
    <row r="12" spans="1:9" ht="20.100000000000001" customHeight="1" x14ac:dyDescent="0.25">
      <c r="A12" s="30" t="s">
        <v>41</v>
      </c>
      <c r="B12" s="25">
        <v>387617147</v>
      </c>
      <c r="C12" s="26">
        <v>388435673</v>
      </c>
      <c r="D12" s="27">
        <f t="shared" si="0"/>
        <v>818526</v>
      </c>
      <c r="E12" s="28">
        <f t="shared" si="1"/>
        <v>2.1116867670459378E-3</v>
      </c>
      <c r="F12" s="29"/>
      <c r="G12" s="26">
        <v>388435673</v>
      </c>
      <c r="H12" s="27">
        <f t="shared" si="2"/>
        <v>818526</v>
      </c>
      <c r="I12" s="28">
        <f t="shared" si="3"/>
        <v>2.1116867670459378E-3</v>
      </c>
    </row>
    <row r="13" spans="1:9" ht="20.100000000000001" customHeight="1" x14ac:dyDescent="0.25">
      <c r="A13" s="30" t="s">
        <v>42</v>
      </c>
      <c r="B13" s="25">
        <v>15159908</v>
      </c>
      <c r="C13" s="26">
        <v>14307617</v>
      </c>
      <c r="D13" s="27">
        <f t="shared" si="0"/>
        <v>-852291</v>
      </c>
      <c r="E13" s="28">
        <f t="shared" si="1"/>
        <v>-5.6220064132315312E-2</v>
      </c>
      <c r="F13" s="29"/>
      <c r="G13" s="26">
        <v>14362617</v>
      </c>
      <c r="H13" s="27">
        <f t="shared" si="2"/>
        <v>-797291</v>
      </c>
      <c r="I13" s="28">
        <f t="shared" si="3"/>
        <v>-5.2592073777756432E-2</v>
      </c>
    </row>
    <row r="14" spans="1:9" ht="20.100000000000001" customHeight="1" thickBot="1" x14ac:dyDescent="0.3">
      <c r="A14" s="47" t="s">
        <v>43</v>
      </c>
      <c r="B14" s="48">
        <f>SUM(B8:B13)</f>
        <v>2103292423</v>
      </c>
      <c r="C14" s="49">
        <f>SUM(C8:C13)</f>
        <v>2085766610</v>
      </c>
      <c r="D14" s="50">
        <f>SUM(D8:D13)</f>
        <v>-17525813</v>
      </c>
      <c r="E14" s="51">
        <f t="shared" si="1"/>
        <v>-8.3325612779046269E-3</v>
      </c>
      <c r="F14" s="52"/>
      <c r="G14" s="49">
        <f>SUM(G8:G13)</f>
        <v>2106792059</v>
      </c>
      <c r="H14" s="50">
        <f>SUM(H8:H13)</f>
        <v>3499636</v>
      </c>
      <c r="I14" s="51">
        <f t="shared" si="3"/>
        <v>1.6638846608919677E-3</v>
      </c>
    </row>
    <row r="15" spans="1:9" ht="15" customHeight="1" thickTop="1" x14ac:dyDescent="0.25">
      <c r="A15" s="43"/>
      <c r="B15" s="29"/>
      <c r="C15" s="44"/>
      <c r="D15" s="45"/>
      <c r="E15" s="46"/>
      <c r="F15" s="29"/>
      <c r="G15" s="44"/>
      <c r="H15" s="45"/>
      <c r="I15" s="46"/>
    </row>
    <row r="16" spans="1:9" ht="20.100000000000001" customHeight="1" x14ac:dyDescent="0.25">
      <c r="A16" s="30" t="s">
        <v>44</v>
      </c>
      <c r="B16" s="25">
        <v>11594088</v>
      </c>
      <c r="C16" s="26">
        <v>8002698</v>
      </c>
      <c r="D16" s="27">
        <f>C16-$B16</f>
        <v>-3591390</v>
      </c>
      <c r="E16" s="28">
        <f>IF($B16&gt;0,D16/$B16, "")</f>
        <v>-0.3097604572261311</v>
      </c>
      <c r="F16" s="29"/>
      <c r="G16" s="26">
        <f>'LINE ITEM Requests'!O94</f>
        <v>9002698</v>
      </c>
      <c r="H16" s="27">
        <f>G16-$B16</f>
        <v>-2591390</v>
      </c>
      <c r="I16" s="28">
        <f>IF($B16&gt;0,H16/$B16, "")</f>
        <v>-0.22350960248016058</v>
      </c>
    </row>
    <row r="17" spans="1:9" ht="20.100000000000001" customHeight="1" thickBot="1" x14ac:dyDescent="0.3">
      <c r="A17" s="31" t="s">
        <v>45</v>
      </c>
      <c r="B17" s="32">
        <f>SUM(B16:B16)</f>
        <v>11594088</v>
      </c>
      <c r="C17" s="33">
        <f>SUM(C16:C16)</f>
        <v>8002698</v>
      </c>
      <c r="D17" s="34">
        <f>SUM(D16:D16)</f>
        <v>-3591390</v>
      </c>
      <c r="E17" s="35">
        <f>IF($B17&gt;0,D17/$B17, "")</f>
        <v>-0.3097604572261311</v>
      </c>
      <c r="F17" s="36"/>
      <c r="G17" s="33">
        <f>SUM(G16:G16)</f>
        <v>9002698</v>
      </c>
      <c r="H17" s="34">
        <f>SUM(H16:H16)</f>
        <v>-2591390</v>
      </c>
      <c r="I17" s="35">
        <f>IF($B17&gt;0,H17/$B17, "")</f>
        <v>-0.22350960248016058</v>
      </c>
    </row>
    <row r="18" spans="1:9" ht="20.100000000000001" customHeight="1" thickBot="1" x14ac:dyDescent="0.3">
      <c r="A18" s="37" t="s">
        <v>46</v>
      </c>
      <c r="B18" s="38">
        <f>SUM(B14,B17)</f>
        <v>2114886511</v>
      </c>
      <c r="C18" s="39">
        <f>SUM(C14,C17)</f>
        <v>2093769308</v>
      </c>
      <c r="D18" s="40">
        <f>SUM(D14,D17)</f>
        <v>-21117203</v>
      </c>
      <c r="E18" s="41">
        <f>IF($B18&gt;0,D18/$B18, "")</f>
        <v>-9.9850289318905213E-3</v>
      </c>
      <c r="F18" s="42"/>
      <c r="G18" s="39">
        <f>SUM(G14,G17)</f>
        <v>2115794757</v>
      </c>
      <c r="H18" s="40">
        <f>SUM(H14,H17)</f>
        <v>908246</v>
      </c>
      <c r="I18" s="41">
        <f>IF($B18&gt;0,H18/$B18, "")</f>
        <v>4.2945377696439429E-4</v>
      </c>
    </row>
    <row r="20" spans="1:9" ht="15.75" x14ac:dyDescent="0.25">
      <c r="A20" s="17" t="s">
        <v>47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11"/>
  <sheetViews>
    <sheetView zoomScale="85" zoomScaleNormal="85" workbookViewId="0">
      <pane xSplit="1" ySplit="7" topLeftCell="B16" activePane="bottomRight" state="frozenSplit"/>
      <selection activeCell="B5" sqref="B5 A5:AP9"/>
      <selection pane="topRight"/>
      <selection pane="bottomLeft"/>
      <selection pane="bottomRight" activeCell="G110" sqref="G110"/>
    </sheetView>
  </sheetViews>
  <sheetFormatPr defaultRowHeight="15" x14ac:dyDescent="0.25"/>
  <cols>
    <col min="1" max="1" width="31.7109375" style="1" customWidth="1"/>
    <col min="2" max="3" width="16.5703125" style="15" customWidth="1"/>
    <col min="4" max="4" width="21.7109375" style="15" customWidth="1"/>
    <col min="5" max="5" width="22.28515625" style="16" customWidth="1"/>
    <col min="6" max="6" width="3" style="1" customWidth="1"/>
    <col min="7" max="7" width="16.5703125" style="15" customWidth="1"/>
    <col min="8" max="8" width="21.7109375" style="15" customWidth="1"/>
    <col min="9" max="9" width="22.28515625" style="16" customWidth="1"/>
  </cols>
  <sheetData>
    <row r="1" spans="1:9" ht="15.75" customHeight="1" x14ac:dyDescent="0.25">
      <c r="A1" s="14" t="s">
        <v>48</v>
      </c>
      <c r="B1"/>
    </row>
    <row r="2" spans="1:9" ht="15.75" customHeight="1" x14ac:dyDescent="0.25">
      <c r="A2" s="17" t="s">
        <v>31</v>
      </c>
    </row>
    <row r="3" spans="1:9" ht="15.75" customHeight="1" x14ac:dyDescent="0.25">
      <c r="A3" s="17"/>
    </row>
    <row r="4" spans="1:9" x14ac:dyDescent="0.25">
      <c r="A4" s="18" t="s">
        <v>49</v>
      </c>
    </row>
    <row r="5" spans="1:9" ht="15.75" customHeight="1" thickBot="1" x14ac:dyDescent="0.3"/>
    <row r="6" spans="1:9" ht="15.75" customHeight="1" thickBot="1" x14ac:dyDescent="0.3">
      <c r="A6" s="404"/>
      <c r="B6" s="398" t="s">
        <v>33</v>
      </c>
      <c r="C6" s="406" t="s">
        <v>3</v>
      </c>
      <c r="D6" s="406"/>
      <c r="E6" s="407"/>
      <c r="F6" s="19"/>
      <c r="G6" s="401" t="s">
        <v>4</v>
      </c>
      <c r="H6" s="401"/>
      <c r="I6" s="402"/>
    </row>
    <row r="7" spans="1:9" ht="30.75" customHeight="1" thickBot="1" x14ac:dyDescent="0.3">
      <c r="A7" s="405"/>
      <c r="B7" s="403"/>
      <c r="C7" s="53" t="s">
        <v>34</v>
      </c>
      <c r="D7" s="54" t="s">
        <v>35</v>
      </c>
      <c r="E7" s="55" t="s">
        <v>36</v>
      </c>
      <c r="F7" s="23"/>
      <c r="G7" s="56" t="s">
        <v>34</v>
      </c>
      <c r="H7" s="57" t="s">
        <v>35</v>
      </c>
      <c r="I7" s="58" t="s">
        <v>36</v>
      </c>
    </row>
    <row r="8" spans="1:9" x14ac:dyDescent="0.25">
      <c r="A8" s="59" t="s">
        <v>50</v>
      </c>
      <c r="B8" s="60">
        <f>SUM(B9:B11)</f>
        <v>235165762</v>
      </c>
      <c r="C8" s="61">
        <f>SUM(C9:C11)</f>
        <v>229811552</v>
      </c>
      <c r="D8" s="62">
        <f t="shared" ref="D8:D50" si="0">C8-$B8</f>
        <v>-5354210</v>
      </c>
      <c r="E8" s="63">
        <f t="shared" ref="E8:E50" si="1">IF($B8&gt;0,D8/$B8, "")</f>
        <v>-2.2767812603605112E-2</v>
      </c>
      <c r="F8" s="64"/>
      <c r="G8" s="65">
        <f>SUM(G9:G11)</f>
        <v>226689502</v>
      </c>
      <c r="H8" s="62">
        <f t="shared" ref="H8:H50" si="2">G8-$B8</f>
        <v>-8476260</v>
      </c>
      <c r="I8" s="63">
        <f t="shared" ref="I8:I50" si="3">IF($B8&gt;0,H8/$B8, "")</f>
        <v>-3.6043767289559776E-2</v>
      </c>
    </row>
    <row r="9" spans="1:9" x14ac:dyDescent="0.25">
      <c r="A9" s="66" t="s">
        <v>51</v>
      </c>
      <c r="B9" s="67">
        <v>201961310</v>
      </c>
      <c r="C9" s="68">
        <f>B9</f>
        <v>201961310</v>
      </c>
      <c r="D9" s="27">
        <f t="shared" si="0"/>
        <v>0</v>
      </c>
      <c r="E9" s="69">
        <f t="shared" si="1"/>
        <v>0</v>
      </c>
      <c r="F9" s="23"/>
      <c r="G9" s="70">
        <v>198962890</v>
      </c>
      <c r="H9" s="27">
        <f t="shared" si="2"/>
        <v>-2998420</v>
      </c>
      <c r="I9" s="69">
        <f t="shared" si="3"/>
        <v>-1.4846506986907542E-2</v>
      </c>
    </row>
    <row r="10" spans="1:9" x14ac:dyDescent="0.25">
      <c r="A10" s="66" t="s">
        <v>52</v>
      </c>
      <c r="B10" s="67">
        <v>26218289</v>
      </c>
      <c r="C10" s="68">
        <v>20864079</v>
      </c>
      <c r="D10" s="27">
        <f t="shared" si="0"/>
        <v>-5354210</v>
      </c>
      <c r="E10" s="69">
        <f t="shared" si="1"/>
        <v>-0.20421660620187687</v>
      </c>
      <c r="F10" s="23"/>
      <c r="G10" s="70">
        <v>20740449</v>
      </c>
      <c r="H10" s="27">
        <f t="shared" si="2"/>
        <v>-5477840</v>
      </c>
      <c r="I10" s="28">
        <f t="shared" si="3"/>
        <v>-0.20893201688332905</v>
      </c>
    </row>
    <row r="11" spans="1:9" x14ac:dyDescent="0.25">
      <c r="A11" s="66" t="s">
        <v>53</v>
      </c>
      <c r="B11" s="67">
        <v>6986163</v>
      </c>
      <c r="C11" s="68">
        <f>B11</f>
        <v>6986163</v>
      </c>
      <c r="D11" s="27">
        <f t="shared" si="0"/>
        <v>0</v>
      </c>
      <c r="E11" s="69">
        <f t="shared" si="1"/>
        <v>0</v>
      </c>
      <c r="F11" s="23"/>
      <c r="G11" s="67">
        <f>B11</f>
        <v>6986163</v>
      </c>
      <c r="H11" s="27">
        <f t="shared" si="2"/>
        <v>0</v>
      </c>
      <c r="I11" s="69">
        <f t="shared" si="3"/>
        <v>0</v>
      </c>
    </row>
    <row r="12" spans="1:9" ht="15.75" thickBot="1" x14ac:dyDescent="0.3">
      <c r="A12" s="59" t="s">
        <v>54</v>
      </c>
      <c r="B12" s="60">
        <f>SUM(B13:B15)</f>
        <v>14650372</v>
      </c>
      <c r="C12" s="61">
        <f>SUM(C13:C15)</f>
        <v>14245918</v>
      </c>
      <c r="D12" s="62">
        <f t="shared" si="0"/>
        <v>-404454</v>
      </c>
      <c r="E12" s="63">
        <f t="shared" si="1"/>
        <v>-2.7607080557408372E-2</v>
      </c>
      <c r="F12" s="64"/>
      <c r="G12" s="104">
        <f>SUM(G13:G15)</f>
        <v>15241289</v>
      </c>
      <c r="H12" s="62">
        <f t="shared" si="2"/>
        <v>590917</v>
      </c>
      <c r="I12" s="63">
        <f t="shared" si="3"/>
        <v>4.0334607203148153E-2</v>
      </c>
    </row>
    <row r="13" spans="1:9" x14ac:dyDescent="0.25">
      <c r="A13" s="66" t="s">
        <v>51</v>
      </c>
      <c r="B13" s="67">
        <v>14047315</v>
      </c>
      <c r="C13" s="68">
        <f>B13</f>
        <v>14047315</v>
      </c>
      <c r="D13" s="27">
        <f t="shared" si="0"/>
        <v>0</v>
      </c>
      <c r="E13" s="69">
        <f t="shared" si="1"/>
        <v>0</v>
      </c>
      <c r="F13" s="23"/>
      <c r="G13" s="103">
        <v>15042686</v>
      </c>
      <c r="H13" s="27">
        <f t="shared" si="2"/>
        <v>995371</v>
      </c>
      <c r="I13" s="28">
        <f t="shared" si="3"/>
        <v>7.0858452309213546E-2</v>
      </c>
    </row>
    <row r="14" spans="1:9" x14ac:dyDescent="0.25">
      <c r="A14" s="66" t="s">
        <v>52</v>
      </c>
      <c r="B14" s="67">
        <v>404454</v>
      </c>
      <c r="C14" s="68">
        <v>0</v>
      </c>
      <c r="D14" s="27">
        <f t="shared" si="0"/>
        <v>-404454</v>
      </c>
      <c r="E14" s="69">
        <f t="shared" si="1"/>
        <v>-1</v>
      </c>
      <c r="F14" s="23"/>
      <c r="G14" s="70">
        <v>0</v>
      </c>
      <c r="H14" s="27">
        <f t="shared" si="2"/>
        <v>-404454</v>
      </c>
      <c r="I14" s="69">
        <f t="shared" si="3"/>
        <v>-1</v>
      </c>
    </row>
    <row r="15" spans="1:9" x14ac:dyDescent="0.25">
      <c r="A15" s="66" t="s">
        <v>53</v>
      </c>
      <c r="B15" s="67">
        <v>198603</v>
      </c>
      <c r="C15" s="68">
        <f>B15</f>
        <v>198603</v>
      </c>
      <c r="D15" s="27">
        <f t="shared" si="0"/>
        <v>0</v>
      </c>
      <c r="E15" s="69">
        <f t="shared" si="1"/>
        <v>0</v>
      </c>
      <c r="F15" s="23"/>
      <c r="G15" s="67">
        <f>B15</f>
        <v>198603</v>
      </c>
      <c r="H15" s="27">
        <f t="shared" si="2"/>
        <v>0</v>
      </c>
      <c r="I15" s="28">
        <f t="shared" si="3"/>
        <v>0</v>
      </c>
    </row>
    <row r="16" spans="1:9" x14ac:dyDescent="0.25">
      <c r="A16" s="59" t="s">
        <v>55</v>
      </c>
      <c r="B16" s="60">
        <f>SUM(B17:B19)</f>
        <v>17802723</v>
      </c>
      <c r="C16" s="61">
        <f>SUM(C17:C19)</f>
        <v>16332693</v>
      </c>
      <c r="D16" s="62">
        <f t="shared" si="0"/>
        <v>-1470030</v>
      </c>
      <c r="E16" s="63">
        <f t="shared" si="1"/>
        <v>-8.2573323193311496E-2</v>
      </c>
      <c r="F16" s="64"/>
      <c r="G16" s="65">
        <f>SUM(G17:G19)</f>
        <v>16799393</v>
      </c>
      <c r="H16" s="62">
        <f t="shared" si="2"/>
        <v>-1003330</v>
      </c>
      <c r="I16" s="63">
        <f t="shared" si="3"/>
        <v>-5.6358232389505811E-2</v>
      </c>
    </row>
    <row r="17" spans="1:9" ht="15.75" thickBot="1" x14ac:dyDescent="0.3">
      <c r="A17" s="66" t="s">
        <v>51</v>
      </c>
      <c r="B17" s="67">
        <v>16059485</v>
      </c>
      <c r="C17" s="68">
        <f>B17</f>
        <v>16059485</v>
      </c>
      <c r="D17" s="27">
        <f t="shared" si="0"/>
        <v>0</v>
      </c>
      <c r="E17" s="69">
        <f t="shared" si="1"/>
        <v>0</v>
      </c>
      <c r="F17" s="23"/>
      <c r="G17" s="70">
        <v>16526185</v>
      </c>
      <c r="H17" s="27">
        <f t="shared" si="2"/>
        <v>466700</v>
      </c>
      <c r="I17" s="69">
        <f t="shared" si="3"/>
        <v>2.906070773751462E-2</v>
      </c>
    </row>
    <row r="18" spans="1:9" x14ac:dyDescent="0.25">
      <c r="A18" s="66" t="s">
        <v>52</v>
      </c>
      <c r="B18" s="67">
        <v>1470030</v>
      </c>
      <c r="C18" s="68">
        <v>0</v>
      </c>
      <c r="D18" s="27">
        <f t="shared" si="0"/>
        <v>-1470030</v>
      </c>
      <c r="E18" s="69">
        <f t="shared" si="1"/>
        <v>-1</v>
      </c>
      <c r="F18" s="23"/>
      <c r="G18" s="70">
        <v>0</v>
      </c>
      <c r="H18" s="27">
        <f t="shared" si="2"/>
        <v>-1470030</v>
      </c>
      <c r="I18" s="28">
        <f t="shared" si="3"/>
        <v>-1</v>
      </c>
    </row>
    <row r="19" spans="1:9" x14ac:dyDescent="0.25">
      <c r="A19" s="66" t="s">
        <v>53</v>
      </c>
      <c r="B19" s="67">
        <v>273208</v>
      </c>
      <c r="C19" s="68">
        <f>B19</f>
        <v>273208</v>
      </c>
      <c r="D19" s="27">
        <f t="shared" si="0"/>
        <v>0</v>
      </c>
      <c r="E19" s="69">
        <f t="shared" si="1"/>
        <v>0</v>
      </c>
      <c r="F19" s="23"/>
      <c r="G19" s="67">
        <f>B19</f>
        <v>273208</v>
      </c>
      <c r="H19" s="27">
        <f t="shared" si="2"/>
        <v>0</v>
      </c>
      <c r="I19" s="69">
        <f t="shared" si="3"/>
        <v>0</v>
      </c>
    </row>
    <row r="20" spans="1:9" x14ac:dyDescent="0.25">
      <c r="A20" s="59" t="s">
        <v>56</v>
      </c>
      <c r="B20" s="60">
        <f>SUM(B21:B23)</f>
        <v>24289507</v>
      </c>
      <c r="C20" s="61">
        <f>SUM(C21:C23)</f>
        <v>23582479</v>
      </c>
      <c r="D20" s="62">
        <f t="shared" si="0"/>
        <v>-707028</v>
      </c>
      <c r="E20" s="63">
        <f t="shared" si="1"/>
        <v>-2.9108371775516069E-2</v>
      </c>
      <c r="F20" s="64"/>
      <c r="G20" s="65">
        <f>SUM(G21:G23)</f>
        <v>24328983</v>
      </c>
      <c r="H20" s="62">
        <f t="shared" si="2"/>
        <v>39476</v>
      </c>
      <c r="I20" s="63">
        <f t="shared" si="3"/>
        <v>1.6252285400440609E-3</v>
      </c>
    </row>
    <row r="21" spans="1:9" x14ac:dyDescent="0.25">
      <c r="A21" s="66" t="s">
        <v>51</v>
      </c>
      <c r="B21" s="67">
        <v>18870523</v>
      </c>
      <c r="C21" s="68">
        <f>B21</f>
        <v>18870523</v>
      </c>
      <c r="D21" s="27">
        <f t="shared" si="0"/>
        <v>0</v>
      </c>
      <c r="E21" s="69">
        <f t="shared" si="1"/>
        <v>0</v>
      </c>
      <c r="F21" s="23"/>
      <c r="G21" s="70">
        <v>19608142</v>
      </c>
      <c r="H21" s="27">
        <f t="shared" si="2"/>
        <v>737619</v>
      </c>
      <c r="I21" s="69">
        <f t="shared" si="3"/>
        <v>3.9088423781365254E-2</v>
      </c>
    </row>
    <row r="22" spans="1:9" ht="15.75" thickBot="1" x14ac:dyDescent="0.3">
      <c r="A22" s="66" t="s">
        <v>52</v>
      </c>
      <c r="B22" s="67">
        <v>4888275</v>
      </c>
      <c r="C22" s="68">
        <v>4181247</v>
      </c>
      <c r="D22" s="27">
        <f t="shared" si="0"/>
        <v>-707028</v>
      </c>
      <c r="E22" s="69">
        <f t="shared" si="1"/>
        <v>-0.14463752550746428</v>
      </c>
      <c r="F22" s="23"/>
      <c r="G22" s="70">
        <v>4190132</v>
      </c>
      <c r="H22" s="27">
        <f t="shared" si="2"/>
        <v>-698143</v>
      </c>
      <c r="I22" s="28">
        <f t="shared" si="3"/>
        <v>-0.14281991090926757</v>
      </c>
    </row>
    <row r="23" spans="1:9" x14ac:dyDescent="0.25">
      <c r="A23" s="66" t="s">
        <v>53</v>
      </c>
      <c r="B23" s="67">
        <v>530709</v>
      </c>
      <c r="C23" s="68">
        <f>B23</f>
        <v>530709</v>
      </c>
      <c r="D23" s="27">
        <f t="shared" si="0"/>
        <v>0</v>
      </c>
      <c r="E23" s="69">
        <f t="shared" si="1"/>
        <v>0</v>
      </c>
      <c r="F23" s="23"/>
      <c r="G23" s="67">
        <f>B23</f>
        <v>530709</v>
      </c>
      <c r="H23" s="27">
        <f t="shared" si="2"/>
        <v>0</v>
      </c>
      <c r="I23" s="69">
        <f t="shared" si="3"/>
        <v>0</v>
      </c>
    </row>
    <row r="24" spans="1:9" x14ac:dyDescent="0.25">
      <c r="A24" s="59" t="s">
        <v>57</v>
      </c>
      <c r="B24" s="60">
        <f>SUM(B25:B27)</f>
        <v>120918370</v>
      </c>
      <c r="C24" s="61">
        <f>SUM(C25:C27)</f>
        <v>123355667</v>
      </c>
      <c r="D24" s="62">
        <f t="shared" si="0"/>
        <v>2437297</v>
      </c>
      <c r="E24" s="63">
        <f t="shared" si="1"/>
        <v>2.0156548587282479E-2</v>
      </c>
      <c r="F24" s="64"/>
      <c r="G24" s="65">
        <f>SUM(G25:G27)</f>
        <v>134378075</v>
      </c>
      <c r="H24" s="62">
        <f t="shared" si="2"/>
        <v>13459705</v>
      </c>
      <c r="I24" s="63">
        <f t="shared" si="3"/>
        <v>0.11131232582774644</v>
      </c>
    </row>
    <row r="25" spans="1:9" x14ac:dyDescent="0.25">
      <c r="A25" s="66" t="s">
        <v>51</v>
      </c>
      <c r="B25" s="67">
        <v>111103662</v>
      </c>
      <c r="C25" s="68">
        <f>B25</f>
        <v>111103662</v>
      </c>
      <c r="D25" s="27">
        <f t="shared" si="0"/>
        <v>0</v>
      </c>
      <c r="E25" s="69">
        <f t="shared" si="1"/>
        <v>0</v>
      </c>
      <c r="F25" s="23"/>
      <c r="G25" s="70">
        <v>122110562</v>
      </c>
      <c r="H25" s="27">
        <f t="shared" si="2"/>
        <v>11006900</v>
      </c>
      <c r="I25" s="69">
        <f t="shared" si="3"/>
        <v>9.9068741766585519E-2</v>
      </c>
    </row>
    <row r="26" spans="1:9" x14ac:dyDescent="0.25">
      <c r="A26" s="66" t="s">
        <v>52</v>
      </c>
      <c r="B26" s="67">
        <v>4473244</v>
      </c>
      <c r="C26" s="68">
        <v>6910541</v>
      </c>
      <c r="D26" s="27">
        <f t="shared" si="0"/>
        <v>2437297</v>
      </c>
      <c r="E26" s="69">
        <f t="shared" si="1"/>
        <v>0.54486117904590048</v>
      </c>
      <c r="F26" s="23"/>
      <c r="G26" s="70">
        <v>6926049</v>
      </c>
      <c r="H26" s="27">
        <f t="shared" si="2"/>
        <v>2452805</v>
      </c>
      <c r="I26" s="28">
        <f t="shared" si="3"/>
        <v>0.54832801430013656</v>
      </c>
    </row>
    <row r="27" spans="1:9" ht="15.75" thickBot="1" x14ac:dyDescent="0.3">
      <c r="A27" s="66" t="s">
        <v>53</v>
      </c>
      <c r="B27" s="67">
        <v>5341464</v>
      </c>
      <c r="C27" s="68">
        <f>B27</f>
        <v>5341464</v>
      </c>
      <c r="D27" s="27">
        <f t="shared" si="0"/>
        <v>0</v>
      </c>
      <c r="E27" s="69">
        <f t="shared" si="1"/>
        <v>0</v>
      </c>
      <c r="F27" s="23"/>
      <c r="G27" s="67">
        <f>B27</f>
        <v>5341464</v>
      </c>
      <c r="H27" s="27">
        <f t="shared" si="2"/>
        <v>0</v>
      </c>
      <c r="I27" s="69">
        <f t="shared" si="3"/>
        <v>0</v>
      </c>
    </row>
    <row r="28" spans="1:9" x14ac:dyDescent="0.25">
      <c r="A28" s="59" t="s">
        <v>58</v>
      </c>
      <c r="B28" s="60">
        <f>SUM(B29:B31)</f>
        <v>29116284</v>
      </c>
      <c r="C28" s="61">
        <f>SUM(C29:C31)</f>
        <v>26841113</v>
      </c>
      <c r="D28" s="62">
        <f t="shared" si="0"/>
        <v>-2275171</v>
      </c>
      <c r="E28" s="63">
        <f t="shared" si="1"/>
        <v>-7.8140843797237305E-2</v>
      </c>
      <c r="F28" s="64"/>
      <c r="G28" s="65">
        <f>SUM(G29:G31)</f>
        <v>27240077</v>
      </c>
      <c r="H28" s="62">
        <f t="shared" si="2"/>
        <v>-1876207</v>
      </c>
      <c r="I28" s="63">
        <f t="shared" si="3"/>
        <v>-6.4438408417777482E-2</v>
      </c>
    </row>
    <row r="29" spans="1:9" x14ac:dyDescent="0.25">
      <c r="A29" s="66" t="s">
        <v>51</v>
      </c>
      <c r="B29" s="67">
        <v>24873721</v>
      </c>
      <c r="C29" s="68">
        <f>B29</f>
        <v>24873721</v>
      </c>
      <c r="D29" s="27">
        <f t="shared" si="0"/>
        <v>0</v>
      </c>
      <c r="E29" s="69">
        <f t="shared" si="1"/>
        <v>0</v>
      </c>
      <c r="F29" s="23"/>
      <c r="G29" s="70">
        <v>25266685</v>
      </c>
      <c r="H29" s="27">
        <f t="shared" si="2"/>
        <v>392964</v>
      </c>
      <c r="I29" s="69">
        <f t="shared" si="3"/>
        <v>1.5798360044321474E-2</v>
      </c>
    </row>
    <row r="30" spans="1:9" x14ac:dyDescent="0.25">
      <c r="A30" s="66" t="s">
        <v>52</v>
      </c>
      <c r="B30" s="67">
        <v>3720546</v>
      </c>
      <c r="C30" s="68">
        <v>1445375</v>
      </c>
      <c r="D30" s="27">
        <f t="shared" si="0"/>
        <v>-2275171</v>
      </c>
      <c r="E30" s="69">
        <f t="shared" si="1"/>
        <v>-0.61151535285412406</v>
      </c>
      <c r="F30" s="23"/>
      <c r="G30" s="70">
        <v>1451375</v>
      </c>
      <c r="H30" s="27">
        <f t="shared" si="2"/>
        <v>-2269171</v>
      </c>
      <c r="I30" s="28">
        <f t="shared" si="3"/>
        <v>-0.60990268632614675</v>
      </c>
    </row>
    <row r="31" spans="1:9" x14ac:dyDescent="0.25">
      <c r="A31" s="66" t="s">
        <v>53</v>
      </c>
      <c r="B31" s="67">
        <v>522017</v>
      </c>
      <c r="C31" s="68">
        <f>B31</f>
        <v>522017</v>
      </c>
      <c r="D31" s="27">
        <f t="shared" si="0"/>
        <v>0</v>
      </c>
      <c r="E31" s="69">
        <f t="shared" si="1"/>
        <v>0</v>
      </c>
      <c r="F31" s="23"/>
      <c r="G31" s="67">
        <f>B31</f>
        <v>522017</v>
      </c>
      <c r="H31" s="27">
        <f t="shared" si="2"/>
        <v>0</v>
      </c>
      <c r="I31" s="69">
        <f t="shared" si="3"/>
        <v>0</v>
      </c>
    </row>
    <row r="32" spans="1:9" ht="15.75" thickBot="1" x14ac:dyDescent="0.3">
      <c r="A32" s="59" t="s">
        <v>59</v>
      </c>
      <c r="B32" s="60">
        <f>SUM(B33:B35)</f>
        <v>23765141</v>
      </c>
      <c r="C32" s="61">
        <f>SUM(C33:C35)</f>
        <v>23076863</v>
      </c>
      <c r="D32" s="62">
        <f t="shared" si="0"/>
        <v>-688278</v>
      </c>
      <c r="E32" s="63">
        <f t="shared" si="1"/>
        <v>-2.8961662798466039E-2</v>
      </c>
      <c r="F32" s="64"/>
      <c r="G32" s="65">
        <f>SUM(G33:G35)</f>
        <v>23381499</v>
      </c>
      <c r="H32" s="62">
        <f t="shared" si="2"/>
        <v>-383642</v>
      </c>
      <c r="I32" s="63">
        <f t="shared" si="3"/>
        <v>-1.614305591538464E-2</v>
      </c>
    </row>
    <row r="33" spans="1:9" x14ac:dyDescent="0.25">
      <c r="A33" s="66" t="s">
        <v>51</v>
      </c>
      <c r="B33" s="67">
        <v>20890749</v>
      </c>
      <c r="C33" s="68">
        <f>B33</f>
        <v>20890749</v>
      </c>
      <c r="D33" s="27">
        <f t="shared" si="0"/>
        <v>0</v>
      </c>
      <c r="E33" s="69">
        <f t="shared" si="1"/>
        <v>0</v>
      </c>
      <c r="F33" s="23"/>
      <c r="G33" s="70">
        <v>21181815</v>
      </c>
      <c r="H33" s="27">
        <f t="shared" si="2"/>
        <v>291066</v>
      </c>
      <c r="I33" s="69">
        <f t="shared" si="3"/>
        <v>1.3932769954777591E-2</v>
      </c>
    </row>
    <row r="34" spans="1:9" x14ac:dyDescent="0.25">
      <c r="A34" s="66" t="s">
        <v>52</v>
      </c>
      <c r="B34" s="67">
        <v>2377458</v>
      </c>
      <c r="C34" s="68">
        <v>1689180</v>
      </c>
      <c r="D34" s="27">
        <f t="shared" si="0"/>
        <v>-688278</v>
      </c>
      <c r="E34" s="69">
        <f t="shared" si="1"/>
        <v>-0.28950164419308355</v>
      </c>
      <c r="F34" s="23"/>
      <c r="G34" s="70">
        <v>1702750</v>
      </c>
      <c r="H34" s="27">
        <f t="shared" si="2"/>
        <v>-674708</v>
      </c>
      <c r="I34" s="28">
        <f t="shared" si="3"/>
        <v>-0.28379386723130334</v>
      </c>
    </row>
    <row r="35" spans="1:9" x14ac:dyDescent="0.25">
      <c r="A35" s="66" t="s">
        <v>53</v>
      </c>
      <c r="B35" s="67">
        <v>496934</v>
      </c>
      <c r="C35" s="68">
        <f>B35</f>
        <v>496934</v>
      </c>
      <c r="D35" s="27">
        <f t="shared" si="0"/>
        <v>0</v>
      </c>
      <c r="E35" s="69">
        <f t="shared" si="1"/>
        <v>0</v>
      </c>
      <c r="F35" s="23"/>
      <c r="G35" s="67">
        <f>B35</f>
        <v>496934</v>
      </c>
      <c r="H35" s="27">
        <f t="shared" si="2"/>
        <v>0</v>
      </c>
      <c r="I35" s="69">
        <f t="shared" si="3"/>
        <v>0</v>
      </c>
    </row>
    <row r="36" spans="1:9" x14ac:dyDescent="0.25">
      <c r="A36" s="59" t="s">
        <v>60</v>
      </c>
      <c r="B36" s="60">
        <f>SUM(B37:B39)</f>
        <v>131821487</v>
      </c>
      <c r="C36" s="61">
        <f>SUM(C37:C39)</f>
        <v>129245611</v>
      </c>
      <c r="D36" s="62">
        <f t="shared" si="0"/>
        <v>-2575876</v>
      </c>
      <c r="E36" s="63">
        <f t="shared" si="1"/>
        <v>-1.9540638317939774E-2</v>
      </c>
      <c r="F36" s="64"/>
      <c r="G36" s="65">
        <f>SUM(G37:G39)</f>
        <v>131666485</v>
      </c>
      <c r="H36" s="62">
        <f t="shared" si="2"/>
        <v>-155002</v>
      </c>
      <c r="I36" s="63">
        <f t="shared" si="3"/>
        <v>-1.1758477584158946E-3</v>
      </c>
    </row>
    <row r="37" spans="1:9" ht="15.75" thickBot="1" x14ac:dyDescent="0.3">
      <c r="A37" s="66" t="s">
        <v>51</v>
      </c>
      <c r="B37" s="67">
        <v>122238873</v>
      </c>
      <c r="C37" s="68">
        <f>B37</f>
        <v>122238873</v>
      </c>
      <c r="D37" s="27">
        <f t="shared" si="0"/>
        <v>0</v>
      </c>
      <c r="E37" s="69">
        <f t="shared" si="1"/>
        <v>0</v>
      </c>
      <c r="F37" s="23"/>
      <c r="G37" s="70">
        <v>124683650</v>
      </c>
      <c r="H37" s="27">
        <f t="shared" si="2"/>
        <v>2444777</v>
      </c>
      <c r="I37" s="69">
        <f t="shared" si="3"/>
        <v>1.9999996236876299E-2</v>
      </c>
    </row>
    <row r="38" spans="1:9" x14ac:dyDescent="0.25">
      <c r="A38" s="66" t="s">
        <v>52</v>
      </c>
      <c r="B38" s="67">
        <v>9582614</v>
      </c>
      <c r="C38" s="68">
        <v>7006738</v>
      </c>
      <c r="D38" s="27">
        <f t="shared" si="0"/>
        <v>-2575876</v>
      </c>
      <c r="E38" s="69">
        <f t="shared" si="1"/>
        <v>-0.26880723777457799</v>
      </c>
      <c r="F38" s="23"/>
      <c r="G38" s="70">
        <v>6982835</v>
      </c>
      <c r="H38" s="27">
        <f t="shared" si="2"/>
        <v>-2599779</v>
      </c>
      <c r="I38" s="28">
        <f t="shared" si="3"/>
        <v>-0.27130165109436738</v>
      </c>
    </row>
    <row r="39" spans="1:9" x14ac:dyDescent="0.25">
      <c r="A39" s="66" t="s">
        <v>53</v>
      </c>
      <c r="B39" s="67">
        <v>0</v>
      </c>
      <c r="C39" s="68">
        <f>B39</f>
        <v>0</v>
      </c>
      <c r="D39" s="27">
        <f t="shared" si="0"/>
        <v>0</v>
      </c>
      <c r="E39" s="69" t="str">
        <f t="shared" si="1"/>
        <v/>
      </c>
      <c r="F39" s="23"/>
      <c r="G39" s="70">
        <v>0</v>
      </c>
      <c r="H39" s="27">
        <f t="shared" si="2"/>
        <v>0</v>
      </c>
      <c r="I39" s="69" t="str">
        <f t="shared" si="3"/>
        <v/>
      </c>
    </row>
    <row r="40" spans="1:9" x14ac:dyDescent="0.25">
      <c r="A40" s="59" t="s">
        <v>61</v>
      </c>
      <c r="B40" s="60">
        <f>SUM(B41:B43)</f>
        <v>4971250</v>
      </c>
      <c r="C40" s="61">
        <f>SUM(C41:C43)</f>
        <v>4971250</v>
      </c>
      <c r="D40" s="62">
        <f t="shared" si="0"/>
        <v>0</v>
      </c>
      <c r="E40" s="63">
        <f t="shared" si="1"/>
        <v>0</v>
      </c>
      <c r="F40" s="64"/>
      <c r="G40" s="65">
        <f>SUM(G41:G43)</f>
        <v>4971250</v>
      </c>
      <c r="H40" s="62">
        <f t="shared" si="2"/>
        <v>0</v>
      </c>
      <c r="I40" s="63">
        <f t="shared" si="3"/>
        <v>0</v>
      </c>
    </row>
    <row r="41" spans="1:9" x14ac:dyDescent="0.25">
      <c r="A41" s="66" t="s">
        <v>51</v>
      </c>
      <c r="B41" s="67">
        <v>4971250</v>
      </c>
      <c r="C41" s="68">
        <f>B41</f>
        <v>4971250</v>
      </c>
      <c r="D41" s="27">
        <f t="shared" si="0"/>
        <v>0</v>
      </c>
      <c r="E41" s="69">
        <f t="shared" si="1"/>
        <v>0</v>
      </c>
      <c r="F41" s="23"/>
      <c r="G41" s="70">
        <f>'OPERATING Total Funding'!AA18</f>
        <v>4971250</v>
      </c>
      <c r="H41" s="27">
        <f t="shared" si="2"/>
        <v>0</v>
      </c>
      <c r="I41" s="69">
        <f t="shared" si="3"/>
        <v>0</v>
      </c>
    </row>
    <row r="42" spans="1:9" ht="15.75" thickBot="1" x14ac:dyDescent="0.3">
      <c r="A42" s="66" t="s">
        <v>52</v>
      </c>
      <c r="B42" s="67">
        <v>0</v>
      </c>
      <c r="C42" s="68">
        <v>0</v>
      </c>
      <c r="D42" s="27">
        <f t="shared" si="0"/>
        <v>0</v>
      </c>
      <c r="E42" s="69" t="str">
        <f t="shared" si="1"/>
        <v/>
      </c>
      <c r="F42" s="23"/>
      <c r="G42" s="70">
        <v>0</v>
      </c>
      <c r="H42" s="27">
        <f t="shared" si="2"/>
        <v>0</v>
      </c>
      <c r="I42" s="28" t="str">
        <f t="shared" si="3"/>
        <v/>
      </c>
    </row>
    <row r="43" spans="1:9" x14ac:dyDescent="0.25">
      <c r="A43" s="66" t="s">
        <v>53</v>
      </c>
      <c r="B43" s="67">
        <v>0</v>
      </c>
      <c r="C43" s="68">
        <f>B43</f>
        <v>0</v>
      </c>
      <c r="D43" s="27">
        <f t="shared" si="0"/>
        <v>0</v>
      </c>
      <c r="E43" s="69" t="str">
        <f t="shared" si="1"/>
        <v/>
      </c>
      <c r="F43" s="23"/>
      <c r="G43" s="70">
        <v>0</v>
      </c>
      <c r="H43" s="27">
        <f t="shared" si="2"/>
        <v>0</v>
      </c>
      <c r="I43" s="69" t="str">
        <f t="shared" si="3"/>
        <v/>
      </c>
    </row>
    <row r="44" spans="1:9" x14ac:dyDescent="0.25">
      <c r="A44" s="59" t="s">
        <v>62</v>
      </c>
      <c r="B44" s="60">
        <f>SUM(B45:B45)</f>
        <v>0</v>
      </c>
      <c r="C44" s="61">
        <f>SUM(C45:C45)</f>
        <v>0</v>
      </c>
      <c r="D44" s="62">
        <f t="shared" si="0"/>
        <v>0</v>
      </c>
      <c r="E44" s="63" t="str">
        <f t="shared" si="1"/>
        <v/>
      </c>
      <c r="F44" s="64"/>
      <c r="G44" s="65">
        <f>SUM(G45:G45)</f>
        <v>0</v>
      </c>
      <c r="H44" s="62">
        <f t="shared" si="2"/>
        <v>0</v>
      </c>
      <c r="I44" s="63" t="str">
        <f t="shared" si="3"/>
        <v/>
      </c>
    </row>
    <row r="45" spans="1:9" x14ac:dyDescent="0.25">
      <c r="A45" s="66" t="s">
        <v>52</v>
      </c>
      <c r="B45" s="67">
        <v>0</v>
      </c>
      <c r="C45" s="68">
        <v>0</v>
      </c>
      <c r="D45" s="27">
        <f t="shared" si="0"/>
        <v>0</v>
      </c>
      <c r="E45" s="69" t="str">
        <f t="shared" si="1"/>
        <v/>
      </c>
      <c r="F45" s="23"/>
      <c r="G45" s="70">
        <v>0</v>
      </c>
      <c r="H45" s="27">
        <f t="shared" si="2"/>
        <v>0</v>
      </c>
      <c r="I45" s="28" t="str">
        <f t="shared" si="3"/>
        <v/>
      </c>
    </row>
    <row r="46" spans="1:9" ht="15.75" customHeight="1" x14ac:dyDescent="0.25">
      <c r="A46" s="71" t="s">
        <v>63</v>
      </c>
      <c r="B46" s="72">
        <f>SUM(B47:B50)</f>
        <v>616431411</v>
      </c>
      <c r="C46" s="73">
        <f>SUM(C47:C50)</f>
        <v>606562947</v>
      </c>
      <c r="D46" s="74">
        <f t="shared" si="0"/>
        <v>-9868464</v>
      </c>
      <c r="E46" s="75">
        <f t="shared" si="1"/>
        <v>-1.6009021967246895E-2</v>
      </c>
      <c r="F46" s="52"/>
      <c r="G46" s="76">
        <f>SUM(G47:G50)</f>
        <v>619796354</v>
      </c>
      <c r="H46" s="74">
        <f t="shared" si="2"/>
        <v>3364943</v>
      </c>
      <c r="I46" s="75">
        <f t="shared" si="3"/>
        <v>5.4587468126279506E-3</v>
      </c>
    </row>
    <row r="47" spans="1:9" ht="15.75" thickBot="1" x14ac:dyDescent="0.3">
      <c r="A47" s="77" t="s">
        <v>51</v>
      </c>
      <c r="B47" s="78">
        <f>SUM(B9,B13,B17,B21,B25,B29,B33,B37,B41)</f>
        <v>535016888</v>
      </c>
      <c r="C47" s="79">
        <f>SUM(C9,C13,C17,C21,C25,C29,C33,C37,C41)</f>
        <v>535016888</v>
      </c>
      <c r="D47" s="80">
        <f t="shared" si="0"/>
        <v>0</v>
      </c>
      <c r="E47" s="81">
        <f t="shared" si="1"/>
        <v>0</v>
      </c>
      <c r="F47" s="23"/>
      <c r="G47" s="79">
        <f>SUM(G9,G13,G17,G21,G25,G29,G33,G37,G41)</f>
        <v>548353865</v>
      </c>
      <c r="H47" s="80">
        <f t="shared" si="2"/>
        <v>13336977</v>
      </c>
      <c r="I47" s="81">
        <f t="shared" si="3"/>
        <v>2.492814208137669E-2</v>
      </c>
    </row>
    <row r="48" spans="1:9" x14ac:dyDescent="0.25">
      <c r="A48" s="77" t="s">
        <v>52</v>
      </c>
      <c r="B48" s="78">
        <f>SUM(B10,B14,B18,B22,B26,B30,B34,B38,B42,B45)</f>
        <v>53134910</v>
      </c>
      <c r="C48" s="79">
        <f>SUM(C10,C14,C18,C22,C26,C30,C34,C38,C42,C45)</f>
        <v>42097160</v>
      </c>
      <c r="D48" s="80">
        <f t="shared" si="0"/>
        <v>-11037750</v>
      </c>
      <c r="E48" s="81">
        <f t="shared" si="1"/>
        <v>-0.20773066144273133</v>
      </c>
      <c r="F48" s="23"/>
      <c r="G48" s="79">
        <f>SUM(G10,G14,G18,G22,G26,G30,G34,G38,G42,G45)</f>
        <v>41993590</v>
      </c>
      <c r="H48" s="80">
        <f t="shared" si="2"/>
        <v>-11141320</v>
      </c>
      <c r="I48" s="82">
        <f t="shared" si="3"/>
        <v>-0.2096798507798357</v>
      </c>
    </row>
    <row r="49" spans="1:9" x14ac:dyDescent="0.25">
      <c r="A49" s="77" t="s">
        <v>53</v>
      </c>
      <c r="B49" s="78">
        <f>SUM(B11,B15,B19,B23,B27,B31,B35,B39,B43)</f>
        <v>14349098</v>
      </c>
      <c r="C49" s="79">
        <f>SUM(C11,C15,C19,C23,C27,C31,C35,C39,C43)</f>
        <v>14349098</v>
      </c>
      <c r="D49" s="80">
        <f t="shared" si="0"/>
        <v>0</v>
      </c>
      <c r="E49" s="81">
        <f t="shared" si="1"/>
        <v>0</v>
      </c>
      <c r="F49" s="23"/>
      <c r="G49" s="79">
        <f>SUM(G11,G15,G19,G23,G27,G31,G35,G39,G43)</f>
        <v>14349098</v>
      </c>
      <c r="H49" s="80">
        <f t="shared" si="2"/>
        <v>0</v>
      </c>
      <c r="I49" s="81">
        <f t="shared" si="3"/>
        <v>0</v>
      </c>
    </row>
    <row r="50" spans="1:9" x14ac:dyDescent="0.25">
      <c r="A50" s="77" t="s">
        <v>64</v>
      </c>
      <c r="B50" s="78">
        <v>13930515</v>
      </c>
      <c r="C50" s="79">
        <v>15099801</v>
      </c>
      <c r="D50" s="80">
        <f t="shared" si="0"/>
        <v>1169286</v>
      </c>
      <c r="E50" s="81">
        <f t="shared" si="1"/>
        <v>8.3937026018061786E-2</v>
      </c>
      <c r="F50" s="23"/>
      <c r="G50" s="79">
        <v>15099801</v>
      </c>
      <c r="H50" s="80">
        <f t="shared" si="2"/>
        <v>1169286</v>
      </c>
      <c r="I50" s="82">
        <f t="shared" si="3"/>
        <v>8.3937026018061786E-2</v>
      </c>
    </row>
    <row r="51" spans="1:9" ht="15.75" customHeight="1" x14ac:dyDescent="0.25">
      <c r="A51" s="84"/>
      <c r="B51" s="85"/>
      <c r="C51" s="86"/>
      <c r="D51" s="86"/>
      <c r="E51" s="87"/>
      <c r="F51" s="88"/>
      <c r="G51" s="86"/>
      <c r="H51" s="86"/>
      <c r="I51" s="89"/>
    </row>
    <row r="52" spans="1:9" ht="15.75" thickBot="1" x14ac:dyDescent="0.3">
      <c r="A52" s="59" t="s">
        <v>65</v>
      </c>
      <c r="B52" s="60">
        <f>SUM(B53:B55)</f>
        <v>265017874</v>
      </c>
      <c r="C52" s="61">
        <f>SUM(C53:C55)</f>
        <v>264967913</v>
      </c>
      <c r="D52" s="62">
        <f t="shared" ref="D52:D74" si="4">C52-$B52</f>
        <v>-49961</v>
      </c>
      <c r="E52" s="63">
        <f t="shared" ref="E52:E74" si="5">IF($B52&gt;0,D52/$B52, "")</f>
        <v>-1.885193600187133E-4</v>
      </c>
      <c r="F52" s="64"/>
      <c r="G52" s="65">
        <f>SUM(G53:G55)</f>
        <v>262590262</v>
      </c>
      <c r="H52" s="62">
        <f t="shared" ref="H52:H74" si="6">G52-$B52</f>
        <v>-2427612</v>
      </c>
      <c r="I52" s="63">
        <f t="shared" ref="I52:I74" si="7">IF($B52&gt;0,H52/$B52, "")</f>
        <v>-9.1601821543553699E-3</v>
      </c>
    </row>
    <row r="53" spans="1:9" x14ac:dyDescent="0.25">
      <c r="A53" s="66" t="s">
        <v>51</v>
      </c>
      <c r="B53" s="67">
        <v>222755871</v>
      </c>
      <c r="C53" s="68">
        <f>B53</f>
        <v>222755871</v>
      </c>
      <c r="D53" s="27">
        <f t="shared" si="4"/>
        <v>0</v>
      </c>
      <c r="E53" s="69">
        <f t="shared" si="5"/>
        <v>0</v>
      </c>
      <c r="F53" s="23"/>
      <c r="G53" s="70">
        <v>223527695</v>
      </c>
      <c r="H53" s="27">
        <f t="shared" si="6"/>
        <v>771824</v>
      </c>
      <c r="I53" s="69">
        <f t="shared" si="7"/>
        <v>3.4648873519477295E-3</v>
      </c>
    </row>
    <row r="54" spans="1:9" x14ac:dyDescent="0.25">
      <c r="A54" s="66" t="s">
        <v>52</v>
      </c>
      <c r="B54" s="67">
        <v>32202386</v>
      </c>
      <c r="C54" s="68">
        <v>32152425</v>
      </c>
      <c r="D54" s="27">
        <f t="shared" si="4"/>
        <v>-49961</v>
      </c>
      <c r="E54" s="69">
        <f t="shared" si="5"/>
        <v>-1.5514688880507177E-3</v>
      </c>
      <c r="F54" s="23"/>
      <c r="G54" s="70">
        <v>29002950</v>
      </c>
      <c r="H54" s="27">
        <f t="shared" si="6"/>
        <v>-3199436</v>
      </c>
      <c r="I54" s="28">
        <f t="shared" si="7"/>
        <v>-9.9354004389612616E-2</v>
      </c>
    </row>
    <row r="55" spans="1:9" ht="15.75" thickBot="1" x14ac:dyDescent="0.3">
      <c r="A55" s="66" t="s">
        <v>53</v>
      </c>
      <c r="B55" s="67">
        <v>10059617</v>
      </c>
      <c r="C55" s="68">
        <f>B55</f>
        <v>10059617</v>
      </c>
      <c r="D55" s="27">
        <f t="shared" si="4"/>
        <v>0</v>
      </c>
      <c r="E55" s="69">
        <f t="shared" si="5"/>
        <v>0</v>
      </c>
      <c r="F55" s="23"/>
      <c r="G55" s="67">
        <f>B55</f>
        <v>10059617</v>
      </c>
      <c r="H55" s="27">
        <f t="shared" si="6"/>
        <v>0</v>
      </c>
      <c r="I55" s="69">
        <f t="shared" si="7"/>
        <v>0</v>
      </c>
    </row>
    <row r="56" spans="1:9" ht="15.75" thickTop="1" x14ac:dyDescent="0.25">
      <c r="A56" s="59" t="s">
        <v>66</v>
      </c>
      <c r="B56" s="60">
        <f>SUM(B57:B59)</f>
        <v>51628601</v>
      </c>
      <c r="C56" s="61">
        <f>SUM(C57:C59)</f>
        <v>51627101</v>
      </c>
      <c r="D56" s="62">
        <f t="shared" si="4"/>
        <v>-1500</v>
      </c>
      <c r="E56" s="63">
        <f t="shared" si="5"/>
        <v>-2.9053663491675865E-5</v>
      </c>
      <c r="F56" s="64"/>
      <c r="G56" s="65">
        <f>SUM(G57:G59)</f>
        <v>53193462</v>
      </c>
      <c r="H56" s="62">
        <f t="shared" si="6"/>
        <v>1564861</v>
      </c>
      <c r="I56" s="63">
        <f t="shared" si="7"/>
        <v>3.0309963270164924E-2</v>
      </c>
    </row>
    <row r="57" spans="1:9" x14ac:dyDescent="0.25">
      <c r="A57" s="66" t="s">
        <v>51</v>
      </c>
      <c r="B57" s="67">
        <v>46730203</v>
      </c>
      <c r="C57" s="68">
        <f>B57</f>
        <v>46730203</v>
      </c>
      <c r="D57" s="27">
        <f t="shared" si="4"/>
        <v>0</v>
      </c>
      <c r="E57" s="69">
        <f t="shared" si="5"/>
        <v>0</v>
      </c>
      <c r="F57" s="23"/>
      <c r="G57" s="70">
        <v>48297564</v>
      </c>
      <c r="H57" s="27">
        <f t="shared" si="6"/>
        <v>1567361</v>
      </c>
      <c r="I57" s="69">
        <f t="shared" si="7"/>
        <v>3.3540641798624329E-2</v>
      </c>
    </row>
    <row r="58" spans="1:9" x14ac:dyDescent="0.25">
      <c r="A58" s="66" t="s">
        <v>52</v>
      </c>
      <c r="B58" s="67">
        <v>3893513</v>
      </c>
      <c r="C58" s="68">
        <v>3892013</v>
      </c>
      <c r="D58" s="27">
        <f t="shared" si="4"/>
        <v>-1500</v>
      </c>
      <c r="E58" s="69">
        <f t="shared" si="5"/>
        <v>-3.8525619408487914E-4</v>
      </c>
      <c r="F58" s="23"/>
      <c r="G58" s="70">
        <v>3891013</v>
      </c>
      <c r="H58" s="27">
        <f t="shared" si="6"/>
        <v>-2500</v>
      </c>
      <c r="I58" s="28">
        <f t="shared" si="7"/>
        <v>-6.4209365680813191E-4</v>
      </c>
    </row>
    <row r="59" spans="1:9" x14ac:dyDescent="0.25">
      <c r="A59" s="66" t="s">
        <v>53</v>
      </c>
      <c r="B59" s="67">
        <v>1004885</v>
      </c>
      <c r="C59" s="68">
        <f>B59</f>
        <v>1004885</v>
      </c>
      <c r="D59" s="27">
        <f t="shared" si="4"/>
        <v>0</v>
      </c>
      <c r="E59" s="69">
        <f t="shared" si="5"/>
        <v>0</v>
      </c>
      <c r="F59" s="23"/>
      <c r="G59" s="67">
        <f>B59</f>
        <v>1004885</v>
      </c>
      <c r="H59" s="27">
        <f t="shared" si="6"/>
        <v>0</v>
      </c>
      <c r="I59" s="69">
        <f t="shared" si="7"/>
        <v>0</v>
      </c>
    </row>
    <row r="60" spans="1:9" x14ac:dyDescent="0.25">
      <c r="A60" s="59" t="s">
        <v>67</v>
      </c>
      <c r="B60" s="60">
        <f>SUM(B61:B63)</f>
        <v>18056523</v>
      </c>
      <c r="C60" s="61">
        <f>SUM(C61:C63)</f>
        <v>18056523</v>
      </c>
      <c r="D60" s="62">
        <f t="shared" si="4"/>
        <v>0</v>
      </c>
      <c r="E60" s="63">
        <f t="shared" si="5"/>
        <v>0</v>
      </c>
      <c r="F60" s="64"/>
      <c r="G60" s="65">
        <f>SUM(G61:G63)</f>
        <v>18417653</v>
      </c>
      <c r="H60" s="62">
        <f t="shared" si="6"/>
        <v>361130</v>
      </c>
      <c r="I60" s="63">
        <f t="shared" si="7"/>
        <v>1.9999974524441941E-2</v>
      </c>
    </row>
    <row r="61" spans="1:9" ht="15.75" thickBot="1" x14ac:dyDescent="0.3">
      <c r="A61" s="66" t="s">
        <v>51</v>
      </c>
      <c r="B61" s="67">
        <v>18056523</v>
      </c>
      <c r="C61" s="68">
        <f>B61</f>
        <v>18056523</v>
      </c>
      <c r="D61" s="27">
        <f t="shared" si="4"/>
        <v>0</v>
      </c>
      <c r="E61" s="69">
        <f t="shared" si="5"/>
        <v>0</v>
      </c>
      <c r="F61" s="23"/>
      <c r="G61" s="70">
        <v>18417653</v>
      </c>
      <c r="H61" s="27">
        <f t="shared" si="6"/>
        <v>361130</v>
      </c>
      <c r="I61" s="69">
        <f t="shared" si="7"/>
        <v>1.9999974524441941E-2</v>
      </c>
    </row>
    <row r="62" spans="1:9" ht="15.75" thickBot="1" x14ac:dyDescent="0.3">
      <c r="A62" s="66" t="s">
        <v>52</v>
      </c>
      <c r="B62" s="67">
        <v>0</v>
      </c>
      <c r="C62" s="68">
        <v>0</v>
      </c>
      <c r="D62" s="27">
        <f t="shared" si="4"/>
        <v>0</v>
      </c>
      <c r="E62" s="69" t="str">
        <f t="shared" si="5"/>
        <v/>
      </c>
      <c r="F62" s="23"/>
      <c r="G62" s="70">
        <v>0</v>
      </c>
      <c r="H62" s="27">
        <f t="shared" si="6"/>
        <v>0</v>
      </c>
      <c r="I62" s="28" t="str">
        <f t="shared" si="7"/>
        <v/>
      </c>
    </row>
    <row r="63" spans="1:9" x14ac:dyDescent="0.25">
      <c r="A63" s="66" t="s">
        <v>53</v>
      </c>
      <c r="B63" s="67">
        <v>0</v>
      </c>
      <c r="C63" s="68">
        <v>0</v>
      </c>
      <c r="D63" s="27">
        <f t="shared" si="4"/>
        <v>0</v>
      </c>
      <c r="E63" s="69" t="str">
        <f t="shared" si="5"/>
        <v/>
      </c>
      <c r="F63" s="23"/>
      <c r="G63" s="70">
        <v>0</v>
      </c>
      <c r="H63" s="27">
        <f t="shared" si="6"/>
        <v>0</v>
      </c>
      <c r="I63" s="69" t="str">
        <f t="shared" si="7"/>
        <v/>
      </c>
    </row>
    <row r="64" spans="1:9" x14ac:dyDescent="0.25">
      <c r="A64" s="59" t="s">
        <v>68</v>
      </c>
      <c r="B64" s="60">
        <f>SUM(B65:B67)</f>
        <v>47676532</v>
      </c>
      <c r="C64" s="61">
        <f>SUM(C65:C67)</f>
        <v>47678282</v>
      </c>
      <c r="D64" s="62">
        <f t="shared" si="4"/>
        <v>1750</v>
      </c>
      <c r="E64" s="63">
        <f t="shared" si="5"/>
        <v>3.6705689918889232E-5</v>
      </c>
      <c r="F64" s="64"/>
      <c r="G64" s="65">
        <f>SUM(G65:G67)</f>
        <v>49070068</v>
      </c>
      <c r="H64" s="62">
        <f t="shared" si="6"/>
        <v>1393536</v>
      </c>
      <c r="I64" s="63">
        <f t="shared" si="7"/>
        <v>2.9228971603890989E-2</v>
      </c>
    </row>
    <row r="65" spans="1:9" x14ac:dyDescent="0.25">
      <c r="A65" s="66" t="s">
        <v>51</v>
      </c>
      <c r="B65" s="67">
        <v>43460880</v>
      </c>
      <c r="C65" s="68">
        <f>B65</f>
        <v>43460880</v>
      </c>
      <c r="D65" s="27">
        <f t="shared" si="4"/>
        <v>0</v>
      </c>
      <c r="E65" s="69">
        <f t="shared" si="5"/>
        <v>0</v>
      </c>
      <c r="F65" s="23"/>
      <c r="G65" s="70">
        <v>44856416</v>
      </c>
      <c r="H65" s="27">
        <f t="shared" si="6"/>
        <v>1395536</v>
      </c>
      <c r="I65" s="69">
        <f t="shared" si="7"/>
        <v>3.2110164359304277E-2</v>
      </c>
    </row>
    <row r="66" spans="1:9" x14ac:dyDescent="0.25">
      <c r="A66" s="66" t="s">
        <v>52</v>
      </c>
      <c r="B66" s="67">
        <v>3038000</v>
      </c>
      <c r="C66" s="68">
        <v>3039750</v>
      </c>
      <c r="D66" s="27">
        <f t="shared" si="4"/>
        <v>1750</v>
      </c>
      <c r="E66" s="69">
        <f t="shared" si="5"/>
        <v>5.76036866359447E-4</v>
      </c>
      <c r="F66" s="23"/>
      <c r="G66" s="70">
        <v>3036000</v>
      </c>
      <c r="H66" s="27">
        <f t="shared" si="6"/>
        <v>-2000</v>
      </c>
      <c r="I66" s="28">
        <f t="shared" si="7"/>
        <v>-6.583278472679394E-4</v>
      </c>
    </row>
    <row r="67" spans="1:9" ht="15.75" thickBot="1" x14ac:dyDescent="0.3">
      <c r="A67" s="66" t="s">
        <v>53</v>
      </c>
      <c r="B67" s="67">
        <v>1177652</v>
      </c>
      <c r="C67" s="68">
        <f>B67</f>
        <v>1177652</v>
      </c>
      <c r="D67" s="27">
        <f t="shared" si="4"/>
        <v>0</v>
      </c>
      <c r="E67" s="69">
        <f t="shared" si="5"/>
        <v>0</v>
      </c>
      <c r="F67" s="23"/>
      <c r="G67" s="67">
        <f>B67</f>
        <v>1177652</v>
      </c>
      <c r="H67" s="27">
        <f t="shared" si="6"/>
        <v>0</v>
      </c>
      <c r="I67" s="69">
        <f t="shared" si="7"/>
        <v>0</v>
      </c>
    </row>
    <row r="68" spans="1:9" x14ac:dyDescent="0.25">
      <c r="A68" s="59" t="s">
        <v>69</v>
      </c>
      <c r="B68" s="60">
        <f>SUM(B69:B69)</f>
        <v>0</v>
      </c>
      <c r="C68" s="61">
        <f>SUM(C69:C69)</f>
        <v>0</v>
      </c>
      <c r="D68" s="62">
        <f t="shared" si="4"/>
        <v>0</v>
      </c>
      <c r="E68" s="63" t="str">
        <f t="shared" si="5"/>
        <v/>
      </c>
      <c r="F68" s="64"/>
      <c r="G68" s="65">
        <f>SUM(G69:G69)</f>
        <v>0</v>
      </c>
      <c r="H68" s="62">
        <f t="shared" si="6"/>
        <v>0</v>
      </c>
      <c r="I68" s="63" t="str">
        <f t="shared" si="7"/>
        <v/>
      </c>
    </row>
    <row r="69" spans="1:9" x14ac:dyDescent="0.25">
      <c r="A69" s="66" t="s">
        <v>52</v>
      </c>
      <c r="B69" s="67">
        <v>0</v>
      </c>
      <c r="C69" s="68">
        <v>0</v>
      </c>
      <c r="D69" s="27">
        <f t="shared" si="4"/>
        <v>0</v>
      </c>
      <c r="E69" s="69" t="str">
        <f t="shared" si="5"/>
        <v/>
      </c>
      <c r="F69" s="23"/>
      <c r="G69" s="70">
        <v>0</v>
      </c>
      <c r="H69" s="27">
        <f t="shared" si="6"/>
        <v>0</v>
      </c>
      <c r="I69" s="28" t="str">
        <f t="shared" si="7"/>
        <v/>
      </c>
    </row>
    <row r="70" spans="1:9" ht="15.75" customHeight="1" x14ac:dyDescent="0.25">
      <c r="A70" s="71" t="s">
        <v>70</v>
      </c>
      <c r="B70" s="72">
        <f>SUM(B71:B74)</f>
        <v>415849323</v>
      </c>
      <c r="C70" s="73">
        <f>SUM(C71:C74)</f>
        <v>417011154</v>
      </c>
      <c r="D70" s="74">
        <f t="shared" si="4"/>
        <v>1161831</v>
      </c>
      <c r="E70" s="75">
        <f t="shared" si="5"/>
        <v>2.7938749343593377E-3</v>
      </c>
      <c r="F70" s="52"/>
      <c r="G70" s="76">
        <f>SUM(G71:G74)</f>
        <v>417952780</v>
      </c>
      <c r="H70" s="74">
        <f t="shared" si="6"/>
        <v>2103457</v>
      </c>
      <c r="I70" s="75">
        <f t="shared" si="7"/>
        <v>5.0582191280854867E-3</v>
      </c>
    </row>
    <row r="71" spans="1:9" x14ac:dyDescent="0.25">
      <c r="A71" s="77" t="s">
        <v>51</v>
      </c>
      <c r="B71" s="78">
        <f>SUM(B53,B57,B61,B65)</f>
        <v>331003477</v>
      </c>
      <c r="C71" s="79">
        <f>SUM(C53,C57,C61,C65)</f>
        <v>331003477</v>
      </c>
      <c r="D71" s="80">
        <f t="shared" si="4"/>
        <v>0</v>
      </c>
      <c r="E71" s="81">
        <f t="shared" si="5"/>
        <v>0</v>
      </c>
      <c r="F71" s="23"/>
      <c r="G71" s="83">
        <f>SUM(G53,G57,G61,G65)</f>
        <v>335099328</v>
      </c>
      <c r="H71" s="80">
        <f t="shared" si="6"/>
        <v>4095851</v>
      </c>
      <c r="I71" s="81">
        <f t="shared" si="7"/>
        <v>1.2374042221919016E-2</v>
      </c>
    </row>
    <row r="72" spans="1:9" ht="15.75" thickBot="1" x14ac:dyDescent="0.3">
      <c r="A72" s="77" t="s">
        <v>52</v>
      </c>
      <c r="B72" s="78">
        <f>SUM(B54,B58,B62, B66,B69)</f>
        <v>39133899</v>
      </c>
      <c r="C72" s="79">
        <f>SUM(C54,C58,C62,C66,C69)</f>
        <v>39084188</v>
      </c>
      <c r="D72" s="80">
        <f t="shared" si="4"/>
        <v>-49711</v>
      </c>
      <c r="E72" s="81">
        <f t="shared" si="5"/>
        <v>-1.270279764354684E-3</v>
      </c>
      <c r="F72" s="23"/>
      <c r="G72" s="83">
        <f>SUM(G54,G58,G62,G66,G69)</f>
        <v>35929963</v>
      </c>
      <c r="H72" s="80">
        <f t="shared" si="6"/>
        <v>-3203936</v>
      </c>
      <c r="I72" s="82">
        <f t="shared" si="7"/>
        <v>-8.1871116394510043E-2</v>
      </c>
    </row>
    <row r="73" spans="1:9" x14ac:dyDescent="0.25">
      <c r="A73" s="77" t="s">
        <v>53</v>
      </c>
      <c r="B73" s="78">
        <f>SUM(B55,B59,B63,B67)</f>
        <v>12242154</v>
      </c>
      <c r="C73" s="79">
        <f>SUM(C55,C59,C63,C67)</f>
        <v>12242154</v>
      </c>
      <c r="D73" s="80">
        <f t="shared" si="4"/>
        <v>0</v>
      </c>
      <c r="E73" s="81">
        <f t="shared" si="5"/>
        <v>0</v>
      </c>
      <c r="F73" s="23"/>
      <c r="G73" s="83">
        <f>SUM(G55,G59,G63,G67)</f>
        <v>12242154</v>
      </c>
      <c r="H73" s="80">
        <f t="shared" si="6"/>
        <v>0</v>
      </c>
      <c r="I73" s="81">
        <f t="shared" si="7"/>
        <v>0</v>
      </c>
    </row>
    <row r="74" spans="1:9" x14ac:dyDescent="0.25">
      <c r="A74" s="77" t="s">
        <v>64</v>
      </c>
      <c r="B74" s="78">
        <v>33469793</v>
      </c>
      <c r="C74" s="79">
        <v>34681335</v>
      </c>
      <c r="D74" s="80">
        <f t="shared" si="4"/>
        <v>1211542</v>
      </c>
      <c r="E74" s="81">
        <f t="shared" si="5"/>
        <v>3.6198072691994237E-2</v>
      </c>
      <c r="F74" s="23"/>
      <c r="G74" s="83">
        <v>34681335</v>
      </c>
      <c r="H74" s="80">
        <f t="shared" si="6"/>
        <v>1211542</v>
      </c>
      <c r="I74" s="82">
        <f t="shared" si="7"/>
        <v>3.6198072691994237E-2</v>
      </c>
    </row>
    <row r="75" spans="1:9" ht="15.75" customHeight="1" x14ac:dyDescent="0.25">
      <c r="A75" s="84"/>
      <c r="B75" s="85"/>
      <c r="C75" s="86"/>
      <c r="D75" s="86"/>
      <c r="E75" s="87"/>
      <c r="F75" s="88"/>
      <c r="G75" s="86"/>
      <c r="H75" s="86"/>
      <c r="I75" s="89"/>
    </row>
    <row r="76" spans="1:9" x14ac:dyDescent="0.25">
      <c r="A76" s="59" t="s">
        <v>71</v>
      </c>
      <c r="B76" s="60">
        <f>SUM(B77:B80)</f>
        <v>171800796</v>
      </c>
      <c r="C76" s="61">
        <f>SUM(C77:C80)</f>
        <v>169189022</v>
      </c>
      <c r="D76" s="62">
        <f>C76-$B76</f>
        <v>-2611774</v>
      </c>
      <c r="E76" s="63">
        <f>IF($B76&gt;0,D76/$B76, "")</f>
        <v>-1.5202339341896879E-2</v>
      </c>
      <c r="F76" s="64"/>
      <c r="G76" s="65">
        <f>SUM(G77:G80)</f>
        <v>167793100</v>
      </c>
      <c r="H76" s="62">
        <f>G76-$B76</f>
        <v>-4007696</v>
      </c>
      <c r="I76" s="63">
        <f>IF($B76&gt;0,H76/$B76, "")</f>
        <v>-2.3327575269208881E-2</v>
      </c>
    </row>
    <row r="77" spans="1:9" ht="15.75" thickBot="1" x14ac:dyDescent="0.3">
      <c r="A77" s="66" t="s">
        <v>51</v>
      </c>
      <c r="B77" s="67">
        <v>134408873</v>
      </c>
      <c r="C77" s="68">
        <f>B77</f>
        <v>134408873</v>
      </c>
      <c r="D77" s="27">
        <f>C77-$B77</f>
        <v>0</v>
      </c>
      <c r="E77" s="69">
        <f>IF($B77&gt;0,D77/$B77, "")</f>
        <v>0</v>
      </c>
      <c r="F77" s="23"/>
      <c r="G77" s="70">
        <v>133010951</v>
      </c>
      <c r="H77" s="27">
        <f>G77-$B77</f>
        <v>-1397922</v>
      </c>
      <c r="I77" s="69">
        <f>IF($B77&gt;0,H77/$B77, "")</f>
        <v>-1.0400518721706713E-2</v>
      </c>
    </row>
    <row r="78" spans="1:9" x14ac:dyDescent="0.25">
      <c r="A78" s="66" t="s">
        <v>52</v>
      </c>
      <c r="B78" s="67">
        <v>27379972</v>
      </c>
      <c r="C78" s="68">
        <v>24739019</v>
      </c>
      <c r="D78" s="27">
        <f>C78-$B78</f>
        <v>-2640953</v>
      </c>
      <c r="E78" s="69">
        <f>IF($B78&gt;0,D78/$B78, "")</f>
        <v>-9.6455650137260915E-2</v>
      </c>
      <c r="F78" s="23"/>
      <c r="G78" s="70">
        <v>24741019</v>
      </c>
      <c r="H78" s="27">
        <f>G78-$B78</f>
        <v>-2638953</v>
      </c>
      <c r="I78" s="28">
        <f>IF($B78&gt;0,H78/$B78, "")</f>
        <v>-9.6382604043568784E-2</v>
      </c>
    </row>
    <row r="79" spans="1:9" x14ac:dyDescent="0.25">
      <c r="A79" s="66" t="s">
        <v>53</v>
      </c>
      <c r="B79" s="67">
        <v>2917359</v>
      </c>
      <c r="C79" s="68">
        <f>B79</f>
        <v>2917359</v>
      </c>
      <c r="D79" s="27">
        <f>C79-$B79</f>
        <v>0</v>
      </c>
      <c r="E79" s="69">
        <f>IF($B79&gt;0,D79/$B79, "")</f>
        <v>0</v>
      </c>
      <c r="F79" s="23"/>
      <c r="G79" s="67">
        <f>B79</f>
        <v>2917359</v>
      </c>
      <c r="H79" s="27">
        <f>G79-$B79</f>
        <v>0</v>
      </c>
      <c r="I79" s="69">
        <f>IF($B79&gt;0,H79/$B79, "")</f>
        <v>0</v>
      </c>
    </row>
    <row r="80" spans="1:9" x14ac:dyDescent="0.25">
      <c r="A80" s="66" t="s">
        <v>64</v>
      </c>
      <c r="B80" s="67">
        <v>7094592</v>
      </c>
      <c r="C80" s="68">
        <v>7123771</v>
      </c>
      <c r="D80" s="27">
        <f>C80-$B80</f>
        <v>29179</v>
      </c>
      <c r="E80" s="28">
        <f>IF($B80&gt;0,D80/$B80, "")</f>
        <v>4.1128510279379001E-3</v>
      </c>
      <c r="F80" s="23"/>
      <c r="G80" s="70">
        <v>7123771</v>
      </c>
      <c r="H80" s="27">
        <f>G80-$B80</f>
        <v>29179</v>
      </c>
      <c r="I80" s="28">
        <f>IF($B80&gt;0,H80/$B80, "")</f>
        <v>4.1128510279379001E-3</v>
      </c>
    </row>
    <row r="81" spans="1:9" ht="15.75" customHeight="1" x14ac:dyDescent="0.25">
      <c r="A81" s="84"/>
      <c r="B81" s="85"/>
      <c r="C81" s="86"/>
      <c r="D81" s="86"/>
      <c r="E81" s="87"/>
      <c r="F81" s="88"/>
      <c r="G81" s="86"/>
      <c r="H81" s="86"/>
      <c r="I81" s="89"/>
    </row>
    <row r="82" spans="1:9" ht="15.75" thickBot="1" x14ac:dyDescent="0.3">
      <c r="A82" s="59" t="s">
        <v>72</v>
      </c>
      <c r="B82" s="60">
        <f>SUM(B83:B86)</f>
        <v>90283243</v>
      </c>
      <c r="C82" s="61">
        <f>SUM(C83:C86)</f>
        <v>86062795</v>
      </c>
      <c r="D82" s="62">
        <f>C82-$B82</f>
        <v>-4220448</v>
      </c>
      <c r="E82" s="63">
        <f>IF($B82&gt;0,D82/$B82, "")</f>
        <v>-4.6746747898721359E-2</v>
      </c>
      <c r="F82" s="64"/>
      <c r="G82" s="65">
        <f>SUM(G83:G86)</f>
        <v>88504586</v>
      </c>
      <c r="H82" s="62">
        <f>G82-$B82</f>
        <v>-1778657</v>
      </c>
      <c r="I82" s="63">
        <f>IF($B82&gt;0,H82/$B82, "")</f>
        <v>-1.9700854121954835E-2</v>
      </c>
    </row>
    <row r="83" spans="1:9" x14ac:dyDescent="0.25">
      <c r="A83" s="66" t="s">
        <v>51</v>
      </c>
      <c r="B83" s="67">
        <v>72063968</v>
      </c>
      <c r="C83" s="68">
        <f>B83</f>
        <v>72063968</v>
      </c>
      <c r="D83" s="27">
        <f>C83-$B83</f>
        <v>0</v>
      </c>
      <c r="E83" s="69">
        <f>IF($B83&gt;0,D83/$B83, "")</f>
        <v>0</v>
      </c>
      <c r="F83" s="23"/>
      <c r="G83" s="70">
        <v>74498951</v>
      </c>
      <c r="H83" s="27">
        <f>G83-$B83</f>
        <v>2434983</v>
      </c>
      <c r="I83" s="69">
        <f>IF($B83&gt;0,H83/$B83, "")</f>
        <v>3.3789188516513552E-2</v>
      </c>
    </row>
    <row r="84" spans="1:9" x14ac:dyDescent="0.25">
      <c r="A84" s="66" t="s">
        <v>52</v>
      </c>
      <c r="B84" s="67">
        <v>15288291</v>
      </c>
      <c r="C84" s="68">
        <v>11044480</v>
      </c>
      <c r="D84" s="27">
        <f>C84-$B84</f>
        <v>-4243811</v>
      </c>
      <c r="E84" s="69">
        <f>IF($B84&gt;0,D84/$B84, "")</f>
        <v>-0.27758570267925958</v>
      </c>
      <c r="F84" s="23"/>
      <c r="G84" s="70">
        <v>11051288</v>
      </c>
      <c r="H84" s="27">
        <f>G84-$B84</f>
        <v>-4237003</v>
      </c>
      <c r="I84" s="28">
        <f>IF($B84&gt;0,H84/$B84, "")</f>
        <v>-0.27714039456731954</v>
      </c>
    </row>
    <row r="85" spans="1:9" ht="15.75" thickBot="1" x14ac:dyDescent="0.3">
      <c r="A85" s="66" t="s">
        <v>53</v>
      </c>
      <c r="B85" s="67">
        <v>1504289</v>
      </c>
      <c r="C85" s="68">
        <f>B85</f>
        <v>1504289</v>
      </c>
      <c r="D85" s="27">
        <f>C85-$B85</f>
        <v>0</v>
      </c>
      <c r="E85" s="69">
        <f>IF($B85&gt;0,D85/$B85, "")</f>
        <v>0</v>
      </c>
      <c r="F85" s="23"/>
      <c r="G85" s="67">
        <f>B85</f>
        <v>1504289</v>
      </c>
      <c r="H85" s="27">
        <f>G85-$B85</f>
        <v>0</v>
      </c>
      <c r="I85" s="69">
        <f>IF($B85&gt;0,H85/$B85, "")</f>
        <v>0</v>
      </c>
    </row>
    <row r="86" spans="1:9" ht="15.75" thickTop="1" x14ac:dyDescent="0.25">
      <c r="A86" s="66" t="s">
        <v>64</v>
      </c>
      <c r="B86" s="67">
        <v>1426695</v>
      </c>
      <c r="C86" s="68">
        <v>1450058</v>
      </c>
      <c r="D86" s="27">
        <f>C86-$B86</f>
        <v>23363</v>
      </c>
      <c r="E86" s="28">
        <f>IF($B86&gt;0,D86/$B86, "")</f>
        <v>1.6375609362898166E-2</v>
      </c>
      <c r="F86" s="23"/>
      <c r="G86" s="70">
        <v>1450058</v>
      </c>
      <c r="H86" s="27">
        <f>G86-$B86</f>
        <v>23363</v>
      </c>
      <c r="I86" s="28">
        <f>IF($B86&gt;0,H86/$B86, "")</f>
        <v>1.6375609362898166E-2</v>
      </c>
    </row>
    <row r="87" spans="1:9" ht="15.75" customHeight="1" x14ac:dyDescent="0.25">
      <c r="A87" s="84"/>
      <c r="B87" s="85"/>
      <c r="C87" s="86"/>
      <c r="D87" s="86"/>
      <c r="E87" s="87"/>
      <c r="F87" s="88"/>
      <c r="G87" s="86"/>
      <c r="H87" s="86"/>
      <c r="I87" s="89"/>
    </row>
    <row r="88" spans="1:9" x14ac:dyDescent="0.25">
      <c r="A88" s="59" t="s">
        <v>73</v>
      </c>
      <c r="B88" s="60">
        <f>SUM(B89:B92)</f>
        <v>65103670</v>
      </c>
      <c r="C88" s="61">
        <f>SUM(C89:C92)</f>
        <v>64742628</v>
      </c>
      <c r="D88" s="62">
        <f>C88-$B88</f>
        <v>-361042</v>
      </c>
      <c r="E88" s="63">
        <f>IF($B88&gt;0,D88/$B88, "")</f>
        <v>-5.5456474266350883E-3</v>
      </c>
      <c r="F88" s="64"/>
      <c r="G88" s="65">
        <f>SUM(G89:G92)</f>
        <v>65510631</v>
      </c>
      <c r="H88" s="62">
        <f>G88-$B88</f>
        <v>406961</v>
      </c>
      <c r="I88" s="63">
        <f>IF($B88&gt;0,H88/$B88, "")</f>
        <v>6.2509686473896176E-3</v>
      </c>
    </row>
    <row r="89" spans="1:9" x14ac:dyDescent="0.25">
      <c r="A89" s="66" t="s">
        <v>51</v>
      </c>
      <c r="B89" s="67">
        <v>48210149</v>
      </c>
      <c r="C89" s="68">
        <f>B89</f>
        <v>48210149</v>
      </c>
      <c r="D89" s="27">
        <f>C89-$B89</f>
        <v>0</v>
      </c>
      <c r="E89" s="69">
        <f>IF($B89&gt;0,D89/$B89, "")</f>
        <v>0</v>
      </c>
      <c r="F89" s="23"/>
      <c r="G89" s="70">
        <v>51038023</v>
      </c>
      <c r="H89" s="27">
        <f>G89-$B89</f>
        <v>2827874</v>
      </c>
      <c r="I89" s="69">
        <f>IF($B89&gt;0,H89/$B89, "")</f>
        <v>5.8657234185274972E-2</v>
      </c>
    </row>
    <row r="90" spans="1:9" x14ac:dyDescent="0.25">
      <c r="A90" s="66" t="s">
        <v>52</v>
      </c>
      <c r="B90" s="67">
        <v>15057528</v>
      </c>
      <c r="C90" s="68">
        <v>14377159</v>
      </c>
      <c r="D90" s="27">
        <f>C90-$B90</f>
        <v>-680369</v>
      </c>
      <c r="E90" s="69">
        <f>IF($B90&gt;0,D90/$B90, "")</f>
        <v>-4.5184641197413014E-2</v>
      </c>
      <c r="F90" s="23"/>
      <c r="G90" s="70">
        <v>12317288</v>
      </c>
      <c r="H90" s="27">
        <f>G90-$B90</f>
        <v>-2740240</v>
      </c>
      <c r="I90" s="28">
        <f>IF($B90&gt;0,H90/$B90, "")</f>
        <v>-0.18198471887284554</v>
      </c>
    </row>
    <row r="91" spans="1:9" ht="15.75" thickBot="1" x14ac:dyDescent="0.3">
      <c r="A91" s="66" t="s">
        <v>53</v>
      </c>
      <c r="B91" s="67">
        <v>1112962</v>
      </c>
      <c r="C91" s="68">
        <f>B91</f>
        <v>1112962</v>
      </c>
      <c r="D91" s="27">
        <f>C91-$B91</f>
        <v>0</v>
      </c>
      <c r="E91" s="69">
        <f>IF($B91&gt;0,D91/$B91, "")</f>
        <v>0</v>
      </c>
      <c r="F91" s="23"/>
      <c r="G91" s="67">
        <f>B91</f>
        <v>1112962</v>
      </c>
      <c r="H91" s="27">
        <f>G91-$B91</f>
        <v>0</v>
      </c>
      <c r="I91" s="69">
        <f>IF($B91&gt;0,H91/$B91, "")</f>
        <v>0</v>
      </c>
    </row>
    <row r="92" spans="1:9" ht="15.75" thickBot="1" x14ac:dyDescent="0.3">
      <c r="A92" s="66" t="s">
        <v>64</v>
      </c>
      <c r="B92" s="67">
        <v>723031</v>
      </c>
      <c r="C92" s="68">
        <v>1042358</v>
      </c>
      <c r="D92" s="27">
        <f>C92-$B92</f>
        <v>319327</v>
      </c>
      <c r="E92" s="28">
        <f>IF($B92&gt;0,D92/$B92, "")</f>
        <v>0.44165049631343606</v>
      </c>
      <c r="F92" s="23"/>
      <c r="G92" s="70">
        <v>1042358</v>
      </c>
      <c r="H92" s="27">
        <f>G92-$B92</f>
        <v>319327</v>
      </c>
      <c r="I92" s="28">
        <f>IF($B92&gt;0,H92/$B92, "")</f>
        <v>0.44165049631343606</v>
      </c>
    </row>
    <row r="93" spans="1:9" ht="15.75" customHeight="1" x14ac:dyDescent="0.25">
      <c r="A93" s="84"/>
      <c r="B93" s="85"/>
      <c r="C93" s="86"/>
      <c r="D93" s="86"/>
      <c r="E93" s="87"/>
      <c r="F93" s="88"/>
      <c r="G93" s="86"/>
      <c r="H93" s="86"/>
      <c r="I93" s="89"/>
    </row>
    <row r="94" spans="1:9" x14ac:dyDescent="0.25">
      <c r="A94" s="59" t="s">
        <v>74</v>
      </c>
      <c r="B94" s="60">
        <f>SUM(B95:B98)</f>
        <v>57491477</v>
      </c>
      <c r="C94" s="61">
        <f>SUM(C95:C98)</f>
        <v>58086722</v>
      </c>
      <c r="D94" s="62">
        <f>C94-$B94</f>
        <v>595245</v>
      </c>
      <c r="E94" s="63">
        <f>IF($B94&gt;0,D94/$B94, "")</f>
        <v>1.0353621633342278E-2</v>
      </c>
      <c r="F94" s="64"/>
      <c r="G94" s="65">
        <f>SUM(G95:G98)</f>
        <v>58303296</v>
      </c>
      <c r="H94" s="62">
        <f>G94-$B94</f>
        <v>811819</v>
      </c>
      <c r="I94" s="63">
        <f>IF($B94&gt;0,H94/$B94, "")</f>
        <v>1.412068435813538E-2</v>
      </c>
    </row>
    <row r="95" spans="1:9" x14ac:dyDescent="0.25">
      <c r="A95" s="66" t="s">
        <v>51</v>
      </c>
      <c r="B95" s="67">
        <v>43561521</v>
      </c>
      <c r="C95" s="68">
        <f>B95</f>
        <v>43561521</v>
      </c>
      <c r="D95" s="27">
        <f>C95-$B95</f>
        <v>0</v>
      </c>
      <c r="E95" s="69">
        <f>IF($B95&gt;0,D95/$B95, "")</f>
        <v>0</v>
      </c>
      <c r="F95" s="23"/>
      <c r="G95" s="70">
        <v>44475375</v>
      </c>
      <c r="H95" s="27">
        <f>G95-$B95</f>
        <v>913854</v>
      </c>
      <c r="I95" s="69">
        <f>IF($B95&gt;0,H95/$B95, "")</f>
        <v>2.0978468589285485E-2</v>
      </c>
    </row>
    <row r="96" spans="1:9" x14ac:dyDescent="0.25">
      <c r="A96" s="66" t="s">
        <v>52</v>
      </c>
      <c r="B96" s="67">
        <v>6210108</v>
      </c>
      <c r="C96" s="68">
        <v>6204550</v>
      </c>
      <c r="D96" s="27">
        <f>C96-$B96</f>
        <v>-5558</v>
      </c>
      <c r="E96" s="69">
        <f>IF($B96&gt;0,D96/$B96, "")</f>
        <v>-8.9499248644306991E-4</v>
      </c>
      <c r="F96" s="23"/>
      <c r="G96" s="70">
        <v>5507270</v>
      </c>
      <c r="H96" s="27">
        <f>G96-$B96</f>
        <v>-702838</v>
      </c>
      <c r="I96" s="28">
        <f>IF($B96&gt;0,H96/$B96, "")</f>
        <v>-0.11317645361401123</v>
      </c>
    </row>
    <row r="97" spans="1:9" x14ac:dyDescent="0.25">
      <c r="A97" s="66" t="s">
        <v>53</v>
      </c>
      <c r="B97" s="67">
        <v>1005286</v>
      </c>
      <c r="C97" s="68">
        <f>B97</f>
        <v>1005286</v>
      </c>
      <c r="D97" s="27">
        <f>C97-$B97</f>
        <v>0</v>
      </c>
      <c r="E97" s="69">
        <f>IF($B97&gt;0,D97/$B97, "")</f>
        <v>0</v>
      </c>
      <c r="F97" s="23"/>
      <c r="G97" s="67">
        <f>B97</f>
        <v>1005286</v>
      </c>
      <c r="H97" s="27">
        <f>G97-$B97</f>
        <v>0</v>
      </c>
      <c r="I97" s="69">
        <f>IF($B97&gt;0,H97/$B97, "")</f>
        <v>0</v>
      </c>
    </row>
    <row r="98" spans="1:9" ht="15.75" thickBot="1" x14ac:dyDescent="0.3">
      <c r="A98" s="66" t="s">
        <v>64</v>
      </c>
      <c r="B98" s="67">
        <v>6714562</v>
      </c>
      <c r="C98" s="68">
        <v>7315365</v>
      </c>
      <c r="D98" s="27">
        <f>C98-$B98</f>
        <v>600803</v>
      </c>
      <c r="E98" s="28">
        <f>IF($B98&gt;0,D98/$B98, "")</f>
        <v>8.9477615963632476E-2</v>
      </c>
      <c r="F98" s="23"/>
      <c r="G98" s="70">
        <v>7315365</v>
      </c>
      <c r="H98" s="27">
        <f>G98-$B98</f>
        <v>600803</v>
      </c>
      <c r="I98" s="28">
        <f>IF($B98&gt;0,H98/$B98, "")</f>
        <v>8.9477615963632476E-2</v>
      </c>
    </row>
    <row r="99" spans="1:9" ht="15.75" customHeight="1" thickBot="1" x14ac:dyDescent="0.3">
      <c r="A99" s="84"/>
      <c r="B99" s="85"/>
      <c r="C99" s="86"/>
      <c r="D99" s="86"/>
      <c r="E99" s="87"/>
      <c r="F99" s="88"/>
      <c r="G99" s="86"/>
      <c r="H99" s="86"/>
      <c r="I99" s="89"/>
    </row>
    <row r="100" spans="1:9" x14ac:dyDescent="0.25">
      <c r="A100" s="59" t="s">
        <v>75</v>
      </c>
      <c r="B100" s="60">
        <f>SUM(B101:B104)</f>
        <v>283555448</v>
      </c>
      <c r="C100" s="61">
        <f>SUM(C101:C104)</f>
        <v>281368052</v>
      </c>
      <c r="D100" s="62">
        <f>C100-$B100</f>
        <v>-2187396</v>
      </c>
      <c r="E100" s="63">
        <f>IF($B100&gt;0,D100/$B100, "")</f>
        <v>-7.7141737724608977E-3</v>
      </c>
      <c r="F100" s="64"/>
      <c r="G100" s="65">
        <f>SUM(G101:G104)</f>
        <v>286133022</v>
      </c>
      <c r="H100" s="62">
        <f>G100-$B100</f>
        <v>2577574</v>
      </c>
      <c r="I100" s="63">
        <f>IF($B100&gt;0,H100/$B100, "")</f>
        <v>9.0901938868760516E-3</v>
      </c>
    </row>
    <row r="101" spans="1:9" x14ac:dyDescent="0.25">
      <c r="A101" s="66" t="s">
        <v>51</v>
      </c>
      <c r="B101" s="67">
        <v>229890923</v>
      </c>
      <c r="C101" s="68">
        <f>B101</f>
        <v>229890923</v>
      </c>
      <c r="D101" s="27">
        <f>C101-$B101</f>
        <v>0</v>
      </c>
      <c r="E101" s="69">
        <f>IF($B101&gt;0,D101/$B101, "")</f>
        <v>0</v>
      </c>
      <c r="F101" s="23"/>
      <c r="G101" s="70">
        <v>235110368</v>
      </c>
      <c r="H101" s="27">
        <f>G101-$B101</f>
        <v>5219445</v>
      </c>
      <c r="I101" s="69">
        <f>IF($B101&gt;0,H101/$B101, "")</f>
        <v>2.2704006456140072E-2</v>
      </c>
    </row>
    <row r="102" spans="1:9" x14ac:dyDescent="0.25">
      <c r="A102" s="66" t="s">
        <v>52</v>
      </c>
      <c r="B102" s="67">
        <v>33678382</v>
      </c>
      <c r="C102" s="68">
        <v>28938873</v>
      </c>
      <c r="D102" s="27">
        <f>C102-$B102</f>
        <v>-4739509</v>
      </c>
      <c r="E102" s="69">
        <f>IF($B102&gt;0,D102/$B102, "")</f>
        <v>-0.14072852430974861</v>
      </c>
      <c r="F102" s="23"/>
      <c r="G102" s="70">
        <v>28484398</v>
      </c>
      <c r="H102" s="27">
        <f>G102-$B102</f>
        <v>-5193984</v>
      </c>
      <c r="I102" s="28">
        <f>IF($B102&gt;0,H102/$B102, "")</f>
        <v>-0.15422308589527847</v>
      </c>
    </row>
    <row r="103" spans="1:9" x14ac:dyDescent="0.25">
      <c r="A103" s="66" t="s">
        <v>53</v>
      </c>
      <c r="B103" s="67">
        <v>3610577</v>
      </c>
      <c r="C103" s="68">
        <f>B103</f>
        <v>3610577</v>
      </c>
      <c r="D103" s="27">
        <f>C103-$B103</f>
        <v>0</v>
      </c>
      <c r="E103" s="69">
        <f>IF($B103&gt;0,D103/$B103, "")</f>
        <v>0</v>
      </c>
      <c r="F103" s="23"/>
      <c r="G103" s="67">
        <f>B103</f>
        <v>3610577</v>
      </c>
      <c r="H103" s="27">
        <f>G103-$B103</f>
        <v>0</v>
      </c>
      <c r="I103" s="69">
        <f>IF($B103&gt;0,H103/$B103, "")</f>
        <v>0</v>
      </c>
    </row>
    <row r="104" spans="1:9" x14ac:dyDescent="0.25">
      <c r="A104" s="66" t="s">
        <v>64</v>
      </c>
      <c r="B104" s="67">
        <v>16375566</v>
      </c>
      <c r="C104" s="68">
        <v>18927679</v>
      </c>
      <c r="D104" s="27">
        <f>C104-$B104</f>
        <v>2552113</v>
      </c>
      <c r="E104" s="28">
        <f>IF($B104&gt;0,D104/$B104, "")</f>
        <v>0.15584884211025132</v>
      </c>
      <c r="F104" s="23"/>
      <c r="G104" s="70">
        <v>18927679</v>
      </c>
      <c r="H104" s="27">
        <f>G104-$B104</f>
        <v>2552113</v>
      </c>
      <c r="I104" s="28">
        <f>IF($B104&gt;0,H104/$B104, "")</f>
        <v>0.15584884211025132</v>
      </c>
    </row>
    <row r="105" spans="1:9" ht="15.75" customHeight="1" thickBot="1" x14ac:dyDescent="0.3">
      <c r="A105" s="84"/>
      <c r="B105" s="85"/>
      <c r="C105" s="86"/>
      <c r="D105" s="86"/>
      <c r="E105" s="87"/>
      <c r="F105" s="88"/>
      <c r="G105" s="86"/>
      <c r="H105" s="86"/>
      <c r="I105" s="89"/>
    </row>
    <row r="106" spans="1:9" ht="15.75" thickBot="1" x14ac:dyDescent="0.3">
      <c r="A106" s="59" t="s">
        <v>76</v>
      </c>
      <c r="B106" s="60">
        <f>SUM(B107:B110)</f>
        <v>402777055</v>
      </c>
      <c r="C106" s="61">
        <f>SUM(C107:C110)</f>
        <v>402743290</v>
      </c>
      <c r="D106" s="62">
        <f t="shared" ref="D106:D111" si="8">C106-$B106</f>
        <v>-33765</v>
      </c>
      <c r="E106" s="63">
        <f t="shared" ref="E106:E111" si="9">IF($B106&gt;0,D106/$B106, "")</f>
        <v>-8.3830495259964592E-5</v>
      </c>
      <c r="F106" s="64"/>
      <c r="G106" s="65">
        <f>SUM(G107:G110)</f>
        <v>402798290</v>
      </c>
      <c r="H106" s="62">
        <f t="shared" ref="H106:H111" si="10">G106-$B106</f>
        <v>21235</v>
      </c>
      <c r="I106" s="63">
        <f t="shared" ref="I106:I111" si="11">IF($B106&gt;0,H106/$B106, "")</f>
        <v>5.2721473918120783E-5</v>
      </c>
    </row>
    <row r="107" spans="1:9" x14ac:dyDescent="0.25">
      <c r="A107" s="66" t="s">
        <v>77</v>
      </c>
      <c r="B107" s="67">
        <v>5312000</v>
      </c>
      <c r="C107" s="68">
        <v>4933000</v>
      </c>
      <c r="D107" s="27">
        <f t="shared" si="8"/>
        <v>-379000</v>
      </c>
      <c r="E107" s="69">
        <f t="shared" si="9"/>
        <v>-7.1347891566265059E-2</v>
      </c>
      <c r="F107" s="23"/>
      <c r="G107" s="70">
        <v>4988000</v>
      </c>
      <c r="H107" s="27">
        <f t="shared" si="10"/>
        <v>-324000</v>
      </c>
      <c r="I107" s="69">
        <f t="shared" si="11"/>
        <v>-6.099397590361446E-2</v>
      </c>
    </row>
    <row r="108" spans="1:9" x14ac:dyDescent="0.25">
      <c r="A108" s="66" t="s">
        <v>78</v>
      </c>
      <c r="B108" s="67">
        <v>0</v>
      </c>
      <c r="C108" s="68">
        <v>0</v>
      </c>
      <c r="D108" s="27">
        <f t="shared" si="8"/>
        <v>0</v>
      </c>
      <c r="E108" s="69" t="str">
        <f t="shared" si="9"/>
        <v/>
      </c>
      <c r="F108" s="23"/>
      <c r="G108" s="70">
        <v>0</v>
      </c>
      <c r="H108" s="27">
        <f t="shared" si="10"/>
        <v>0</v>
      </c>
      <c r="I108" s="28" t="str">
        <f t="shared" si="11"/>
        <v/>
      </c>
    </row>
    <row r="109" spans="1:9" x14ac:dyDescent="0.25">
      <c r="A109" s="66" t="s">
        <v>79</v>
      </c>
      <c r="B109" s="67">
        <v>387617147</v>
      </c>
      <c r="C109" s="68">
        <v>388435673</v>
      </c>
      <c r="D109" s="27">
        <f t="shared" si="8"/>
        <v>818526</v>
      </c>
      <c r="E109" s="69">
        <f t="shared" si="9"/>
        <v>2.1116867670459378E-3</v>
      </c>
      <c r="F109" s="23"/>
      <c r="G109" s="70">
        <v>388435673</v>
      </c>
      <c r="H109" s="27">
        <f t="shared" si="10"/>
        <v>818526</v>
      </c>
      <c r="I109" s="69">
        <f t="shared" si="11"/>
        <v>2.1116867670459378E-3</v>
      </c>
    </row>
    <row r="110" spans="1:9" ht="15.75" customHeight="1" x14ac:dyDescent="0.25">
      <c r="A110" s="90" t="s">
        <v>80</v>
      </c>
      <c r="B110" s="91">
        <v>9847908</v>
      </c>
      <c r="C110" s="92">
        <v>9374617</v>
      </c>
      <c r="D110" s="93">
        <f t="shared" si="8"/>
        <v>-473291</v>
      </c>
      <c r="E110" s="94">
        <f t="shared" si="9"/>
        <v>-4.8060054988328486E-2</v>
      </c>
      <c r="F110" s="95"/>
      <c r="G110" s="96">
        <v>9374617</v>
      </c>
      <c r="H110" s="93">
        <f t="shared" si="10"/>
        <v>-473291</v>
      </c>
      <c r="I110" s="94">
        <f t="shared" si="11"/>
        <v>-4.8060054988328486E-2</v>
      </c>
    </row>
    <row r="111" spans="1:9" ht="15.75" customHeight="1" x14ac:dyDescent="0.25">
      <c r="A111" s="97" t="s">
        <v>46</v>
      </c>
      <c r="B111" s="98">
        <f>SUM(B46,B70,B76,B82,B88,B94,B100,B106)</f>
        <v>2103292423</v>
      </c>
      <c r="C111" s="99">
        <f>SUM(C46,C70,C76,C82,C88,C94,C100,C106)</f>
        <v>2085766610</v>
      </c>
      <c r="D111" s="100">
        <f t="shared" si="8"/>
        <v>-17525813</v>
      </c>
      <c r="E111" s="101">
        <f t="shared" si="9"/>
        <v>-8.3325612779046269E-3</v>
      </c>
      <c r="F111" s="102"/>
      <c r="G111" s="99">
        <f>SUM(G46,G70,G76,G82,G88,G94,G100,G106)</f>
        <v>2106792059</v>
      </c>
      <c r="H111" s="100">
        <f t="shared" si="10"/>
        <v>3499636</v>
      </c>
      <c r="I111" s="101">
        <f t="shared" si="11"/>
        <v>1.6638846608919677E-3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4" manualBreakCount="4">
    <brk id="62" max="1048576" man="1"/>
    <brk id="92" max="1048576" man="1"/>
    <brk id="62" max="1048576" man="1"/>
    <brk id="92" max="1048576" man="1"/>
    <brk id="51" max="1048576" man="1"/>
    <brk id="75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J30"/>
  <sheetViews>
    <sheetView zoomScale="80" zoomScaleNormal="80" workbookViewId="0">
      <pane xSplit="1" topLeftCell="B1" activePane="topRight" state="frozenSplit"/>
      <selection activeCell="B5" sqref="B5 A5:AP9"/>
      <selection pane="topRight"/>
    </sheetView>
  </sheetViews>
  <sheetFormatPr defaultColWidth="18.7109375" defaultRowHeight="15" x14ac:dyDescent="0.25"/>
  <cols>
    <col min="1" max="36" width="18.7109375" style="1" customWidth="1"/>
  </cols>
  <sheetData>
    <row r="1" spans="1:36" ht="15.75" customHeight="1" x14ac:dyDescent="0.25">
      <c r="A1" s="14" t="s">
        <v>81</v>
      </c>
      <c r="B1" s="14"/>
      <c r="C1" s="14"/>
      <c r="D1" s="14"/>
    </row>
    <row r="2" spans="1:36" ht="15.75" customHeight="1" x14ac:dyDescent="0.25">
      <c r="A2" s="17" t="s">
        <v>31</v>
      </c>
    </row>
    <row r="3" spans="1:36" ht="15.75" customHeight="1" x14ac:dyDescent="0.25">
      <c r="A3" s="17"/>
    </row>
    <row r="4" spans="1:36" ht="15.75" customHeight="1" thickBot="1" x14ac:dyDescent="0.3">
      <c r="A4" s="18" t="s">
        <v>82</v>
      </c>
      <c r="B4"/>
      <c r="C4"/>
      <c r="D4"/>
      <c r="E4"/>
      <c r="F4"/>
      <c r="G4"/>
      <c r="H4"/>
      <c r="I4"/>
      <c r="J4"/>
      <c r="K4"/>
      <c r="AG4"/>
      <c r="AH4"/>
      <c r="AI4"/>
      <c r="AJ4"/>
    </row>
    <row r="5" spans="1:36" ht="15.75" customHeight="1" thickBot="1" x14ac:dyDescent="0.3">
      <c r="A5" s="396"/>
      <c r="B5" s="449" t="s">
        <v>83</v>
      </c>
      <c r="C5" s="450"/>
      <c r="D5" s="450"/>
      <c r="E5" s="450"/>
      <c r="F5" s="450"/>
      <c r="G5" s="451"/>
      <c r="H5" s="445" t="s">
        <v>84</v>
      </c>
      <c r="I5" s="446"/>
      <c r="J5" s="446"/>
      <c r="K5" s="447"/>
      <c r="L5" s="437" t="s">
        <v>85</v>
      </c>
      <c r="M5" s="438"/>
      <c r="N5" s="438"/>
      <c r="O5" s="438"/>
      <c r="P5" s="438"/>
      <c r="Q5" s="438"/>
      <c r="R5" s="438"/>
      <c r="S5" s="438"/>
      <c r="T5" s="439"/>
      <c r="U5" s="430" t="s">
        <v>86</v>
      </c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2"/>
      <c r="AG5" s="416" t="s">
        <v>87</v>
      </c>
      <c r="AH5" s="417"/>
      <c r="AI5" s="417"/>
      <c r="AJ5" s="418"/>
    </row>
    <row r="6" spans="1:36" ht="15.75" customHeight="1" x14ac:dyDescent="0.25">
      <c r="A6" s="443"/>
      <c r="B6" s="452"/>
      <c r="C6" s="453"/>
      <c r="D6" s="453"/>
      <c r="E6" s="453"/>
      <c r="F6" s="453"/>
      <c r="G6" s="454"/>
      <c r="H6" s="455" t="s">
        <v>88</v>
      </c>
      <c r="I6" s="456"/>
      <c r="J6" s="456"/>
      <c r="K6" s="457"/>
      <c r="L6" s="440"/>
      <c r="M6" s="441"/>
      <c r="N6" s="441"/>
      <c r="O6" s="441"/>
      <c r="P6" s="441"/>
      <c r="Q6" s="441"/>
      <c r="R6" s="441"/>
      <c r="S6" s="441"/>
      <c r="T6" s="442"/>
      <c r="U6" s="433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5"/>
      <c r="AG6" s="419"/>
      <c r="AH6" s="420"/>
      <c r="AI6" s="420"/>
      <c r="AJ6" s="421"/>
    </row>
    <row r="7" spans="1:36" ht="15" customHeight="1" thickBot="1" x14ac:dyDescent="0.3">
      <c r="A7" s="443"/>
      <c r="B7" s="105"/>
      <c r="C7" s="106"/>
      <c r="D7" s="448" t="s">
        <v>89</v>
      </c>
      <c r="E7" s="448"/>
      <c r="F7" s="106"/>
      <c r="G7" s="107"/>
      <c r="H7" s="458" t="s">
        <v>90</v>
      </c>
      <c r="I7" s="459"/>
      <c r="J7" s="459"/>
      <c r="K7" s="460"/>
      <c r="L7" s="413" t="s">
        <v>89</v>
      </c>
      <c r="M7" s="414"/>
      <c r="N7" s="414"/>
      <c r="O7" s="414"/>
      <c r="P7" s="414"/>
      <c r="Q7" s="414"/>
      <c r="R7" s="414"/>
      <c r="S7" s="414"/>
      <c r="T7" s="415"/>
      <c r="U7" s="427" t="s">
        <v>91</v>
      </c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9"/>
      <c r="AG7" s="410" t="s">
        <v>91</v>
      </c>
      <c r="AH7" s="411"/>
      <c r="AI7" s="411"/>
      <c r="AJ7" s="412"/>
    </row>
    <row r="8" spans="1:36" s="144" customFormat="1" ht="54.75" customHeight="1" thickBot="1" x14ac:dyDescent="0.3">
      <c r="A8" s="444"/>
      <c r="B8" s="108" t="s">
        <v>92</v>
      </c>
      <c r="C8" s="109" t="s">
        <v>93</v>
      </c>
      <c r="D8" s="110" t="s">
        <v>94</v>
      </c>
      <c r="E8" s="111" t="s">
        <v>95</v>
      </c>
      <c r="F8" s="111" t="s">
        <v>96</v>
      </c>
      <c r="G8" s="112" t="s">
        <v>97</v>
      </c>
      <c r="H8" s="113" t="s">
        <v>92</v>
      </c>
      <c r="I8" s="114" t="s">
        <v>93</v>
      </c>
      <c r="J8" s="115" t="s">
        <v>94</v>
      </c>
      <c r="K8" s="116" t="s">
        <v>95</v>
      </c>
      <c r="L8" s="117" t="s">
        <v>92</v>
      </c>
      <c r="M8" s="118" t="s">
        <v>93</v>
      </c>
      <c r="N8" s="119" t="s">
        <v>94</v>
      </c>
      <c r="O8" s="117" t="s">
        <v>98</v>
      </c>
      <c r="P8" s="118" t="s">
        <v>99</v>
      </c>
      <c r="Q8" s="119" t="s">
        <v>100</v>
      </c>
      <c r="R8" s="117" t="s">
        <v>101</v>
      </c>
      <c r="S8" s="118" t="s">
        <v>102</v>
      </c>
      <c r="T8" s="119" t="s">
        <v>103</v>
      </c>
      <c r="U8" s="436" t="s">
        <v>104</v>
      </c>
      <c r="V8" s="409"/>
      <c r="W8" s="408" t="s">
        <v>105</v>
      </c>
      <c r="X8" s="409"/>
      <c r="Y8" s="408" t="s">
        <v>106</v>
      </c>
      <c r="Z8" s="409"/>
      <c r="AA8" s="408" t="s">
        <v>107</v>
      </c>
      <c r="AB8" s="409"/>
      <c r="AC8" s="408" t="s">
        <v>108</v>
      </c>
      <c r="AD8" s="409"/>
      <c r="AE8" s="408" t="s">
        <v>109</v>
      </c>
      <c r="AF8" s="426"/>
      <c r="AG8" s="422" t="s">
        <v>110</v>
      </c>
      <c r="AH8" s="423"/>
      <c r="AI8" s="424" t="s">
        <v>111</v>
      </c>
      <c r="AJ8" s="425"/>
    </row>
    <row r="9" spans="1:36" x14ac:dyDescent="0.25">
      <c r="A9" s="120" t="s">
        <v>50</v>
      </c>
      <c r="B9" s="121"/>
      <c r="C9" s="122"/>
      <c r="D9" s="122"/>
      <c r="E9" s="122">
        <v>-15</v>
      </c>
      <c r="F9" s="122">
        <v>51</v>
      </c>
      <c r="G9" s="123">
        <v>-12</v>
      </c>
      <c r="H9" s="121"/>
      <c r="I9" s="122"/>
      <c r="J9" s="122"/>
      <c r="K9" s="124">
        <v>74</v>
      </c>
      <c r="L9" s="121"/>
      <c r="M9" s="125"/>
      <c r="N9" s="123"/>
      <c r="O9" s="121"/>
      <c r="P9" s="125"/>
      <c r="Q9" s="123"/>
      <c r="R9" s="121">
        <v>8</v>
      </c>
      <c r="S9" s="125">
        <v>4</v>
      </c>
      <c r="T9" s="123">
        <v>-2</v>
      </c>
      <c r="U9" s="124"/>
      <c r="V9" s="126"/>
      <c r="W9" s="127"/>
      <c r="X9" s="126"/>
      <c r="Y9" s="128"/>
      <c r="Z9" s="123"/>
      <c r="AA9" s="127"/>
      <c r="AB9" s="126"/>
      <c r="AC9" s="128"/>
      <c r="AD9" s="123"/>
      <c r="AE9" s="128"/>
      <c r="AF9" s="123"/>
      <c r="AG9" s="129"/>
      <c r="AH9" s="125"/>
      <c r="AI9" s="130">
        <v>5.9076999999999998E-2</v>
      </c>
      <c r="AJ9" s="123">
        <v>262</v>
      </c>
    </row>
    <row r="10" spans="1:36" x14ac:dyDescent="0.25">
      <c r="A10" s="120" t="s">
        <v>54</v>
      </c>
      <c r="B10" s="131"/>
      <c r="C10" s="132"/>
      <c r="D10" s="132"/>
      <c r="E10" s="132">
        <v>76</v>
      </c>
      <c r="F10" s="132">
        <v>1</v>
      </c>
      <c r="G10" s="123"/>
      <c r="H10" s="131"/>
      <c r="I10" s="132"/>
      <c r="J10" s="132"/>
      <c r="K10" s="124">
        <v>22</v>
      </c>
      <c r="L10" s="131"/>
      <c r="M10" s="126"/>
      <c r="N10" s="123"/>
      <c r="O10" s="131">
        <v>6</v>
      </c>
      <c r="P10" s="126"/>
      <c r="Q10" s="123"/>
      <c r="R10" s="131"/>
      <c r="S10" s="126"/>
      <c r="T10" s="123"/>
      <c r="U10" s="124"/>
      <c r="V10" s="126"/>
      <c r="W10" s="127"/>
      <c r="X10" s="126"/>
      <c r="Y10" s="128">
        <v>-2.7799999999999998E-4</v>
      </c>
      <c r="Z10" s="123"/>
      <c r="AA10" s="127"/>
      <c r="AB10" s="126"/>
      <c r="AC10" s="128">
        <v>9.758E-2</v>
      </c>
      <c r="AD10" s="123">
        <v>30</v>
      </c>
      <c r="AE10" s="128">
        <v>9.8599000000000006E-2</v>
      </c>
      <c r="AF10" s="123">
        <v>31</v>
      </c>
      <c r="AG10" s="129"/>
      <c r="AH10" s="126"/>
      <c r="AI10" s="130">
        <v>0.116897</v>
      </c>
      <c r="AJ10" s="123">
        <v>36</v>
      </c>
    </row>
    <row r="11" spans="1:36" x14ac:dyDescent="0.25">
      <c r="A11" s="120" t="s">
        <v>55</v>
      </c>
      <c r="B11" s="131"/>
      <c r="C11" s="132"/>
      <c r="D11" s="132"/>
      <c r="E11" s="132">
        <v>44</v>
      </c>
      <c r="F11" s="132">
        <v>-2</v>
      </c>
      <c r="G11" s="123"/>
      <c r="H11" s="131"/>
      <c r="I11" s="132"/>
      <c r="J11" s="132"/>
      <c r="K11" s="124">
        <v>11</v>
      </c>
      <c r="L11" s="131"/>
      <c r="M11" s="126"/>
      <c r="N11" s="123"/>
      <c r="O11" s="131">
        <v>-5</v>
      </c>
      <c r="P11" s="126"/>
      <c r="Q11" s="123"/>
      <c r="R11" s="131"/>
      <c r="S11" s="126"/>
      <c r="T11" s="123"/>
      <c r="U11" s="124"/>
      <c r="V11" s="126"/>
      <c r="W11" s="127"/>
      <c r="X11" s="126"/>
      <c r="Y11" s="128">
        <v>3.9445000000000001E-2</v>
      </c>
      <c r="Z11" s="123">
        <v>23</v>
      </c>
      <c r="AA11" s="127"/>
      <c r="AB11" s="126"/>
      <c r="AC11" s="128">
        <v>5.7153000000000002E-2</v>
      </c>
      <c r="AD11" s="123">
        <v>32</v>
      </c>
      <c r="AE11" s="128">
        <v>7.3256000000000002E-2</v>
      </c>
      <c r="AF11" s="123">
        <v>39</v>
      </c>
      <c r="AG11" s="129"/>
      <c r="AH11" s="126"/>
      <c r="AI11" s="130">
        <v>7.1805999999999995E-2</v>
      </c>
      <c r="AJ11" s="123">
        <v>35</v>
      </c>
    </row>
    <row r="12" spans="1:36" x14ac:dyDescent="0.25">
      <c r="A12" s="120" t="s">
        <v>56</v>
      </c>
      <c r="B12" s="131"/>
      <c r="C12" s="132"/>
      <c r="D12" s="132"/>
      <c r="E12" s="132">
        <v>31</v>
      </c>
      <c r="F12" s="132">
        <v>-22</v>
      </c>
      <c r="G12" s="123"/>
      <c r="H12" s="131"/>
      <c r="I12" s="132"/>
      <c r="J12" s="132"/>
      <c r="K12" s="124">
        <v>30</v>
      </c>
      <c r="L12" s="131"/>
      <c r="M12" s="126"/>
      <c r="N12" s="123"/>
      <c r="O12" s="131"/>
      <c r="P12" s="126"/>
      <c r="Q12" s="123"/>
      <c r="R12" s="131"/>
      <c r="S12" s="126"/>
      <c r="T12" s="123"/>
      <c r="U12" s="124"/>
      <c r="V12" s="126"/>
      <c r="W12" s="127"/>
      <c r="X12" s="126"/>
      <c r="Y12" s="128">
        <v>6.9393999999999997E-2</v>
      </c>
      <c r="Z12" s="123">
        <v>42</v>
      </c>
      <c r="AA12" s="127"/>
      <c r="AB12" s="126"/>
      <c r="AC12" s="128">
        <v>7.0884000000000003E-2</v>
      </c>
      <c r="AD12" s="123">
        <v>43</v>
      </c>
      <c r="AE12" s="128">
        <v>8.1798999999999997E-2</v>
      </c>
      <c r="AF12" s="123">
        <v>53</v>
      </c>
      <c r="AG12" s="129"/>
      <c r="AH12" s="126"/>
      <c r="AI12" s="130">
        <v>7.9423999999999995E-2</v>
      </c>
      <c r="AJ12" s="123">
        <v>49</v>
      </c>
    </row>
    <row r="13" spans="1:36" x14ac:dyDescent="0.25">
      <c r="A13" s="120" t="s">
        <v>57</v>
      </c>
      <c r="B13" s="131"/>
      <c r="C13" s="132"/>
      <c r="D13" s="132"/>
      <c r="E13" s="132">
        <v>329</v>
      </c>
      <c r="F13" s="132">
        <v>6</v>
      </c>
      <c r="G13" s="123">
        <v>-9</v>
      </c>
      <c r="H13" s="131"/>
      <c r="I13" s="132"/>
      <c r="J13" s="132"/>
      <c r="K13" s="124">
        <v>159</v>
      </c>
      <c r="L13" s="131"/>
      <c r="M13" s="126"/>
      <c r="N13" s="123"/>
      <c r="O13" s="131"/>
      <c r="P13" s="126"/>
      <c r="Q13" s="123"/>
      <c r="R13" s="131">
        <v>206</v>
      </c>
      <c r="S13" s="126">
        <v>4</v>
      </c>
      <c r="T13" s="123">
        <v>5</v>
      </c>
      <c r="U13" s="124"/>
      <c r="V13" s="126"/>
      <c r="W13" s="127"/>
      <c r="X13" s="126"/>
      <c r="Y13" s="128"/>
      <c r="Z13" s="123"/>
      <c r="AA13" s="127"/>
      <c r="AB13" s="126"/>
      <c r="AC13" s="128"/>
      <c r="AD13" s="123"/>
      <c r="AE13" s="128"/>
      <c r="AF13" s="123"/>
      <c r="AG13" s="129"/>
      <c r="AH13" s="126"/>
      <c r="AI13" s="130">
        <v>0.120447</v>
      </c>
      <c r="AJ13" s="123">
        <v>393</v>
      </c>
    </row>
    <row r="14" spans="1:36" x14ac:dyDescent="0.25">
      <c r="A14" s="120" t="s">
        <v>58</v>
      </c>
      <c r="B14" s="131"/>
      <c r="C14" s="132"/>
      <c r="D14" s="132"/>
      <c r="E14" s="132">
        <v>1</v>
      </c>
      <c r="F14" s="132">
        <v>14</v>
      </c>
      <c r="G14" s="123"/>
      <c r="H14" s="131"/>
      <c r="I14" s="132"/>
      <c r="J14" s="132"/>
      <c r="K14" s="124">
        <v>23</v>
      </c>
      <c r="L14" s="131"/>
      <c r="M14" s="126"/>
      <c r="N14" s="123"/>
      <c r="O14" s="131"/>
      <c r="P14" s="126">
        <v>-2</v>
      </c>
      <c r="Q14" s="123"/>
      <c r="R14" s="131"/>
      <c r="S14" s="126"/>
      <c r="T14" s="123"/>
      <c r="U14" s="124"/>
      <c r="V14" s="126"/>
      <c r="W14" s="127"/>
      <c r="X14" s="126"/>
      <c r="Y14" s="128">
        <v>2.7895E-2</v>
      </c>
      <c r="Z14" s="123">
        <v>25</v>
      </c>
      <c r="AA14" s="127"/>
      <c r="AB14" s="126"/>
      <c r="AC14" s="128">
        <v>8.3951999999999999E-2</v>
      </c>
      <c r="AD14" s="123">
        <v>76</v>
      </c>
      <c r="AE14" s="128">
        <v>7.3362999999999998E-2</v>
      </c>
      <c r="AF14" s="123">
        <v>65</v>
      </c>
      <c r="AG14" s="129"/>
      <c r="AH14" s="126"/>
      <c r="AI14" s="130">
        <v>7.2194999999999995E-2</v>
      </c>
      <c r="AJ14" s="123">
        <v>58</v>
      </c>
    </row>
    <row r="15" spans="1:36" x14ac:dyDescent="0.25">
      <c r="A15" s="120" t="s">
        <v>59</v>
      </c>
      <c r="B15" s="131"/>
      <c r="C15" s="132"/>
      <c r="D15" s="132"/>
      <c r="E15" s="132">
        <v>5</v>
      </c>
      <c r="F15" s="132">
        <v>-5</v>
      </c>
      <c r="G15" s="123"/>
      <c r="H15" s="131"/>
      <c r="I15" s="132"/>
      <c r="J15" s="132"/>
      <c r="K15" s="124">
        <v>19</v>
      </c>
      <c r="L15" s="131"/>
      <c r="M15" s="126"/>
      <c r="N15" s="123"/>
      <c r="O15" s="133">
        <v>1</v>
      </c>
      <c r="P15" s="126"/>
      <c r="Q15" s="123"/>
      <c r="R15" s="131"/>
      <c r="S15" s="126"/>
      <c r="T15" s="123"/>
      <c r="U15" s="124"/>
      <c r="V15" s="126"/>
      <c r="W15" s="127"/>
      <c r="X15" s="126"/>
      <c r="Y15" s="128">
        <v>-2.1322000000000001E-2</v>
      </c>
      <c r="Z15" s="123">
        <v>-15</v>
      </c>
      <c r="AA15" s="127"/>
      <c r="AB15" s="126"/>
      <c r="AC15" s="128">
        <v>9.4323000000000004E-2</v>
      </c>
      <c r="AD15" s="123">
        <v>68</v>
      </c>
      <c r="AE15" s="128">
        <v>8.1379000000000007E-2</v>
      </c>
      <c r="AF15" s="123">
        <v>61</v>
      </c>
      <c r="AG15" s="129"/>
      <c r="AH15" s="126"/>
      <c r="AI15" s="130">
        <v>6.6642999999999994E-2</v>
      </c>
      <c r="AJ15" s="123">
        <v>47</v>
      </c>
    </row>
    <row r="16" spans="1:36" x14ac:dyDescent="0.25">
      <c r="A16" s="120" t="s">
        <v>65</v>
      </c>
      <c r="B16" s="131"/>
      <c r="C16" s="132"/>
      <c r="D16" s="132"/>
      <c r="E16" s="132">
        <v>-246</v>
      </c>
      <c r="F16" s="132">
        <v>77</v>
      </c>
      <c r="G16" s="123">
        <v>-17</v>
      </c>
      <c r="H16" s="131"/>
      <c r="I16" s="132"/>
      <c r="J16" s="132"/>
      <c r="K16" s="124">
        <v>95</v>
      </c>
      <c r="L16" s="131"/>
      <c r="M16" s="126"/>
      <c r="N16" s="123"/>
      <c r="O16" s="131"/>
      <c r="P16" s="126"/>
      <c r="Q16" s="123"/>
      <c r="R16" s="131">
        <v>105</v>
      </c>
      <c r="S16" s="126">
        <v>17</v>
      </c>
      <c r="T16" s="123">
        <v>-13</v>
      </c>
      <c r="U16" s="124"/>
      <c r="V16" s="126"/>
      <c r="W16" s="127"/>
      <c r="X16" s="126"/>
      <c r="Y16" s="128"/>
      <c r="Z16" s="123"/>
      <c r="AA16" s="127"/>
      <c r="AB16" s="126"/>
      <c r="AC16" s="128"/>
      <c r="AD16" s="123"/>
      <c r="AE16" s="128"/>
      <c r="AF16" s="123"/>
      <c r="AG16" s="129"/>
      <c r="AH16" s="126"/>
      <c r="AI16" s="130">
        <v>9.5615000000000006E-2</v>
      </c>
      <c r="AJ16" s="123">
        <v>330</v>
      </c>
    </row>
    <row r="17" spans="1:36" x14ac:dyDescent="0.25">
      <c r="A17" s="120" t="s">
        <v>66</v>
      </c>
      <c r="B17" s="131"/>
      <c r="C17" s="132"/>
      <c r="D17" s="132"/>
      <c r="E17" s="132">
        <v>-111</v>
      </c>
      <c r="F17" s="132">
        <v>-60</v>
      </c>
      <c r="G17" s="123">
        <v>1</v>
      </c>
      <c r="H17" s="131"/>
      <c r="I17" s="132"/>
      <c r="J17" s="132"/>
      <c r="K17" s="124">
        <v>57</v>
      </c>
      <c r="L17" s="131"/>
      <c r="M17" s="126"/>
      <c r="N17" s="123"/>
      <c r="O17" s="131">
        <v>38</v>
      </c>
      <c r="P17" s="126">
        <v>-5</v>
      </c>
      <c r="Q17" s="123"/>
      <c r="R17" s="131"/>
      <c r="S17" s="126"/>
      <c r="T17" s="123"/>
      <c r="U17" s="124"/>
      <c r="V17" s="126"/>
      <c r="W17" s="127"/>
      <c r="X17" s="126"/>
      <c r="Y17" s="128">
        <v>7.8757999999999995E-2</v>
      </c>
      <c r="Z17" s="123">
        <v>86</v>
      </c>
      <c r="AA17" s="127"/>
      <c r="AB17" s="126"/>
      <c r="AC17" s="128">
        <v>8.3319000000000004E-2</v>
      </c>
      <c r="AD17" s="123">
        <v>109</v>
      </c>
      <c r="AE17" s="128">
        <v>9.4717999999999997E-2</v>
      </c>
      <c r="AF17" s="123">
        <v>144</v>
      </c>
      <c r="AG17" s="129"/>
      <c r="AH17" s="126"/>
      <c r="AI17" s="130">
        <v>9.5130000000000006E-2</v>
      </c>
      <c r="AJ17" s="123">
        <v>132</v>
      </c>
    </row>
    <row r="18" spans="1:36" x14ac:dyDescent="0.25">
      <c r="A18" s="120" t="s">
        <v>68</v>
      </c>
      <c r="B18" s="131"/>
      <c r="C18" s="132"/>
      <c r="D18" s="132"/>
      <c r="E18" s="132">
        <v>41</v>
      </c>
      <c r="F18" s="132">
        <v>-4</v>
      </c>
      <c r="G18" s="123"/>
      <c r="H18" s="131"/>
      <c r="I18" s="132"/>
      <c r="J18" s="132"/>
      <c r="K18" s="124">
        <v>42</v>
      </c>
      <c r="L18" s="131"/>
      <c r="M18" s="126"/>
      <c r="N18" s="123"/>
      <c r="O18" s="131">
        <v>42</v>
      </c>
      <c r="P18" s="126">
        <v>-4</v>
      </c>
      <c r="Q18" s="123"/>
      <c r="R18" s="131"/>
      <c r="S18" s="126"/>
      <c r="T18" s="123"/>
      <c r="U18" s="124"/>
      <c r="V18" s="126"/>
      <c r="W18" s="127"/>
      <c r="X18" s="126"/>
      <c r="Y18" s="128">
        <v>2.9489999999999998E-3</v>
      </c>
      <c r="Z18" s="123">
        <v>4</v>
      </c>
      <c r="AA18" s="127"/>
      <c r="AB18" s="126"/>
      <c r="AC18" s="128">
        <v>5.0229000000000003E-2</v>
      </c>
      <c r="AD18" s="123">
        <v>74</v>
      </c>
      <c r="AE18" s="128">
        <v>8.2847000000000004E-2</v>
      </c>
      <c r="AF18" s="123">
        <v>120</v>
      </c>
      <c r="AG18" s="129"/>
      <c r="AH18" s="126"/>
      <c r="AI18" s="130">
        <v>8.6703000000000002E-2</v>
      </c>
      <c r="AJ18" s="123">
        <v>110</v>
      </c>
    </row>
    <row r="19" spans="1:36" x14ac:dyDescent="0.25">
      <c r="A19" s="120" t="s">
        <v>71</v>
      </c>
      <c r="B19" s="131"/>
      <c r="C19" s="132"/>
      <c r="D19" s="132"/>
      <c r="E19" s="132">
        <v>-101</v>
      </c>
      <c r="F19" s="132">
        <v>-18</v>
      </c>
      <c r="G19" s="123">
        <v>-2</v>
      </c>
      <c r="H19" s="131"/>
      <c r="I19" s="132"/>
      <c r="J19" s="132"/>
      <c r="K19" s="124">
        <v>88</v>
      </c>
      <c r="L19" s="131"/>
      <c r="M19" s="126"/>
      <c r="N19" s="123"/>
      <c r="O19" s="131"/>
      <c r="P19" s="126"/>
      <c r="Q19" s="123"/>
      <c r="R19" s="131">
        <v>-52</v>
      </c>
      <c r="S19" s="126">
        <v>9</v>
      </c>
      <c r="T19" s="123"/>
      <c r="U19" s="124"/>
      <c r="V19" s="126"/>
      <c r="W19" s="127"/>
      <c r="X19" s="126"/>
      <c r="Y19" s="128"/>
      <c r="Z19" s="123"/>
      <c r="AA19" s="127"/>
      <c r="AB19" s="126"/>
      <c r="AC19" s="128"/>
      <c r="AD19" s="123"/>
      <c r="AE19" s="128"/>
      <c r="AF19" s="123"/>
      <c r="AG19" s="129"/>
      <c r="AH19" s="126"/>
      <c r="AI19" s="130">
        <v>7.4055999999999997E-2</v>
      </c>
      <c r="AJ19" s="123">
        <v>220</v>
      </c>
    </row>
    <row r="20" spans="1:36" x14ac:dyDescent="0.25">
      <c r="A20" s="120" t="s">
        <v>72</v>
      </c>
      <c r="B20" s="131"/>
      <c r="C20" s="132"/>
      <c r="D20" s="132"/>
      <c r="E20" s="132">
        <v>123</v>
      </c>
      <c r="F20" s="132">
        <v>72</v>
      </c>
      <c r="G20" s="123">
        <v>38</v>
      </c>
      <c r="H20" s="131"/>
      <c r="I20" s="132"/>
      <c r="J20" s="132"/>
      <c r="K20" s="124">
        <v>169</v>
      </c>
      <c r="L20" s="131"/>
      <c r="M20" s="126"/>
      <c r="N20" s="123"/>
      <c r="O20" s="131">
        <v>8</v>
      </c>
      <c r="P20" s="126">
        <v>3</v>
      </c>
      <c r="Q20" s="123">
        <v>1</v>
      </c>
      <c r="R20" s="131"/>
      <c r="S20" s="126"/>
      <c r="T20" s="123"/>
      <c r="U20" s="124"/>
      <c r="V20" s="126"/>
      <c r="W20" s="127"/>
      <c r="X20" s="126"/>
      <c r="Y20" s="128">
        <v>-2.9047E-2</v>
      </c>
      <c r="Z20" s="123">
        <v>-59</v>
      </c>
      <c r="AA20" s="127"/>
      <c r="AB20" s="126"/>
      <c r="AC20" s="128">
        <v>2.1323000000000002E-2</v>
      </c>
      <c r="AD20" s="123">
        <v>47</v>
      </c>
      <c r="AE20" s="128">
        <v>5.2096999999999997E-2</v>
      </c>
      <c r="AF20" s="123">
        <v>118</v>
      </c>
      <c r="AG20" s="129"/>
      <c r="AH20" s="126"/>
      <c r="AI20" s="130">
        <v>5.6846000000000001E-2</v>
      </c>
      <c r="AJ20" s="123">
        <v>132</v>
      </c>
    </row>
    <row r="21" spans="1:36" x14ac:dyDescent="0.25">
      <c r="A21" s="120" t="s">
        <v>73</v>
      </c>
      <c r="B21" s="131"/>
      <c r="C21" s="132"/>
      <c r="D21" s="132"/>
      <c r="E21" s="132">
        <v>6</v>
      </c>
      <c r="F21" s="132">
        <v>67</v>
      </c>
      <c r="G21" s="123">
        <v>-4</v>
      </c>
      <c r="H21" s="131"/>
      <c r="I21" s="132"/>
      <c r="J21" s="132"/>
      <c r="K21" s="124">
        <v>88</v>
      </c>
      <c r="L21" s="131"/>
      <c r="M21" s="126"/>
      <c r="N21" s="123"/>
      <c r="O21" s="131">
        <v>20</v>
      </c>
      <c r="P21" s="126">
        <v>2</v>
      </c>
      <c r="Q21" s="123"/>
      <c r="R21" s="131"/>
      <c r="S21" s="126"/>
      <c r="T21" s="123"/>
      <c r="U21" s="124"/>
      <c r="V21" s="126"/>
      <c r="W21" s="127"/>
      <c r="X21" s="126"/>
      <c r="Y21" s="128">
        <v>-1.0964E-2</v>
      </c>
      <c r="Z21" s="123">
        <v>-16</v>
      </c>
      <c r="AA21" s="127"/>
      <c r="AB21" s="126"/>
      <c r="AC21" s="128">
        <v>4.8982999999999999E-2</v>
      </c>
      <c r="AD21" s="123">
        <v>73</v>
      </c>
      <c r="AE21" s="128">
        <v>8.7898000000000004E-2</v>
      </c>
      <c r="AF21" s="123">
        <v>130</v>
      </c>
      <c r="AG21" s="129"/>
      <c r="AH21" s="126"/>
      <c r="AI21" s="130">
        <v>0.13682800000000001</v>
      </c>
      <c r="AJ21" s="123">
        <v>177</v>
      </c>
    </row>
    <row r="22" spans="1:36" x14ac:dyDescent="0.25">
      <c r="A22" s="120" t="s">
        <v>74</v>
      </c>
      <c r="B22" s="131">
        <v>32</v>
      </c>
      <c r="C22" s="132">
        <v>228</v>
      </c>
      <c r="D22" s="132">
        <v>13</v>
      </c>
      <c r="E22" s="132">
        <v>29</v>
      </c>
      <c r="F22" s="132"/>
      <c r="G22" s="123"/>
      <c r="H22" s="131"/>
      <c r="I22" s="132">
        <v>120</v>
      </c>
      <c r="J22" s="132">
        <v>48</v>
      </c>
      <c r="K22" s="124">
        <v>17</v>
      </c>
      <c r="L22" s="131">
        <v>26</v>
      </c>
      <c r="M22" s="126">
        <v>40</v>
      </c>
      <c r="N22" s="123">
        <v>61</v>
      </c>
      <c r="O22" s="131"/>
      <c r="P22" s="126"/>
      <c r="Q22" s="123"/>
      <c r="R22" s="131"/>
      <c r="S22" s="126"/>
      <c r="T22" s="123"/>
      <c r="U22" s="130">
        <v>-7.0646E-2</v>
      </c>
      <c r="V22" s="126">
        <v>-141</v>
      </c>
      <c r="W22" s="129">
        <v>-2.1253000000000001E-2</v>
      </c>
      <c r="X22" s="126">
        <v>-45</v>
      </c>
      <c r="Y22" s="128"/>
      <c r="Z22" s="123"/>
      <c r="AA22" s="129">
        <v>1.1478E-2</v>
      </c>
      <c r="AB22" s="126">
        <v>27</v>
      </c>
      <c r="AC22" s="128"/>
      <c r="AD22" s="123"/>
      <c r="AE22" s="128"/>
      <c r="AF22" s="123"/>
      <c r="AG22" s="129">
        <v>5.2810000000000003E-2</v>
      </c>
      <c r="AH22" s="126">
        <v>87</v>
      </c>
      <c r="AI22" s="130">
        <v>0.118594</v>
      </c>
      <c r="AJ22" s="123">
        <v>16</v>
      </c>
    </row>
    <row r="23" spans="1:36" ht="15.75" customHeight="1" thickBot="1" x14ac:dyDescent="0.3">
      <c r="A23" s="134" t="s">
        <v>75</v>
      </c>
      <c r="B23" s="135">
        <v>1050</v>
      </c>
      <c r="C23" s="136">
        <v>3249</v>
      </c>
      <c r="D23" s="136">
        <v>-701</v>
      </c>
      <c r="E23" s="136"/>
      <c r="F23" s="136"/>
      <c r="G23" s="137"/>
      <c r="H23" s="135">
        <v>143</v>
      </c>
      <c r="I23" s="136">
        <v>1017</v>
      </c>
      <c r="J23" s="136">
        <v>161</v>
      </c>
      <c r="K23" s="138"/>
      <c r="L23" s="135">
        <v>295</v>
      </c>
      <c r="M23" s="139">
        <v>685</v>
      </c>
      <c r="N23" s="137">
        <v>-169</v>
      </c>
      <c r="O23" s="135"/>
      <c r="P23" s="139"/>
      <c r="Q23" s="137"/>
      <c r="R23" s="135"/>
      <c r="S23" s="139"/>
      <c r="T23" s="137"/>
      <c r="U23" s="140">
        <v>7.0899999999999999E-3</v>
      </c>
      <c r="V23" s="139">
        <v>86</v>
      </c>
      <c r="W23" s="141">
        <v>3.0224999999999998E-2</v>
      </c>
      <c r="X23" s="139">
        <v>383</v>
      </c>
      <c r="Y23" s="142"/>
      <c r="Z23" s="137"/>
      <c r="AA23" s="141">
        <v>1.5606E-2</v>
      </c>
      <c r="AB23" s="139">
        <v>215</v>
      </c>
      <c r="AC23" s="142"/>
      <c r="AD23" s="137"/>
      <c r="AE23" s="142"/>
      <c r="AF23" s="137"/>
      <c r="AG23" s="141">
        <v>4.6869000000000001E-2</v>
      </c>
      <c r="AH23" s="139">
        <v>276</v>
      </c>
      <c r="AI23" s="140"/>
      <c r="AJ23" s="137"/>
    </row>
    <row r="26" spans="1:36" x14ac:dyDescent="0.25">
      <c r="A26" s="143" t="s">
        <v>112</v>
      </c>
    </row>
    <row r="27" spans="1:36" x14ac:dyDescent="0.25">
      <c r="A27" s="1" t="s">
        <v>113</v>
      </c>
    </row>
    <row r="28" spans="1:36" x14ac:dyDescent="0.25">
      <c r="A28" s="1" t="s">
        <v>114</v>
      </c>
    </row>
    <row r="29" spans="1:36" x14ac:dyDescent="0.25">
      <c r="A29" s="1" t="s">
        <v>115</v>
      </c>
    </row>
    <row r="30" spans="1:36" x14ac:dyDescent="0.25">
      <c r="A30" s="1" t="s">
        <v>116</v>
      </c>
    </row>
  </sheetData>
  <mergeCells count="20">
    <mergeCell ref="A5:A8"/>
    <mergeCell ref="H5:K5"/>
    <mergeCell ref="D7:E7"/>
    <mergeCell ref="B5:G6"/>
    <mergeCell ref="H6:K6"/>
    <mergeCell ref="H7:K7"/>
    <mergeCell ref="AA8:AB8"/>
    <mergeCell ref="AC8:AD8"/>
    <mergeCell ref="AG7:AJ7"/>
    <mergeCell ref="L7:T7"/>
    <mergeCell ref="AG5:AJ6"/>
    <mergeCell ref="AG8:AH8"/>
    <mergeCell ref="AI8:AJ8"/>
    <mergeCell ref="AE8:AF8"/>
    <mergeCell ref="U7:AF7"/>
    <mergeCell ref="U5:AF6"/>
    <mergeCell ref="U8:V8"/>
    <mergeCell ref="L5:T6"/>
    <mergeCell ref="W8:X8"/>
    <mergeCell ref="Y8:Z8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20" max="20" man="1"/>
    <brk id="20" max="16384" man="1"/>
    <brk id="20" max="16384" man="1"/>
    <brk id="20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S46"/>
  <sheetViews>
    <sheetView zoomScale="80" zoomScaleNormal="80" workbookViewId="0">
      <selection activeCell="F1" sqref="F1:H1048576"/>
    </sheetView>
  </sheetViews>
  <sheetFormatPr defaultColWidth="18.7109375" defaultRowHeight="15" x14ac:dyDescent="0.25"/>
  <cols>
    <col min="1" max="2" width="18.7109375" style="1" bestFit="1" customWidth="1"/>
    <col min="3" max="4" width="18.7109375" style="15" customWidth="1"/>
    <col min="5" max="5" width="18.7109375" style="16" customWidth="1"/>
    <col min="6" max="7" width="18.7109375" style="15" hidden="1" customWidth="1"/>
    <col min="8" max="8" width="18.7109375" style="16" hidden="1" customWidth="1"/>
    <col min="9" max="10" width="18.7109375" style="15" customWidth="1"/>
    <col min="11" max="11" width="18.7109375" style="147" customWidth="1"/>
    <col min="12" max="19" width="18.7109375" style="1" customWidth="1"/>
  </cols>
  <sheetData>
    <row r="1" spans="1:11" ht="15.75" customHeight="1" x14ac:dyDescent="0.25">
      <c r="A1" s="14" t="s">
        <v>117</v>
      </c>
      <c r="B1" s="14"/>
      <c r="C1" s="145"/>
      <c r="D1" s="145"/>
      <c r="E1" s="146"/>
    </row>
    <row r="2" spans="1:11" ht="15.75" customHeight="1" x14ac:dyDescent="0.25">
      <c r="A2" s="17" t="s">
        <v>31</v>
      </c>
    </row>
    <row r="3" spans="1:11" ht="15.75" customHeight="1" x14ac:dyDescent="0.25">
      <c r="A3" s="17"/>
    </row>
    <row r="4" spans="1:11" x14ac:dyDescent="0.25">
      <c r="A4" s="18" t="s">
        <v>118</v>
      </c>
    </row>
    <row r="5" spans="1:11" ht="15.75" customHeight="1" thickBot="1" x14ac:dyDescent="0.3">
      <c r="A5" s="18"/>
    </row>
    <row r="6" spans="1:11" x14ac:dyDescent="0.25">
      <c r="A6" s="396"/>
      <c r="B6" s="482" t="s">
        <v>119</v>
      </c>
      <c r="C6" s="466" t="s">
        <v>120</v>
      </c>
      <c r="D6" s="467"/>
      <c r="E6" s="468"/>
      <c r="F6" s="476" t="s">
        <v>3</v>
      </c>
      <c r="G6" s="477"/>
      <c r="H6" s="478"/>
      <c r="I6" s="477" t="s">
        <v>4</v>
      </c>
      <c r="J6" s="477"/>
      <c r="K6" s="478"/>
    </row>
    <row r="7" spans="1:11" x14ac:dyDescent="0.25">
      <c r="A7" s="443"/>
      <c r="B7" s="483"/>
      <c r="C7" s="472" t="s">
        <v>90</v>
      </c>
      <c r="D7" s="474" t="s">
        <v>121</v>
      </c>
      <c r="E7" s="485" t="s">
        <v>122</v>
      </c>
      <c r="F7" s="469" t="s">
        <v>123</v>
      </c>
      <c r="G7" s="470"/>
      <c r="H7" s="471"/>
      <c r="I7" s="469" t="s">
        <v>123</v>
      </c>
      <c r="J7" s="470"/>
      <c r="K7" s="471"/>
    </row>
    <row r="8" spans="1:11" ht="15.75" customHeight="1" thickBot="1" x14ac:dyDescent="0.3">
      <c r="A8" s="397"/>
      <c r="B8" s="484"/>
      <c r="C8" s="473"/>
      <c r="D8" s="475"/>
      <c r="E8" s="486"/>
      <c r="F8" s="479">
        <v>0.76066100000000003</v>
      </c>
      <c r="G8" s="480"/>
      <c r="H8" s="481"/>
      <c r="I8" s="479">
        <v>0.17905099999999999</v>
      </c>
      <c r="J8" s="480"/>
      <c r="K8" s="481"/>
    </row>
    <row r="9" spans="1:11" x14ac:dyDescent="0.25">
      <c r="A9" s="148" t="s">
        <v>83</v>
      </c>
      <c r="B9" s="149"/>
      <c r="C9" s="150"/>
      <c r="D9" s="151"/>
      <c r="E9" s="152"/>
      <c r="F9" s="153"/>
      <c r="G9" s="154"/>
      <c r="H9" s="155"/>
      <c r="I9" s="153"/>
      <c r="J9" s="154"/>
      <c r="K9" s="155"/>
    </row>
    <row r="10" spans="1:11" ht="15" customHeight="1" x14ac:dyDescent="0.25">
      <c r="A10" s="156" t="s">
        <v>92</v>
      </c>
      <c r="B10" s="157">
        <v>1082</v>
      </c>
      <c r="C10" s="70">
        <v>1875</v>
      </c>
      <c r="D10" s="158">
        <f t="shared" ref="D10:D15" si="0">B10*C10</f>
        <v>2028750</v>
      </c>
      <c r="E10" s="159">
        <f t="shared" ref="E10:E16" si="1">D10/C$46</f>
        <v>1.9330091766269878E-2</v>
      </c>
      <c r="F10" s="70">
        <f t="shared" ref="F10:F15" si="2">ROUND($C10-$C10*F$8, 0)</f>
        <v>449</v>
      </c>
      <c r="G10" s="158">
        <f t="shared" ref="G10:G15" si="3">$B10*F10</f>
        <v>485818</v>
      </c>
      <c r="H10" s="159">
        <f t="shared" ref="H10:H16" si="4">G10/F$46</f>
        <v>1.9341805776129879E-2</v>
      </c>
      <c r="I10" s="70">
        <f t="shared" ref="I10:I15" si="5">ROUND($C10-$C10*I$8, 0)</f>
        <v>1539</v>
      </c>
      <c r="J10" s="158">
        <f t="shared" ref="J10:J15" si="6">$B10*I10</f>
        <v>1665198</v>
      </c>
      <c r="K10" s="159">
        <f t="shared" ref="K10:K16" si="7">J10/I$46</f>
        <v>1.9327073259085264E-2</v>
      </c>
    </row>
    <row r="11" spans="1:11" ht="15" customHeight="1" x14ac:dyDescent="0.25">
      <c r="A11" s="156" t="s">
        <v>93</v>
      </c>
      <c r="B11" s="157">
        <v>3477</v>
      </c>
      <c r="C11" s="70">
        <v>2500</v>
      </c>
      <c r="D11" s="158">
        <f t="shared" si="0"/>
        <v>8692500</v>
      </c>
      <c r="E11" s="159">
        <f t="shared" si="1"/>
        <v>8.2822833113148933E-2</v>
      </c>
      <c r="F11" s="70">
        <f t="shared" si="2"/>
        <v>598</v>
      </c>
      <c r="G11" s="158">
        <f t="shared" si="3"/>
        <v>2079246</v>
      </c>
      <c r="H11" s="159">
        <f t="shared" si="4"/>
        <v>8.2780737421822459E-2</v>
      </c>
      <c r="I11" s="70">
        <f t="shared" si="5"/>
        <v>2052</v>
      </c>
      <c r="J11" s="158">
        <f t="shared" si="6"/>
        <v>7134804</v>
      </c>
      <c r="K11" s="159">
        <f t="shared" si="7"/>
        <v>8.2809899842069587E-2</v>
      </c>
    </row>
    <row r="12" spans="1:11" x14ac:dyDescent="0.25">
      <c r="A12" s="156" t="s">
        <v>94</v>
      </c>
      <c r="B12" s="157">
        <v>13</v>
      </c>
      <c r="C12" s="70">
        <v>5000</v>
      </c>
      <c r="D12" s="158">
        <f t="shared" si="0"/>
        <v>65000</v>
      </c>
      <c r="E12" s="159">
        <f t="shared" si="1"/>
        <v>6.1932518289958946E-4</v>
      </c>
      <c r="F12" s="70">
        <f t="shared" si="2"/>
        <v>1197</v>
      </c>
      <c r="G12" s="158">
        <f t="shared" si="3"/>
        <v>15561</v>
      </c>
      <c r="H12" s="159">
        <f t="shared" si="4"/>
        <v>6.1952797072639763E-4</v>
      </c>
      <c r="I12" s="70">
        <f t="shared" si="5"/>
        <v>4105</v>
      </c>
      <c r="J12" s="158">
        <f t="shared" si="6"/>
        <v>53365</v>
      </c>
      <c r="K12" s="159">
        <f t="shared" si="7"/>
        <v>6.193793557709564E-4</v>
      </c>
    </row>
    <row r="13" spans="1:11" x14ac:dyDescent="0.25">
      <c r="A13" s="156" t="s">
        <v>95</v>
      </c>
      <c r="B13" s="157">
        <v>685</v>
      </c>
      <c r="C13" s="70">
        <v>10000</v>
      </c>
      <c r="D13" s="158">
        <f t="shared" si="0"/>
        <v>6850000</v>
      </c>
      <c r="E13" s="159">
        <f t="shared" si="1"/>
        <v>6.5267346197879814E-2</v>
      </c>
      <c r="F13" s="70">
        <f t="shared" si="2"/>
        <v>2393</v>
      </c>
      <c r="G13" s="158">
        <f t="shared" si="3"/>
        <v>1639205</v>
      </c>
      <c r="H13" s="159">
        <f t="shared" si="4"/>
        <v>6.5261445103435817E-2</v>
      </c>
      <c r="I13" s="70">
        <f t="shared" si="5"/>
        <v>8209</v>
      </c>
      <c r="J13" s="158">
        <f t="shared" si="6"/>
        <v>5623165</v>
      </c>
      <c r="K13" s="159">
        <f t="shared" si="7"/>
        <v>6.5265104752062028E-2</v>
      </c>
    </row>
    <row r="14" spans="1:11" x14ac:dyDescent="0.25">
      <c r="A14" s="156" t="s">
        <v>96</v>
      </c>
      <c r="B14" s="157">
        <v>288</v>
      </c>
      <c r="C14" s="70">
        <v>5000</v>
      </c>
      <c r="D14" s="158">
        <f t="shared" si="0"/>
        <v>1440000</v>
      </c>
      <c r="E14" s="159">
        <f t="shared" si="1"/>
        <v>1.3720434821160135E-2</v>
      </c>
      <c r="F14" s="70">
        <f t="shared" si="2"/>
        <v>1197</v>
      </c>
      <c r="G14" s="158">
        <f t="shared" si="3"/>
        <v>344736</v>
      </c>
      <c r="H14" s="159">
        <f t="shared" si="4"/>
        <v>1.3724927351477116E-2</v>
      </c>
      <c r="I14" s="70">
        <f t="shared" si="5"/>
        <v>4105</v>
      </c>
      <c r="J14" s="158">
        <f t="shared" si="6"/>
        <v>1182240</v>
      </c>
      <c r="K14" s="159">
        <f t="shared" si="7"/>
        <v>1.3721634958618112E-2</v>
      </c>
    </row>
    <row r="15" spans="1:11" ht="15.75" customHeight="1" thickBot="1" x14ac:dyDescent="0.3">
      <c r="A15" s="156" t="s">
        <v>97</v>
      </c>
      <c r="B15" s="157">
        <v>39</v>
      </c>
      <c r="C15" s="70">
        <v>2500</v>
      </c>
      <c r="D15" s="158">
        <f t="shared" si="0"/>
        <v>97500</v>
      </c>
      <c r="E15" s="159">
        <f t="shared" si="1"/>
        <v>9.2898777434938413E-4</v>
      </c>
      <c r="F15" s="70">
        <f t="shared" si="2"/>
        <v>598</v>
      </c>
      <c r="G15" s="158">
        <f t="shared" si="3"/>
        <v>23322</v>
      </c>
      <c r="H15" s="159">
        <f t="shared" si="4"/>
        <v>9.2851560524908716E-4</v>
      </c>
      <c r="I15" s="70">
        <f t="shared" si="5"/>
        <v>2052</v>
      </c>
      <c r="J15" s="158">
        <f t="shared" si="6"/>
        <v>80028</v>
      </c>
      <c r="K15" s="159">
        <f t="shared" si="7"/>
        <v>9.2884270746065964E-4</v>
      </c>
    </row>
    <row r="16" spans="1:11" ht="16.5" customHeight="1" thickTop="1" thickBot="1" x14ac:dyDescent="0.3">
      <c r="A16" s="160"/>
      <c r="B16" s="161"/>
      <c r="C16" s="162"/>
      <c r="D16" s="163">
        <f>SUM(D10:D15)</f>
        <v>19173750</v>
      </c>
      <c r="E16" s="164">
        <f t="shared" si="1"/>
        <v>0.18268901885570774</v>
      </c>
      <c r="F16" s="162"/>
      <c r="G16" s="163">
        <f>SUM(G10:G15)</f>
        <v>4587888</v>
      </c>
      <c r="H16" s="164">
        <f t="shared" si="4"/>
        <v>0.18265695922884076</v>
      </c>
      <c r="I16" s="162"/>
      <c r="J16" s="163">
        <f>SUM(J10:J15)</f>
        <v>15738800</v>
      </c>
      <c r="K16" s="164">
        <f t="shared" si="7"/>
        <v>0.18267193487506661</v>
      </c>
    </row>
    <row r="17" spans="1:11" x14ac:dyDescent="0.25">
      <c r="A17" s="165" t="s">
        <v>124</v>
      </c>
      <c r="B17" s="149"/>
      <c r="C17" s="150"/>
      <c r="D17" s="151"/>
      <c r="E17" s="166"/>
      <c r="F17" s="153"/>
      <c r="G17" s="154"/>
      <c r="H17" s="166"/>
      <c r="I17" s="153"/>
      <c r="J17" s="154"/>
      <c r="K17" s="166"/>
    </row>
    <row r="18" spans="1:11" x14ac:dyDescent="0.25">
      <c r="A18" s="167" t="s">
        <v>92</v>
      </c>
      <c r="B18" s="157">
        <v>143</v>
      </c>
      <c r="C18" s="70">
        <v>2344</v>
      </c>
      <c r="D18" s="158">
        <f>B18*C18</f>
        <v>335192</v>
      </c>
      <c r="E18" s="159">
        <f>D18/C$46</f>
        <v>3.1937361031766026E-3</v>
      </c>
      <c r="F18" s="70">
        <f>ROUND($C18-$C18*F$8, 0)</f>
        <v>561</v>
      </c>
      <c r="G18" s="158">
        <f>$B18*F18</f>
        <v>80223</v>
      </c>
      <c r="H18" s="159">
        <f>G18/F$46</f>
        <v>3.1939073578551376E-3</v>
      </c>
      <c r="I18" s="70">
        <f>ROUND($C18-$C18*I$8, 0)</f>
        <v>1924</v>
      </c>
      <c r="J18" s="158">
        <f>$B18*I18</f>
        <v>275132</v>
      </c>
      <c r="K18" s="159">
        <f>J18/I$46</f>
        <v>3.1933117382549384E-3</v>
      </c>
    </row>
    <row r="19" spans="1:11" x14ac:dyDescent="0.25">
      <c r="A19" s="167" t="s">
        <v>93</v>
      </c>
      <c r="B19" s="157">
        <v>1137</v>
      </c>
      <c r="C19" s="70">
        <v>3125</v>
      </c>
      <c r="D19" s="158">
        <f>B19*C19</f>
        <v>3553125</v>
      </c>
      <c r="E19" s="159">
        <f>D19/C$46</f>
        <v>3.3854458315232365E-2</v>
      </c>
      <c r="F19" s="70">
        <f>ROUND($C19-$C19*F$8, 0)</f>
        <v>748</v>
      </c>
      <c r="G19" s="158">
        <f>$B19*F19</f>
        <v>850476</v>
      </c>
      <c r="H19" s="159">
        <f>G19/F$46</f>
        <v>3.3859884996562159E-2</v>
      </c>
      <c r="I19" s="70">
        <f>ROUND($C19-$C19*I$8, 0)</f>
        <v>2565</v>
      </c>
      <c r="J19" s="158">
        <f>$B19*I19</f>
        <v>2916405</v>
      </c>
      <c r="K19" s="159">
        <f>J19/I$46</f>
        <v>3.3849171743037504E-2</v>
      </c>
    </row>
    <row r="20" spans="1:11" x14ac:dyDescent="0.25">
      <c r="A20" s="167" t="s">
        <v>94</v>
      </c>
      <c r="B20" s="157">
        <v>209</v>
      </c>
      <c r="C20" s="70">
        <v>6250</v>
      </c>
      <c r="D20" s="158">
        <f>B20*C20</f>
        <v>1306250</v>
      </c>
      <c r="E20" s="159">
        <f>D20/C$46</f>
        <v>1.2446054156347518E-2</v>
      </c>
      <c r="F20" s="70">
        <f>ROUND($C20-$C20*F$8, 0)</f>
        <v>1496</v>
      </c>
      <c r="G20" s="158">
        <f>$B20*F20</f>
        <v>312664</v>
      </c>
      <c r="H20" s="159">
        <f>G20/F$46</f>
        <v>1.2448049189589255E-2</v>
      </c>
      <c r="I20" s="70">
        <f>ROUND($C20-$C20*I$8, 0)</f>
        <v>5131</v>
      </c>
      <c r="J20" s="158">
        <f>$B20*I20</f>
        <v>1072379</v>
      </c>
      <c r="K20" s="159">
        <f>J20/I$46</f>
        <v>1.2446536384564836E-2</v>
      </c>
    </row>
    <row r="21" spans="1:11" ht="15.75" customHeight="1" thickBot="1" x14ac:dyDescent="0.3">
      <c r="A21" s="167" t="s">
        <v>95</v>
      </c>
      <c r="B21" s="157">
        <v>894</v>
      </c>
      <c r="C21" s="70">
        <v>12500</v>
      </c>
      <c r="D21" s="158">
        <f>B21*C21</f>
        <v>11175000</v>
      </c>
      <c r="E21" s="159">
        <f>D21/C$46</f>
        <v>0.10647629106004479</v>
      </c>
      <c r="F21" s="70">
        <f>ROUND($C21-$C21*F$8, 0)</f>
        <v>2992</v>
      </c>
      <c r="G21" s="158">
        <f>$B21*F21</f>
        <v>2674848</v>
      </c>
      <c r="H21" s="159">
        <f>G21/F$46</f>
        <v>0.10649335861715592</v>
      </c>
      <c r="I21" s="70">
        <f>ROUND($C21-$C21*I$8, 0)</f>
        <v>10262</v>
      </c>
      <c r="J21" s="158">
        <f>$B21*I21</f>
        <v>9174228</v>
      </c>
      <c r="K21" s="159">
        <f>J21/I$46</f>
        <v>0.10648041653398052</v>
      </c>
    </row>
    <row r="22" spans="1:11" ht="16.5" customHeight="1" thickTop="1" thickBot="1" x14ac:dyDescent="0.3">
      <c r="A22" s="168"/>
      <c r="B22" s="161"/>
      <c r="C22" s="162"/>
      <c r="D22" s="163">
        <f>SUM(D18:D21)</f>
        <v>16369567</v>
      </c>
      <c r="E22" s="164">
        <f>D22/C$46</f>
        <v>0.15597053963480129</v>
      </c>
      <c r="F22" s="162"/>
      <c r="G22" s="163">
        <f>SUM(G18:G21)</f>
        <v>3918211</v>
      </c>
      <c r="H22" s="164">
        <f>G22/F$46</f>
        <v>0.15599520016116247</v>
      </c>
      <c r="I22" s="162"/>
      <c r="J22" s="163">
        <f>SUM(J18:J21)</f>
        <v>13438144</v>
      </c>
      <c r="K22" s="164">
        <f>J22/I$46</f>
        <v>0.15596943639983779</v>
      </c>
    </row>
    <row r="23" spans="1:11" x14ac:dyDescent="0.25">
      <c r="A23" s="169" t="s">
        <v>85</v>
      </c>
      <c r="B23" s="149"/>
      <c r="C23" s="150"/>
      <c r="D23" s="151"/>
      <c r="E23" s="166"/>
      <c r="F23" s="153"/>
      <c r="G23" s="154"/>
      <c r="H23" s="166"/>
      <c r="I23" s="153"/>
      <c r="J23" s="154"/>
      <c r="K23" s="166"/>
    </row>
    <row r="24" spans="1:11" x14ac:dyDescent="0.25">
      <c r="A24" s="170" t="s">
        <v>92</v>
      </c>
      <c r="B24" s="157">
        <v>321</v>
      </c>
      <c r="C24" s="70">
        <v>1875</v>
      </c>
      <c r="D24" s="158">
        <f t="shared" ref="D24:D32" si="8">B24*C24</f>
        <v>601875</v>
      </c>
      <c r="E24" s="159">
        <f t="shared" ref="E24:E33" si="9">D24/C$46</f>
        <v>5.7347129916567752E-3</v>
      </c>
      <c r="F24" s="70">
        <f t="shared" ref="F24:F32" si="10">ROUND($C24-$C24*F$8, 0)</f>
        <v>449</v>
      </c>
      <c r="G24" s="158">
        <f t="shared" ref="G24:G32" si="11">$B24*F24</f>
        <v>144129</v>
      </c>
      <c r="H24" s="159">
        <f t="shared" ref="H24:H33" si="12">G24/F$46</f>
        <v>5.738188220090288E-3</v>
      </c>
      <c r="I24" s="70">
        <f t="shared" ref="I24:I32" si="13">ROUND($C24-$C24*I$8, 0)</f>
        <v>1539</v>
      </c>
      <c r="J24" s="158">
        <f t="shared" ref="J24:J32" si="14">$B24*I24</f>
        <v>494019</v>
      </c>
      <c r="K24" s="159">
        <f t="shared" ref="K24:K33" si="15">J24/I$46</f>
        <v>5.7338174825936877E-3</v>
      </c>
    </row>
    <row r="25" spans="1:11" x14ac:dyDescent="0.25">
      <c r="A25" s="170" t="s">
        <v>93</v>
      </c>
      <c r="B25" s="157">
        <v>725</v>
      </c>
      <c r="C25" s="70">
        <v>2500</v>
      </c>
      <c r="D25" s="158">
        <f t="shared" si="8"/>
        <v>1812500</v>
      </c>
      <c r="E25" s="159">
        <f t="shared" si="9"/>
        <v>1.7269644523161629E-2</v>
      </c>
      <c r="F25" s="70">
        <f t="shared" si="10"/>
        <v>598</v>
      </c>
      <c r="G25" s="158">
        <f t="shared" si="11"/>
        <v>433550</v>
      </c>
      <c r="H25" s="159">
        <f t="shared" si="12"/>
        <v>1.7260867020656108E-2</v>
      </c>
      <c r="I25" s="70">
        <f t="shared" si="13"/>
        <v>2052</v>
      </c>
      <c r="J25" s="158">
        <f t="shared" si="14"/>
        <v>1487700</v>
      </c>
      <c r="K25" s="159">
        <f t="shared" si="15"/>
        <v>1.7266947766896877E-2</v>
      </c>
    </row>
    <row r="26" spans="1:11" ht="15.75" customHeight="1" x14ac:dyDescent="0.25">
      <c r="A26" s="170" t="s">
        <v>94</v>
      </c>
      <c r="B26" s="157">
        <v>61</v>
      </c>
      <c r="C26" s="70">
        <v>5000</v>
      </c>
      <c r="D26" s="158">
        <f t="shared" si="8"/>
        <v>305000</v>
      </c>
      <c r="E26" s="159">
        <f t="shared" si="9"/>
        <v>2.9060643197596119E-3</v>
      </c>
      <c r="F26" s="70">
        <f t="shared" si="10"/>
        <v>1197</v>
      </c>
      <c r="G26" s="158">
        <f t="shared" si="11"/>
        <v>73017</v>
      </c>
      <c r="H26" s="159">
        <f t="shared" si="12"/>
        <v>2.9070158626392506E-3</v>
      </c>
      <c r="I26" s="70">
        <f t="shared" si="13"/>
        <v>4105</v>
      </c>
      <c r="J26" s="158">
        <f t="shared" si="14"/>
        <v>250405</v>
      </c>
      <c r="K26" s="159">
        <f t="shared" si="15"/>
        <v>2.9063185155406416E-3</v>
      </c>
    </row>
    <row r="27" spans="1:11" s="1" customFormat="1" ht="15.75" customHeight="1" x14ac:dyDescent="0.25">
      <c r="A27" s="170" t="s">
        <v>125</v>
      </c>
      <c r="B27" s="157">
        <v>115</v>
      </c>
      <c r="C27" s="70">
        <v>10000</v>
      </c>
      <c r="D27" s="158">
        <f t="shared" si="8"/>
        <v>1150000</v>
      </c>
      <c r="E27" s="159">
        <f t="shared" si="9"/>
        <v>1.0957291697454274E-2</v>
      </c>
      <c r="F27" s="70">
        <f t="shared" si="10"/>
        <v>2393</v>
      </c>
      <c r="G27" s="158">
        <f t="shared" si="11"/>
        <v>275195</v>
      </c>
      <c r="H27" s="159">
        <f t="shared" si="12"/>
        <v>1.0956301002766596E-2</v>
      </c>
      <c r="I27" s="70">
        <f t="shared" si="13"/>
        <v>8209</v>
      </c>
      <c r="J27" s="158">
        <f t="shared" si="14"/>
        <v>944035</v>
      </c>
      <c r="K27" s="159">
        <f t="shared" si="15"/>
        <v>1.0956915396331581E-2</v>
      </c>
    </row>
    <row r="28" spans="1:11" s="1" customFormat="1" ht="15.75" customHeight="1" x14ac:dyDescent="0.25">
      <c r="A28" s="170" t="s">
        <v>99</v>
      </c>
      <c r="B28" s="157">
        <v>5</v>
      </c>
      <c r="C28" s="70">
        <v>5000</v>
      </c>
      <c r="D28" s="158">
        <f t="shared" si="8"/>
        <v>25000</v>
      </c>
      <c r="E28" s="159">
        <f t="shared" si="9"/>
        <v>2.3820199342291902E-4</v>
      </c>
      <c r="F28" s="70">
        <f t="shared" si="10"/>
        <v>1197</v>
      </c>
      <c r="G28" s="158">
        <f t="shared" si="11"/>
        <v>5985</v>
      </c>
      <c r="H28" s="159">
        <f t="shared" si="12"/>
        <v>2.3827998874092216E-4</v>
      </c>
      <c r="I28" s="70">
        <f t="shared" si="13"/>
        <v>4105</v>
      </c>
      <c r="J28" s="158">
        <f t="shared" si="14"/>
        <v>20525</v>
      </c>
      <c r="K28" s="159">
        <f t="shared" si="15"/>
        <v>2.3822282914267556E-4</v>
      </c>
    </row>
    <row r="29" spans="1:11" s="1" customFormat="1" ht="15.75" customHeight="1" x14ac:dyDescent="0.25">
      <c r="A29" s="170" t="s">
        <v>100</v>
      </c>
      <c r="B29" s="157">
        <v>1</v>
      </c>
      <c r="C29" s="70">
        <v>2500</v>
      </c>
      <c r="D29" s="158">
        <f t="shared" si="8"/>
        <v>2500</v>
      </c>
      <c r="E29" s="159">
        <f t="shared" si="9"/>
        <v>2.3820199342291899E-5</v>
      </c>
      <c r="F29" s="70">
        <f t="shared" si="10"/>
        <v>598</v>
      </c>
      <c r="G29" s="158">
        <f t="shared" si="11"/>
        <v>598</v>
      </c>
      <c r="H29" s="159">
        <f t="shared" si="12"/>
        <v>2.3808092442284286E-5</v>
      </c>
      <c r="I29" s="70">
        <f t="shared" si="13"/>
        <v>2052</v>
      </c>
      <c r="J29" s="158">
        <f t="shared" si="14"/>
        <v>2052</v>
      </c>
      <c r="K29" s="159">
        <f t="shared" si="15"/>
        <v>2.3816479678478453E-5</v>
      </c>
    </row>
    <row r="30" spans="1:11" s="1" customFormat="1" ht="15.75" customHeight="1" x14ac:dyDescent="0.25">
      <c r="A30" s="171" t="s">
        <v>101</v>
      </c>
      <c r="B30" s="157">
        <v>319</v>
      </c>
      <c r="C30" s="70">
        <v>25000</v>
      </c>
      <c r="D30" s="158">
        <f t="shared" si="8"/>
        <v>7975000</v>
      </c>
      <c r="E30" s="159">
        <f t="shared" si="9"/>
        <v>7.5986435901911162E-2</v>
      </c>
      <c r="F30" s="70">
        <f t="shared" si="10"/>
        <v>5983</v>
      </c>
      <c r="G30" s="158">
        <f t="shared" si="11"/>
        <v>1908577</v>
      </c>
      <c r="H30" s="159">
        <f t="shared" si="12"/>
        <v>7.5985915801367251E-2</v>
      </c>
      <c r="I30" s="70">
        <f t="shared" si="13"/>
        <v>20524</v>
      </c>
      <c r="J30" s="158">
        <f t="shared" si="14"/>
        <v>6547156</v>
      </c>
      <c r="K30" s="159">
        <f t="shared" si="15"/>
        <v>7.5989380032080056E-2</v>
      </c>
    </row>
    <row r="31" spans="1:11" s="1" customFormat="1" ht="15.75" customHeight="1" x14ac:dyDescent="0.25">
      <c r="A31" s="171" t="s">
        <v>102</v>
      </c>
      <c r="B31" s="157">
        <v>34</v>
      </c>
      <c r="C31" s="70">
        <v>12500</v>
      </c>
      <c r="D31" s="158">
        <f t="shared" si="8"/>
        <v>425000</v>
      </c>
      <c r="E31" s="159">
        <f t="shared" si="9"/>
        <v>4.0494338881896233E-3</v>
      </c>
      <c r="F31" s="70">
        <f t="shared" si="10"/>
        <v>2992</v>
      </c>
      <c r="G31" s="158">
        <f t="shared" si="11"/>
        <v>101728</v>
      </c>
      <c r="H31" s="159">
        <f t="shared" si="12"/>
        <v>4.050082989914207E-3</v>
      </c>
      <c r="I31" s="70">
        <f t="shared" si="13"/>
        <v>10262</v>
      </c>
      <c r="J31" s="158">
        <f t="shared" si="14"/>
        <v>348908</v>
      </c>
      <c r="K31" s="159">
        <f t="shared" si="15"/>
        <v>4.0495907854086553E-3</v>
      </c>
    </row>
    <row r="32" spans="1:11" s="1" customFormat="1" ht="15.75" customHeight="1" thickBot="1" x14ac:dyDescent="0.3">
      <c r="A32" s="171" t="s">
        <v>103</v>
      </c>
      <c r="B32" s="172">
        <v>5</v>
      </c>
      <c r="C32" s="173">
        <v>6250</v>
      </c>
      <c r="D32" s="174">
        <f t="shared" si="8"/>
        <v>31250</v>
      </c>
      <c r="E32" s="175">
        <f t="shared" si="9"/>
        <v>2.9775249177864876E-4</v>
      </c>
      <c r="F32" s="173">
        <f t="shared" si="10"/>
        <v>1496</v>
      </c>
      <c r="G32" s="174">
        <f t="shared" si="11"/>
        <v>7480</v>
      </c>
      <c r="H32" s="175">
        <f t="shared" si="12"/>
        <v>2.978002198466329E-4</v>
      </c>
      <c r="I32" s="173">
        <f t="shared" si="13"/>
        <v>5131</v>
      </c>
      <c r="J32" s="174">
        <f t="shared" si="14"/>
        <v>25655</v>
      </c>
      <c r="K32" s="175">
        <f t="shared" si="15"/>
        <v>2.9776402833887167E-4</v>
      </c>
    </row>
    <row r="33" spans="1:11" ht="16.5" customHeight="1" thickTop="1" thickBot="1" x14ac:dyDescent="0.3">
      <c r="A33" s="176"/>
      <c r="B33" s="177"/>
      <c r="C33" s="70"/>
      <c r="D33" s="178">
        <f>SUM(D24:D32)</f>
        <v>12328125</v>
      </c>
      <c r="E33" s="179">
        <f t="shared" si="9"/>
        <v>0.11746335800667694</v>
      </c>
      <c r="F33" s="178">
        <f>SUM(F24:F32)</f>
        <v>16903</v>
      </c>
      <c r="G33" s="178">
        <f>SUM(G24:G32)</f>
        <v>2950259</v>
      </c>
      <c r="H33" s="179">
        <f t="shared" si="12"/>
        <v>0.11745825919846355</v>
      </c>
      <c r="I33" s="180">
        <f>SUM(I24:I32)</f>
        <v>57979</v>
      </c>
      <c r="J33" s="178">
        <f>SUM(J24:J32)</f>
        <v>10120455</v>
      </c>
      <c r="K33" s="179">
        <f t="shared" si="15"/>
        <v>0.11746277331601153</v>
      </c>
    </row>
    <row r="34" spans="1:11" x14ac:dyDescent="0.25">
      <c r="A34" s="181" t="s">
        <v>86</v>
      </c>
      <c r="B34" s="182"/>
      <c r="C34" s="150"/>
      <c r="D34" s="151"/>
      <c r="E34" s="166"/>
      <c r="F34" s="153"/>
      <c r="G34" s="154"/>
      <c r="H34" s="166"/>
      <c r="I34" s="153"/>
      <c r="J34" s="154"/>
      <c r="K34" s="166"/>
    </row>
    <row r="35" spans="1:11" x14ac:dyDescent="0.25">
      <c r="A35" s="183" t="s">
        <v>104</v>
      </c>
      <c r="B35" s="157">
        <v>86</v>
      </c>
      <c r="C35" s="70">
        <v>250</v>
      </c>
      <c r="D35" s="158">
        <f t="shared" ref="D35:D40" si="16">B35*C35</f>
        <v>21500</v>
      </c>
      <c r="E35" s="159">
        <f t="shared" ref="E35:E41" si="17">D35/C$46</f>
        <v>2.0485371434371034E-4</v>
      </c>
      <c r="F35" s="70">
        <f t="shared" ref="F35:F40" si="18">ROUND($C35-$C35*F$8, 0)</f>
        <v>60</v>
      </c>
      <c r="G35" s="158">
        <f t="shared" ref="G35:G40" si="19">$B35*F35</f>
        <v>5160</v>
      </c>
      <c r="H35" s="159">
        <f t="shared" ref="H35:H41" si="20">G35/F$46</f>
        <v>2.0543437625783766E-4</v>
      </c>
      <c r="I35" s="70">
        <f t="shared" ref="I35:I40" si="21">ROUND($C35-$C35*I$8, 0)</f>
        <v>205</v>
      </c>
      <c r="J35" s="158">
        <f t="shared" ref="J35:J40" si="22">$B35*I35</f>
        <v>17630</v>
      </c>
      <c r="K35" s="159">
        <f t="shared" ref="K35:K41" si="23">J35/I$46</f>
        <v>2.0462209392376957E-4</v>
      </c>
    </row>
    <row r="36" spans="1:11" x14ac:dyDescent="0.25">
      <c r="A36" s="183" t="s">
        <v>105</v>
      </c>
      <c r="B36" s="157">
        <v>383</v>
      </c>
      <c r="C36" s="70">
        <v>500</v>
      </c>
      <c r="D36" s="158">
        <f t="shared" si="16"/>
        <v>191500</v>
      </c>
      <c r="E36" s="159">
        <f t="shared" si="17"/>
        <v>1.8246272696195596E-3</v>
      </c>
      <c r="F36" s="70">
        <f t="shared" si="18"/>
        <v>120</v>
      </c>
      <c r="G36" s="158">
        <f t="shared" si="19"/>
        <v>45960</v>
      </c>
      <c r="H36" s="159">
        <f t="shared" si="20"/>
        <v>1.8297992117849262E-3</v>
      </c>
      <c r="I36" s="70">
        <f t="shared" si="21"/>
        <v>410</v>
      </c>
      <c r="J36" s="158">
        <f t="shared" si="22"/>
        <v>157030</v>
      </c>
      <c r="K36" s="159">
        <f t="shared" si="23"/>
        <v>1.8225642319256684E-3</v>
      </c>
    </row>
    <row r="37" spans="1:11" x14ac:dyDescent="0.25">
      <c r="A37" s="183" t="s">
        <v>106</v>
      </c>
      <c r="B37" s="157">
        <v>180</v>
      </c>
      <c r="C37" s="70">
        <v>500</v>
      </c>
      <c r="D37" s="158">
        <f t="shared" si="16"/>
        <v>90000</v>
      </c>
      <c r="E37" s="159">
        <f t="shared" si="17"/>
        <v>8.5752717632250842E-4</v>
      </c>
      <c r="F37" s="70">
        <f t="shared" si="18"/>
        <v>120</v>
      </c>
      <c r="G37" s="158">
        <f t="shared" si="19"/>
        <v>21600</v>
      </c>
      <c r="H37" s="159">
        <f t="shared" si="20"/>
        <v>8.5995785410257627E-4</v>
      </c>
      <c r="I37" s="70">
        <f t="shared" si="21"/>
        <v>410</v>
      </c>
      <c r="J37" s="158">
        <f t="shared" si="22"/>
        <v>73800</v>
      </c>
      <c r="K37" s="159">
        <f t="shared" si="23"/>
        <v>8.5655760247159353E-4</v>
      </c>
    </row>
    <row r="38" spans="1:11" x14ac:dyDescent="0.25">
      <c r="A38" s="183" t="s">
        <v>107</v>
      </c>
      <c r="B38" s="157">
        <v>242</v>
      </c>
      <c r="C38" s="70">
        <v>1000</v>
      </c>
      <c r="D38" s="158">
        <f t="shared" si="16"/>
        <v>242000</v>
      </c>
      <c r="E38" s="159">
        <f t="shared" si="17"/>
        <v>2.3057952963338561E-3</v>
      </c>
      <c r="F38" s="70">
        <f t="shared" si="18"/>
        <v>239</v>
      </c>
      <c r="G38" s="158">
        <f t="shared" si="19"/>
        <v>57838</v>
      </c>
      <c r="H38" s="159">
        <f t="shared" si="20"/>
        <v>2.3026964058141114E-3</v>
      </c>
      <c r="I38" s="70">
        <f t="shared" si="21"/>
        <v>821</v>
      </c>
      <c r="J38" s="158">
        <f t="shared" si="22"/>
        <v>198682</v>
      </c>
      <c r="K38" s="159">
        <f t="shared" si="23"/>
        <v>2.3059969861010995E-3</v>
      </c>
    </row>
    <row r="39" spans="1:11" ht="15.75" customHeight="1" x14ac:dyDescent="0.25">
      <c r="A39" s="183" t="s">
        <v>108</v>
      </c>
      <c r="B39" s="157">
        <v>552</v>
      </c>
      <c r="C39" s="70">
        <v>1000</v>
      </c>
      <c r="D39" s="158">
        <f t="shared" si="16"/>
        <v>552000</v>
      </c>
      <c r="E39" s="159">
        <f t="shared" si="17"/>
        <v>5.2595000147780515E-3</v>
      </c>
      <c r="F39" s="70">
        <f t="shared" si="18"/>
        <v>239</v>
      </c>
      <c r="G39" s="158">
        <f t="shared" si="19"/>
        <v>131928</v>
      </c>
      <c r="H39" s="159">
        <f t="shared" si="20"/>
        <v>5.2524314711131798E-3</v>
      </c>
      <c r="I39" s="70">
        <f t="shared" si="21"/>
        <v>821</v>
      </c>
      <c r="J39" s="158">
        <f t="shared" si="22"/>
        <v>453192</v>
      </c>
      <c r="K39" s="159">
        <f t="shared" si="23"/>
        <v>5.2599600674702761E-3</v>
      </c>
    </row>
    <row r="40" spans="1:11" s="1" customFormat="1" ht="15.75" customHeight="1" thickBot="1" x14ac:dyDescent="0.3">
      <c r="A40" s="183" t="s">
        <v>109</v>
      </c>
      <c r="B40" s="157">
        <v>761</v>
      </c>
      <c r="C40" s="70">
        <v>2000</v>
      </c>
      <c r="D40" s="158">
        <f t="shared" si="16"/>
        <v>1522000</v>
      </c>
      <c r="E40" s="159">
        <f t="shared" si="17"/>
        <v>1.4501737359587309E-2</v>
      </c>
      <c r="F40" s="70">
        <f t="shared" si="18"/>
        <v>479</v>
      </c>
      <c r="G40" s="158">
        <f t="shared" si="19"/>
        <v>364519</v>
      </c>
      <c r="H40" s="159">
        <f t="shared" si="20"/>
        <v>1.4512545232389675E-2</v>
      </c>
      <c r="I40" s="70">
        <f t="shared" si="21"/>
        <v>1642</v>
      </c>
      <c r="J40" s="158">
        <f t="shared" si="22"/>
        <v>1249562</v>
      </c>
      <c r="K40" s="159">
        <f t="shared" si="23"/>
        <v>1.4503005838206087E-2</v>
      </c>
    </row>
    <row r="41" spans="1:11" ht="16.5" customHeight="1" thickTop="1" thickBot="1" x14ac:dyDescent="0.3">
      <c r="A41" s="184"/>
      <c r="B41" s="161"/>
      <c r="C41" s="162"/>
      <c r="D41" s="163">
        <f>SUM(D35:D40)</f>
        <v>2619000</v>
      </c>
      <c r="E41" s="164">
        <f t="shared" si="17"/>
        <v>2.4954040830984996E-2</v>
      </c>
      <c r="F41" s="162"/>
      <c r="G41" s="163">
        <f>SUM(G35:G40)</f>
        <v>627005</v>
      </c>
      <c r="H41" s="164">
        <f t="shared" si="20"/>
        <v>2.4962864551462308E-2</v>
      </c>
      <c r="I41" s="162"/>
      <c r="J41" s="163">
        <f>SUM(J35:J40)</f>
        <v>2149896</v>
      </c>
      <c r="K41" s="164">
        <f t="shared" si="23"/>
        <v>2.4952706820098494E-2</v>
      </c>
    </row>
    <row r="42" spans="1:11" x14ac:dyDescent="0.25">
      <c r="A42" s="185" t="s">
        <v>87</v>
      </c>
      <c r="B42" s="149"/>
      <c r="C42" s="150"/>
      <c r="D42" s="151"/>
      <c r="E42" s="166"/>
      <c r="F42" s="153"/>
      <c r="G42" s="154"/>
      <c r="H42" s="166"/>
      <c r="I42" s="153"/>
      <c r="J42" s="154"/>
      <c r="K42" s="166"/>
    </row>
    <row r="43" spans="1:11" x14ac:dyDescent="0.25">
      <c r="A43" s="186" t="s">
        <v>110</v>
      </c>
      <c r="B43" s="157">
        <v>363</v>
      </c>
      <c r="C43" s="70">
        <v>12500</v>
      </c>
      <c r="D43" s="158">
        <f>B43*C43</f>
        <v>4537500</v>
      </c>
      <c r="E43" s="159">
        <f>D43/C$46</f>
        <v>4.3233661806259802E-2</v>
      </c>
      <c r="F43" s="70">
        <f>ROUND($C43-$C43*F$8, 0)</f>
        <v>2992</v>
      </c>
      <c r="G43" s="158">
        <f>$B43*F43</f>
        <v>1086096</v>
      </c>
      <c r="H43" s="159">
        <f>G43/F$46</f>
        <v>4.3240591921731096E-2</v>
      </c>
      <c r="I43" s="70">
        <f>ROUND($C43-$C43*I$8, 0)</f>
        <v>10262</v>
      </c>
      <c r="J43" s="158">
        <f>$B43*I43</f>
        <v>3725106</v>
      </c>
      <c r="K43" s="159">
        <f>J43/I$46</f>
        <v>4.3235336914804169E-2</v>
      </c>
    </row>
    <row r="44" spans="1:11" ht="15.75" customHeight="1" thickBot="1" x14ac:dyDescent="0.3">
      <c r="A44" s="186" t="s">
        <v>111</v>
      </c>
      <c r="B44" s="157">
        <v>1997</v>
      </c>
      <c r="C44" s="70">
        <v>25000</v>
      </c>
      <c r="D44" s="158">
        <f>B44*C44</f>
        <v>49925000</v>
      </c>
      <c r="E44" s="159">
        <f>D44/C$46</f>
        <v>0.47568938086556928</v>
      </c>
      <c r="F44" s="70">
        <f>ROUND($C44-$C44*F$8, 0)</f>
        <v>5983</v>
      </c>
      <c r="G44" s="158">
        <f>$B44*F44</f>
        <v>11948051</v>
      </c>
      <c r="H44" s="159">
        <f>G44/F$46</f>
        <v>0.47568612493833984</v>
      </c>
      <c r="I44" s="70">
        <f>ROUND($C44-$C44*I$8, 0)</f>
        <v>20524</v>
      </c>
      <c r="J44" s="158">
        <f>$B44*I44</f>
        <v>40986428</v>
      </c>
      <c r="K44" s="159">
        <f>J44/I$46</f>
        <v>0.47570781167418141</v>
      </c>
    </row>
    <row r="45" spans="1:11" ht="16.5" customHeight="1" thickTop="1" thickBot="1" x14ac:dyDescent="0.3">
      <c r="A45" s="187"/>
      <c r="B45" s="161"/>
      <c r="C45" s="162"/>
      <c r="D45" s="163">
        <f>SUM(D43:D44)</f>
        <v>54462500</v>
      </c>
      <c r="E45" s="164">
        <f>D45/C$46</f>
        <v>0.51892304267182909</v>
      </c>
      <c r="F45" s="162"/>
      <c r="G45" s="163">
        <f>SUM(G43:G44)</f>
        <v>13034147</v>
      </c>
      <c r="H45" s="164">
        <f>G45/F$46</f>
        <v>0.51892671686007097</v>
      </c>
      <c r="I45" s="162"/>
      <c r="J45" s="163">
        <f>SUM(J43:J44)</f>
        <v>44711534</v>
      </c>
      <c r="K45" s="164">
        <f>J45/I$46</f>
        <v>0.5189431485889856</v>
      </c>
    </row>
    <row r="46" spans="1:11" ht="15.75" customHeight="1" thickBot="1" x14ac:dyDescent="0.3">
      <c r="A46" s="464" t="s">
        <v>46</v>
      </c>
      <c r="B46" s="465"/>
      <c r="C46" s="461">
        <f>SUM(D16,D22,D33,D41,D45)</f>
        <v>104952942</v>
      </c>
      <c r="D46" s="462"/>
      <c r="E46" s="463"/>
      <c r="F46" s="461">
        <f>SUM(G16,G22,G33,G41,G45)</f>
        <v>25117510</v>
      </c>
      <c r="G46" s="462"/>
      <c r="H46" s="463"/>
      <c r="I46" s="461">
        <f>SUM(J16,J22,J33,J41,J45)</f>
        <v>86158829</v>
      </c>
      <c r="J46" s="462"/>
      <c r="K46" s="463"/>
    </row>
  </sheetData>
  <mergeCells count="16">
    <mergeCell ref="C46:E46"/>
    <mergeCell ref="F46:H46"/>
    <mergeCell ref="I46:K46"/>
    <mergeCell ref="A46:B46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8"/>
  <sheetViews>
    <sheetView zoomScale="80" zoomScaleNormal="80" workbookViewId="0">
      <pane xSplit="1" topLeftCell="B1" activePane="topRight" state="frozenSplit"/>
      <selection activeCell="B5" sqref="B5 A5:AP9"/>
      <selection pane="topRight" activeCell="E33" sqref="E33"/>
    </sheetView>
  </sheetViews>
  <sheetFormatPr defaultRowHeight="15" outlineLevelCol="1" x14ac:dyDescent="0.25"/>
  <cols>
    <col min="1" max="1" width="20.5703125" style="1" customWidth="1"/>
    <col min="2" max="2" width="6.140625" style="1" customWidth="1" outlineLevel="1"/>
    <col min="3" max="3" width="9.140625" style="1" customWidth="1" outlineLevel="1"/>
    <col min="4" max="4" width="6.140625" style="1" customWidth="1" outlineLevel="1"/>
    <col min="5" max="5" width="9.140625" style="1" customWidth="1" outlineLevel="1"/>
    <col min="6" max="6" width="2.85546875" style="1" customWidth="1" outlineLevel="1"/>
    <col min="7" max="7" width="9.140625" style="1" customWidth="1" outlineLevel="1"/>
    <col min="8" max="8" width="4.7109375" style="1" customWidth="1" outlineLevel="1"/>
    <col min="9" max="9" width="9.140625" style="1" customWidth="1" outlineLevel="1"/>
    <col min="10" max="10" width="3.7109375" style="1" customWidth="1" outlineLevel="1"/>
    <col min="11" max="11" width="9.140625" style="1" customWidth="1" outlineLevel="1"/>
    <col min="12" max="12" width="2.85546875" style="1" customWidth="1" outlineLevel="1"/>
    <col min="13" max="13" width="9.140625" style="1" customWidth="1" outlineLevel="1"/>
    <col min="14" max="14" width="9.140625" style="1" customWidth="1"/>
    <col min="15" max="15" width="4.7109375" style="1" customWidth="1" outlineLevel="1"/>
    <col min="16" max="16" width="9.140625" style="1" customWidth="1" outlineLevel="1"/>
    <col min="17" max="17" width="6.140625" style="1" customWidth="1" outlineLevel="1"/>
    <col min="18" max="18" width="9.140625" style="1" customWidth="1" outlineLevel="1"/>
    <col min="19" max="19" width="4.7109375" style="1" customWidth="1" outlineLevel="1"/>
    <col min="20" max="20" width="9.140625" style="1" customWidth="1" outlineLevel="1"/>
    <col min="21" max="21" width="3.7109375" style="1" customWidth="1" outlineLevel="1"/>
    <col min="22" max="22" width="9.140625" style="1" customWidth="1" outlineLevel="1"/>
    <col min="23" max="23" width="9.140625" style="1" customWidth="1"/>
    <col min="24" max="24" width="4.7109375" style="1" customWidth="1" outlineLevel="1"/>
    <col min="25" max="25" width="9.140625" style="1" customWidth="1" outlineLevel="1"/>
    <col min="26" max="26" width="4.7109375" style="1" customWidth="1" outlineLevel="1"/>
    <col min="27" max="27" width="9.140625" style="1" customWidth="1" outlineLevel="1"/>
    <col min="28" max="28" width="2.85546875" style="1" customWidth="1" outlineLevel="1"/>
    <col min="29" max="29" width="9.140625" style="1" customWidth="1" outlineLevel="1"/>
    <col min="30" max="30" width="4.7109375" style="1" customWidth="1" outlineLevel="1"/>
    <col min="31" max="31" width="9.140625" style="1" customWidth="1" outlineLevel="1"/>
    <col min="32" max="32" width="2.85546875" style="1" customWidth="1" outlineLevel="1"/>
    <col min="33" max="33" width="9.140625" style="1" customWidth="1" outlineLevel="1"/>
    <col min="34" max="34" width="2.85546875" style="1" customWidth="1" outlineLevel="1"/>
    <col min="35" max="35" width="9.140625" style="1" customWidth="1" outlineLevel="1"/>
    <col min="36" max="36" width="4.7109375" style="1" customWidth="1" outlineLevel="1"/>
    <col min="37" max="37" width="9.140625" style="1" customWidth="1" outlineLevel="1"/>
    <col min="38" max="38" width="2.85546875" style="1" customWidth="1" outlineLevel="1"/>
    <col min="39" max="39" width="9.140625" style="1" customWidth="1" outlineLevel="1"/>
    <col min="40" max="40" width="2.85546875" style="1" customWidth="1" outlineLevel="1"/>
    <col min="41" max="41" width="9.140625" style="1" customWidth="1" outlineLevel="1"/>
    <col min="42" max="42" width="9.140625" style="1" customWidth="1"/>
    <col min="43" max="43" width="2.85546875" style="1" customWidth="1" outlineLevel="1"/>
    <col min="44" max="44" width="9.140625" style="1" customWidth="1" outlineLevel="1"/>
    <col min="45" max="45" width="4.7109375" style="1" customWidth="1" outlineLevel="1"/>
    <col min="46" max="46" width="9.140625" style="1" customWidth="1" outlineLevel="1"/>
    <col min="47" max="47" width="4.7109375" style="1" customWidth="1" outlineLevel="1"/>
    <col min="48" max="48" width="9.140625" style="1" customWidth="1" outlineLevel="1"/>
    <col min="49" max="49" width="4.7109375" style="1" customWidth="1" outlineLevel="1"/>
    <col min="50" max="50" width="9.140625" style="1" customWidth="1" outlineLevel="1"/>
    <col min="51" max="51" width="3.7109375" style="1" customWidth="1" outlineLevel="1"/>
    <col min="52" max="52" width="9.140625" style="1" customWidth="1" outlineLevel="1"/>
    <col min="53" max="53" width="3.7109375" style="1" customWidth="1" outlineLevel="1"/>
    <col min="54" max="54" width="9.140625" style="1" customWidth="1" outlineLevel="1"/>
    <col min="55" max="55" width="9.140625" style="1" customWidth="1"/>
    <col min="56" max="56" width="4.7109375" style="1" customWidth="1" outlineLevel="1"/>
    <col min="57" max="57" width="9.140625" style="1" customWidth="1" outlineLevel="1"/>
    <col min="58" max="58" width="4.7109375" style="1" customWidth="1" outlineLevel="1"/>
    <col min="59" max="59" width="9.140625" style="1" customWidth="1" outlineLevel="1"/>
    <col min="60" max="62" width="9.140625" style="1" customWidth="1"/>
  </cols>
  <sheetData>
    <row r="1" spans="1:62" ht="15.75" customHeight="1" x14ac:dyDescent="0.25">
      <c r="A1" s="14" t="s">
        <v>126</v>
      </c>
      <c r="B1" s="14"/>
      <c r="C1" s="14"/>
      <c r="D1" s="14"/>
      <c r="E1" s="14"/>
      <c r="F1" s="14"/>
      <c r="G1" s="14"/>
    </row>
    <row r="2" spans="1:62" ht="15.75" customHeight="1" x14ac:dyDescent="0.25">
      <c r="A2" s="17" t="s">
        <v>31</v>
      </c>
    </row>
    <row r="3" spans="1:62" ht="15.75" customHeight="1" x14ac:dyDescent="0.25">
      <c r="A3" s="17"/>
    </row>
    <row r="4" spans="1:62" x14ac:dyDescent="0.25">
      <c r="A4" s="18" t="s">
        <v>127</v>
      </c>
    </row>
    <row r="5" spans="1:62" ht="15.75" customHeight="1" x14ac:dyDescent="0.25"/>
    <row r="6" spans="1:62" ht="15.75" hidden="1" customHeight="1" x14ac:dyDescent="0.25">
      <c r="A6" s="493" t="s">
        <v>3</v>
      </c>
      <c r="B6" s="489" t="s">
        <v>83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90"/>
      <c r="O6" s="456" t="s">
        <v>124</v>
      </c>
      <c r="P6" s="456"/>
      <c r="Q6" s="456"/>
      <c r="R6" s="456"/>
      <c r="S6" s="456"/>
      <c r="T6" s="456"/>
      <c r="U6" s="456"/>
      <c r="V6" s="456"/>
      <c r="W6" s="457"/>
      <c r="X6" s="514" t="s">
        <v>85</v>
      </c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5"/>
      <c r="AL6" s="515"/>
      <c r="AM6" s="515"/>
      <c r="AN6" s="515"/>
      <c r="AO6" s="515"/>
      <c r="AP6" s="516"/>
      <c r="AQ6" s="532" t="s">
        <v>86</v>
      </c>
      <c r="AR6" s="532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3"/>
      <c r="BD6" s="550" t="s">
        <v>87</v>
      </c>
      <c r="BE6" s="550"/>
      <c r="BF6" s="550"/>
      <c r="BG6" s="550"/>
      <c r="BH6" s="551"/>
      <c r="BI6" s="546" t="s">
        <v>128</v>
      </c>
      <c r="BJ6" s="548" t="s">
        <v>129</v>
      </c>
    </row>
    <row r="7" spans="1:62" ht="15" hidden="1" customHeight="1" x14ac:dyDescent="0.25">
      <c r="A7" s="494"/>
      <c r="B7" s="491" t="s">
        <v>89</v>
      </c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2"/>
      <c r="O7" s="495" t="s">
        <v>89</v>
      </c>
      <c r="P7" s="495"/>
      <c r="Q7" s="495"/>
      <c r="R7" s="495"/>
      <c r="S7" s="495"/>
      <c r="T7" s="495"/>
      <c r="U7" s="495"/>
      <c r="V7" s="495"/>
      <c r="W7" s="496"/>
      <c r="X7" s="517" t="s">
        <v>89</v>
      </c>
      <c r="Y7" s="518"/>
      <c r="Z7" s="518"/>
      <c r="AA7" s="518"/>
      <c r="AB7" s="518"/>
      <c r="AC7" s="518"/>
      <c r="AD7" s="518"/>
      <c r="AE7" s="518"/>
      <c r="AF7" s="518"/>
      <c r="AG7" s="518"/>
      <c r="AH7" s="518"/>
      <c r="AI7" s="518"/>
      <c r="AJ7" s="518"/>
      <c r="AK7" s="518"/>
      <c r="AL7" s="518"/>
      <c r="AM7" s="518"/>
      <c r="AN7" s="518"/>
      <c r="AO7" s="518"/>
      <c r="AP7" s="519"/>
      <c r="AQ7" s="534" t="s">
        <v>89</v>
      </c>
      <c r="AR7" s="534"/>
      <c r="AS7" s="534"/>
      <c r="AT7" s="534"/>
      <c r="AU7" s="534"/>
      <c r="AV7" s="534"/>
      <c r="AW7" s="534"/>
      <c r="AX7" s="534"/>
      <c r="AY7" s="534"/>
      <c r="AZ7" s="534"/>
      <c r="BA7" s="534"/>
      <c r="BB7" s="534"/>
      <c r="BC7" s="535"/>
      <c r="BD7" s="552" t="s">
        <v>89</v>
      </c>
      <c r="BE7" s="552"/>
      <c r="BF7" s="552"/>
      <c r="BG7" s="552"/>
      <c r="BH7" s="553"/>
      <c r="BI7" s="547"/>
      <c r="BJ7" s="549"/>
    </row>
    <row r="8" spans="1:62" s="11" customFormat="1" ht="63" hidden="1" customHeight="1" x14ac:dyDescent="0.25">
      <c r="A8" s="494"/>
      <c r="B8" s="513" t="s">
        <v>92</v>
      </c>
      <c r="C8" s="509"/>
      <c r="D8" s="513" t="s">
        <v>93</v>
      </c>
      <c r="E8" s="509"/>
      <c r="F8" s="508" t="s">
        <v>94</v>
      </c>
      <c r="G8" s="509"/>
      <c r="H8" s="508" t="s">
        <v>95</v>
      </c>
      <c r="I8" s="509"/>
      <c r="J8" s="508" t="s">
        <v>96</v>
      </c>
      <c r="K8" s="509"/>
      <c r="L8" s="508" t="s">
        <v>97</v>
      </c>
      <c r="M8" s="509"/>
      <c r="N8" s="487" t="s">
        <v>130</v>
      </c>
      <c r="O8" s="497" t="s">
        <v>92</v>
      </c>
      <c r="P8" s="498"/>
      <c r="Q8" s="499" t="s">
        <v>93</v>
      </c>
      <c r="R8" s="498"/>
      <c r="S8" s="499" t="s">
        <v>94</v>
      </c>
      <c r="T8" s="498"/>
      <c r="U8" s="499" t="s">
        <v>95</v>
      </c>
      <c r="V8" s="498"/>
      <c r="W8" s="500" t="s">
        <v>130</v>
      </c>
      <c r="X8" s="530" t="s">
        <v>92</v>
      </c>
      <c r="Y8" s="531"/>
      <c r="Z8" s="530" t="s">
        <v>93</v>
      </c>
      <c r="AA8" s="531"/>
      <c r="AB8" s="530" t="s">
        <v>94</v>
      </c>
      <c r="AC8" s="531"/>
      <c r="AD8" s="520" t="s">
        <v>125</v>
      </c>
      <c r="AE8" s="521"/>
      <c r="AF8" s="520" t="s">
        <v>99</v>
      </c>
      <c r="AG8" s="521"/>
      <c r="AH8" s="520" t="s">
        <v>100</v>
      </c>
      <c r="AI8" s="521"/>
      <c r="AJ8" s="520" t="s">
        <v>101</v>
      </c>
      <c r="AK8" s="521"/>
      <c r="AL8" s="520" t="s">
        <v>102</v>
      </c>
      <c r="AM8" s="521"/>
      <c r="AN8" s="520" t="s">
        <v>103</v>
      </c>
      <c r="AO8" s="521"/>
      <c r="AP8" s="525" t="s">
        <v>130</v>
      </c>
      <c r="AQ8" s="536" t="s">
        <v>104</v>
      </c>
      <c r="AR8" s="537"/>
      <c r="AS8" s="538" t="s">
        <v>105</v>
      </c>
      <c r="AT8" s="537"/>
      <c r="AU8" s="538" t="s">
        <v>106</v>
      </c>
      <c r="AV8" s="537"/>
      <c r="AW8" s="538" t="s">
        <v>107</v>
      </c>
      <c r="AX8" s="537"/>
      <c r="AY8" s="538" t="s">
        <v>108</v>
      </c>
      <c r="AZ8" s="537"/>
      <c r="BA8" s="538" t="s">
        <v>109</v>
      </c>
      <c r="BB8" s="537"/>
      <c r="BC8" s="539" t="s">
        <v>130</v>
      </c>
      <c r="BD8" s="554" t="s">
        <v>110</v>
      </c>
      <c r="BE8" s="555"/>
      <c r="BF8" s="554" t="s">
        <v>111</v>
      </c>
      <c r="BG8" s="555"/>
      <c r="BH8" s="556" t="s">
        <v>130</v>
      </c>
      <c r="BI8" s="547"/>
      <c r="BJ8" s="549"/>
    </row>
    <row r="9" spans="1:62" ht="16.5" hidden="1" customHeight="1" thickBot="1" x14ac:dyDescent="0.3">
      <c r="A9" s="494"/>
      <c r="B9" s="512">
        <v>449</v>
      </c>
      <c r="C9" s="507"/>
      <c r="D9" s="512">
        <v>598</v>
      </c>
      <c r="E9" s="507"/>
      <c r="F9" s="506">
        <v>1197</v>
      </c>
      <c r="G9" s="507"/>
      <c r="H9" s="506">
        <v>2393</v>
      </c>
      <c r="I9" s="507"/>
      <c r="J9" s="506">
        <v>1197</v>
      </c>
      <c r="K9" s="507"/>
      <c r="L9" s="510">
        <v>598</v>
      </c>
      <c r="M9" s="511"/>
      <c r="N9" s="488"/>
      <c r="O9" s="502">
        <v>561</v>
      </c>
      <c r="P9" s="503"/>
      <c r="Q9" s="504">
        <v>748</v>
      </c>
      <c r="R9" s="503"/>
      <c r="S9" s="504">
        <v>1496</v>
      </c>
      <c r="T9" s="503"/>
      <c r="U9" s="504">
        <v>2992</v>
      </c>
      <c r="V9" s="503"/>
      <c r="W9" s="501"/>
      <c r="X9" s="528">
        <v>449</v>
      </c>
      <c r="Y9" s="529"/>
      <c r="Z9" s="528">
        <v>598</v>
      </c>
      <c r="AA9" s="529"/>
      <c r="AB9" s="528">
        <v>1197</v>
      </c>
      <c r="AC9" s="529"/>
      <c r="AD9" s="527">
        <v>2393</v>
      </c>
      <c r="AE9" s="523"/>
      <c r="AF9" s="528">
        <v>1197</v>
      </c>
      <c r="AG9" s="529"/>
      <c r="AH9" s="522">
        <v>598</v>
      </c>
      <c r="AI9" s="523"/>
      <c r="AJ9" s="522">
        <v>5983</v>
      </c>
      <c r="AK9" s="523"/>
      <c r="AL9" s="522">
        <v>2992</v>
      </c>
      <c r="AM9" s="523"/>
      <c r="AN9" s="522">
        <v>1496</v>
      </c>
      <c r="AO9" s="523"/>
      <c r="AP9" s="526"/>
      <c r="AQ9" s="541">
        <v>60</v>
      </c>
      <c r="AR9" s="542"/>
      <c r="AS9" s="543">
        <v>120</v>
      </c>
      <c r="AT9" s="542"/>
      <c r="AU9" s="543">
        <v>120</v>
      </c>
      <c r="AV9" s="542"/>
      <c r="AW9" s="543">
        <v>239</v>
      </c>
      <c r="AX9" s="542"/>
      <c r="AY9" s="544">
        <v>239</v>
      </c>
      <c r="AZ9" s="545"/>
      <c r="BA9" s="544">
        <v>479</v>
      </c>
      <c r="BB9" s="545"/>
      <c r="BC9" s="540"/>
      <c r="BD9" s="558">
        <v>2992</v>
      </c>
      <c r="BE9" s="559"/>
      <c r="BF9" s="558">
        <v>5983</v>
      </c>
      <c r="BG9" s="559"/>
      <c r="BH9" s="557"/>
      <c r="BI9" s="547"/>
      <c r="BJ9" s="549"/>
    </row>
    <row r="10" spans="1:62" hidden="1" x14ac:dyDescent="0.25">
      <c r="A10" s="189" t="s">
        <v>50</v>
      </c>
      <c r="B10" s="190"/>
      <c r="C10" s="191" t="str">
        <f>IF(ISBLANK(B10),"", B10*B9)</f>
        <v/>
      </c>
      <c r="D10" s="190"/>
      <c r="E10" s="191" t="str">
        <f>IF(ISBLANK(D10),"", D10*D9)</f>
        <v/>
      </c>
      <c r="F10" s="192"/>
      <c r="G10" s="191" t="str">
        <f>IF(ISBLANK(F10),"", F10*F9)</f>
        <v/>
      </c>
      <c r="H10" s="192">
        <v>0</v>
      </c>
      <c r="I10" s="191">
        <f>IF(ISBLANK(H10),"", H10*H9)</f>
        <v>0</v>
      </c>
      <c r="J10" s="192">
        <v>51</v>
      </c>
      <c r="K10" s="191">
        <f>IF(ISBLANK(J10),"", J10*J9)</f>
        <v>61047</v>
      </c>
      <c r="L10" s="193">
        <v>0</v>
      </c>
      <c r="M10" s="191">
        <f>IF(ISBLANK(L10),"", L10*L9)</f>
        <v>0</v>
      </c>
      <c r="N10" s="194">
        <f t="shared" ref="N10:N16" si="0">SUM(C10,E10,G10,I10,K10,M10)</f>
        <v>61047</v>
      </c>
      <c r="O10" s="190">
        <v>0</v>
      </c>
      <c r="P10" s="191">
        <f>IF(ISBLANK(O10),"", O10*O9)</f>
        <v>0</v>
      </c>
      <c r="Q10" s="192">
        <v>0</v>
      </c>
      <c r="R10" s="191">
        <f>IF(ISBLANK(Q10),"", Q10*Q9)</f>
        <v>0</v>
      </c>
      <c r="S10" s="192"/>
      <c r="T10" s="191" t="str">
        <f>IF(ISBLANK(S10),"", S10*S9)</f>
        <v/>
      </c>
      <c r="U10" s="192">
        <v>74</v>
      </c>
      <c r="V10" s="191">
        <f>IF(ISBLANK(U10),"", U10*U9)</f>
        <v>221408</v>
      </c>
      <c r="W10" s="194">
        <f t="shared" ref="W10:W16" si="1">SUM(P10,R10,T10,V10)</f>
        <v>221408</v>
      </c>
      <c r="X10" s="192"/>
      <c r="Y10" s="191" t="str">
        <f>IF(ISBLANK(X10),"", X10*X9)</f>
        <v/>
      </c>
      <c r="Z10" s="192"/>
      <c r="AA10" s="191" t="str">
        <f>IF(ISBLANK(Z10),"", Z10*Z9)</f>
        <v/>
      </c>
      <c r="AB10" s="192"/>
      <c r="AC10" s="191" t="str">
        <f>IF(ISBLANK(AB10),"", AB10*AB9)</f>
        <v/>
      </c>
      <c r="AD10" s="192"/>
      <c r="AE10" s="191" t="str">
        <f>IF(ISBLANK(AD10),"", AD10*AD9)</f>
        <v/>
      </c>
      <c r="AF10" s="192"/>
      <c r="AG10" s="191" t="str">
        <f>IF(ISBLANK(AF10),"", AF10*AF9)</f>
        <v/>
      </c>
      <c r="AH10" s="193"/>
      <c r="AI10" s="191" t="str">
        <f>IF(ISBLANK(AH10),"", AH10*AH9)</f>
        <v/>
      </c>
      <c r="AJ10" s="193">
        <v>8</v>
      </c>
      <c r="AK10" s="191">
        <f>IF(ISBLANK(AJ10),"", AJ10*AJ9)</f>
        <v>47864</v>
      </c>
      <c r="AL10" s="193">
        <v>4</v>
      </c>
      <c r="AM10" s="191">
        <f>IF(ISBLANK(AL10),"", AL10*AL9)</f>
        <v>11968</v>
      </c>
      <c r="AN10" s="193">
        <v>0</v>
      </c>
      <c r="AO10" s="191">
        <f>IF(ISBLANK(AN10),"", AN10*AN9)</f>
        <v>0</v>
      </c>
      <c r="AP10" s="194">
        <f t="shared" ref="AP10:AP16" si="2">SUM(AO10,AM10,AK10,AI10,AG10,AE10,AC10,AA10,Y10)</f>
        <v>59832</v>
      </c>
      <c r="AQ10" s="190"/>
      <c r="AR10" s="191" t="str">
        <f>IF(ISBLANK(AQ10),"", AQ10*AQ9)</f>
        <v/>
      </c>
      <c r="AS10" s="192"/>
      <c r="AT10" s="191" t="str">
        <f>IF(ISBLANK(AS10),"", AS10*AS9)</f>
        <v/>
      </c>
      <c r="AU10" s="192"/>
      <c r="AV10" s="191" t="str">
        <f>IF(ISBLANK(AU10),"", AU10*AU9)</f>
        <v/>
      </c>
      <c r="AW10" s="192"/>
      <c r="AX10" s="191" t="str">
        <f>IF(ISBLANK(AW10),"", AW10*AW9)</f>
        <v/>
      </c>
      <c r="AY10" s="193"/>
      <c r="AZ10" s="191" t="str">
        <f>IF(ISBLANK(AY10),"", AY10*AY9)</f>
        <v/>
      </c>
      <c r="BA10" s="193"/>
      <c r="BB10" s="191" t="str">
        <f>IF(ISBLANK(BA10),"", BA10*BA9)</f>
        <v/>
      </c>
      <c r="BC10" s="194">
        <f t="shared" ref="BC10:BC16" si="3">SUM(AR10,AT10,AV10,AX10,AZ10,BB10)</f>
        <v>0</v>
      </c>
      <c r="BD10" s="192"/>
      <c r="BE10" s="191" t="str">
        <f>IF(ISBLANK(BD10),"", BD10*BD9)</f>
        <v/>
      </c>
      <c r="BF10" s="192">
        <v>262</v>
      </c>
      <c r="BG10" s="191">
        <f>IF(ISBLANK(BF10),"", BF10*BF9)</f>
        <v>1567546</v>
      </c>
      <c r="BH10" s="194">
        <f t="shared" ref="BH10:BH16" si="4">SUM(BE10,BG10)</f>
        <v>1567546</v>
      </c>
      <c r="BI10" s="195">
        <f t="shared" ref="BI10:BI16" si="5">SUM(N10,W10,AP10,BC10,BH10)</f>
        <v>1909833</v>
      </c>
      <c r="BJ10" s="196">
        <f>BI10/BI29</f>
        <v>7.6035920758068767E-2</v>
      </c>
    </row>
    <row r="11" spans="1:62" hidden="1" x14ac:dyDescent="0.25">
      <c r="A11" s="120" t="s">
        <v>54</v>
      </c>
      <c r="B11" s="193"/>
      <c r="C11" s="197" t="str">
        <f>IF(ISBLANK(B11),"", B11*B9)</f>
        <v/>
      </c>
      <c r="D11" s="193"/>
      <c r="E11" s="197" t="str">
        <f>IF(ISBLANK(D11),"", D11*D9)</f>
        <v/>
      </c>
      <c r="F11" s="198"/>
      <c r="G11" s="197" t="str">
        <f>IF(ISBLANK(F11),"", F11*F9)</f>
        <v/>
      </c>
      <c r="H11" s="198">
        <v>76</v>
      </c>
      <c r="I11" s="197">
        <f>IF(ISBLANK(H11),"", H11*H9)</f>
        <v>181868</v>
      </c>
      <c r="J11" s="198">
        <v>1</v>
      </c>
      <c r="K11" s="197">
        <f>IF(ISBLANK(J11),"", J11*J9)</f>
        <v>1197</v>
      </c>
      <c r="L11" s="193">
        <v>0</v>
      </c>
      <c r="M11" s="197">
        <f>IF(ISBLANK(L11),"", L11*L9)</f>
        <v>0</v>
      </c>
      <c r="N11" s="194">
        <f t="shared" si="0"/>
        <v>183065</v>
      </c>
      <c r="O11" s="193">
        <v>0</v>
      </c>
      <c r="P11" s="197">
        <f>IF(ISBLANK(O11),"", O11*O9)</f>
        <v>0</v>
      </c>
      <c r="Q11" s="198">
        <v>0</v>
      </c>
      <c r="R11" s="197">
        <f>IF(ISBLANK(Q11),"", Q11*Q9)</f>
        <v>0</v>
      </c>
      <c r="S11" s="198"/>
      <c r="T11" s="197" t="str">
        <f>IF(ISBLANK(S11),"", S11*S9)</f>
        <v/>
      </c>
      <c r="U11" s="198">
        <v>22</v>
      </c>
      <c r="V11" s="197">
        <f>IF(ISBLANK(U11),"", U11*U9)</f>
        <v>65824</v>
      </c>
      <c r="W11" s="194">
        <f t="shared" si="1"/>
        <v>65824</v>
      </c>
      <c r="X11" s="198"/>
      <c r="Y11" s="197" t="str">
        <f>IF(ISBLANK(X11),"", X11*X9)</f>
        <v/>
      </c>
      <c r="Z11" s="198"/>
      <c r="AA11" s="197" t="str">
        <f>IF(ISBLANK(Z11),"", Z11*Z9)</f>
        <v/>
      </c>
      <c r="AB11" s="198"/>
      <c r="AC11" s="197" t="str">
        <f>IF(ISBLANK(AB11),"", AB11*AB9)</f>
        <v/>
      </c>
      <c r="AD11" s="198">
        <v>6</v>
      </c>
      <c r="AE11" s="197">
        <f>IF(ISBLANK(AD11),"", AD11*AD9)</f>
        <v>14358</v>
      </c>
      <c r="AF11" s="198"/>
      <c r="AG11" s="197" t="str">
        <f>IF(ISBLANK(AF11),"", AF11*AF9)</f>
        <v/>
      </c>
      <c r="AH11" s="193"/>
      <c r="AI11" s="197" t="str">
        <f>IF(ISBLANK(AH11),"", AH11*AH9)</f>
        <v/>
      </c>
      <c r="AJ11" s="193"/>
      <c r="AK11" s="197" t="str">
        <f>IF(ISBLANK(AJ11),"", AJ11*AJ9)</f>
        <v/>
      </c>
      <c r="AL11" s="193"/>
      <c r="AM11" s="197" t="str">
        <f>IF(ISBLANK(AL11),"", AL11*AL9)</f>
        <v/>
      </c>
      <c r="AN11" s="193"/>
      <c r="AO11" s="197" t="str">
        <f>IF(ISBLANK(AN11),"", AN11*AN9)</f>
        <v/>
      </c>
      <c r="AP11" s="194">
        <f t="shared" si="2"/>
        <v>14358</v>
      </c>
      <c r="AQ11" s="193"/>
      <c r="AR11" s="197" t="str">
        <f>IF(ISBLANK(AQ11),"", AQ11*AQ9)</f>
        <v/>
      </c>
      <c r="AS11" s="198"/>
      <c r="AT11" s="197" t="str">
        <f>IF(ISBLANK(AS11),"", AS11*AS9)</f>
        <v/>
      </c>
      <c r="AU11" s="198">
        <v>0</v>
      </c>
      <c r="AV11" s="197">
        <f>IF(ISBLANK(AU11),"", AU11*AU9)</f>
        <v>0</v>
      </c>
      <c r="AW11" s="198"/>
      <c r="AX11" s="197" t="str">
        <f>IF(ISBLANK(AW11),"", AW11*AW9)</f>
        <v/>
      </c>
      <c r="AY11" s="193">
        <v>30</v>
      </c>
      <c r="AZ11" s="197">
        <f>IF(ISBLANK(AY11),"", AY11*AY9)</f>
        <v>7170</v>
      </c>
      <c r="BA11" s="193">
        <v>31</v>
      </c>
      <c r="BB11" s="197">
        <f>IF(ISBLANK(BA11),"", BA11*BA9)</f>
        <v>14849</v>
      </c>
      <c r="BC11" s="194">
        <f t="shared" si="3"/>
        <v>22019</v>
      </c>
      <c r="BD11" s="198"/>
      <c r="BE11" s="197" t="str">
        <f>IF(ISBLANK(BD11),"", BD11*BD9)</f>
        <v/>
      </c>
      <c r="BF11" s="198">
        <v>36</v>
      </c>
      <c r="BG11" s="197">
        <f>IF(ISBLANK(BF11),"", BF11*BF9)</f>
        <v>215388</v>
      </c>
      <c r="BH11" s="194">
        <f t="shared" si="4"/>
        <v>215388</v>
      </c>
      <c r="BI11" s="195">
        <f t="shared" si="5"/>
        <v>500654</v>
      </c>
      <c r="BJ11" s="196">
        <f>BI11/BI29</f>
        <v>1.9932469420734778E-2</v>
      </c>
    </row>
    <row r="12" spans="1:62" hidden="1" x14ac:dyDescent="0.25">
      <c r="A12" s="120" t="s">
        <v>55</v>
      </c>
      <c r="B12" s="193"/>
      <c r="C12" s="197" t="str">
        <f>IF(ISBLANK(B12),"", B12*B9)</f>
        <v/>
      </c>
      <c r="D12" s="193"/>
      <c r="E12" s="197" t="str">
        <f>IF(ISBLANK(D12),"", D12*D9)</f>
        <v/>
      </c>
      <c r="F12" s="198"/>
      <c r="G12" s="197" t="str">
        <f>IF(ISBLANK(F12),"", F12*F9)</f>
        <v/>
      </c>
      <c r="H12" s="198">
        <v>44</v>
      </c>
      <c r="I12" s="197">
        <f>IF(ISBLANK(H12),"", H12*H9)</f>
        <v>105292</v>
      </c>
      <c r="J12" s="198">
        <v>0</v>
      </c>
      <c r="K12" s="197">
        <f>IF(ISBLANK(J12),"", J12*J9)</f>
        <v>0</v>
      </c>
      <c r="L12" s="193">
        <v>0</v>
      </c>
      <c r="M12" s="197">
        <f>IF(ISBLANK(L12),"", L12*L9)</f>
        <v>0</v>
      </c>
      <c r="N12" s="194">
        <f t="shared" si="0"/>
        <v>105292</v>
      </c>
      <c r="O12" s="193">
        <v>0</v>
      </c>
      <c r="P12" s="197">
        <f>IF(ISBLANK(O12),"", O12*O9)</f>
        <v>0</v>
      </c>
      <c r="Q12" s="198">
        <v>0</v>
      </c>
      <c r="R12" s="197">
        <f>IF(ISBLANK(Q12),"", Q12*Q9)</f>
        <v>0</v>
      </c>
      <c r="S12" s="198"/>
      <c r="T12" s="197" t="str">
        <f>IF(ISBLANK(S12),"", S12*S9)</f>
        <v/>
      </c>
      <c r="U12" s="198">
        <v>11</v>
      </c>
      <c r="V12" s="197">
        <f>IF(ISBLANK(U12),"", U12*U9)</f>
        <v>32912</v>
      </c>
      <c r="W12" s="194">
        <f t="shared" si="1"/>
        <v>32912</v>
      </c>
      <c r="X12" s="198"/>
      <c r="Y12" s="197" t="str">
        <f>IF(ISBLANK(X12),"", X12*X9)</f>
        <v/>
      </c>
      <c r="Z12" s="198"/>
      <c r="AA12" s="197" t="str">
        <f>IF(ISBLANK(Z12),"", Z12*Z9)</f>
        <v/>
      </c>
      <c r="AB12" s="198"/>
      <c r="AC12" s="197" t="str">
        <f>IF(ISBLANK(AB12),"", AB12*AB9)</f>
        <v/>
      </c>
      <c r="AD12" s="198">
        <v>0</v>
      </c>
      <c r="AE12" s="197">
        <f>IF(ISBLANK(AD12),"", AD12*AD9)</f>
        <v>0</v>
      </c>
      <c r="AF12" s="198"/>
      <c r="AG12" s="197" t="str">
        <f>IF(ISBLANK(AF12),"", AF12*AF9)</f>
        <v/>
      </c>
      <c r="AH12" s="193"/>
      <c r="AI12" s="197" t="str">
        <f>IF(ISBLANK(AH12),"", AH12*AH9)</f>
        <v/>
      </c>
      <c r="AJ12" s="193"/>
      <c r="AK12" s="197" t="str">
        <f>IF(ISBLANK(AJ12),"", AJ12*AJ9)</f>
        <v/>
      </c>
      <c r="AL12" s="193"/>
      <c r="AM12" s="197" t="str">
        <f>IF(ISBLANK(AL12),"", AL12*AL9)</f>
        <v/>
      </c>
      <c r="AN12" s="193"/>
      <c r="AO12" s="197" t="str">
        <f>IF(ISBLANK(AN12),"", AN12*AN9)</f>
        <v/>
      </c>
      <c r="AP12" s="194">
        <f t="shared" si="2"/>
        <v>0</v>
      </c>
      <c r="AQ12" s="193"/>
      <c r="AR12" s="197" t="str">
        <f>IF(ISBLANK(AQ12),"", AQ12*AQ9)</f>
        <v/>
      </c>
      <c r="AS12" s="198"/>
      <c r="AT12" s="197" t="str">
        <f>IF(ISBLANK(AS12),"", AS12*AS9)</f>
        <v/>
      </c>
      <c r="AU12" s="198">
        <v>23</v>
      </c>
      <c r="AV12" s="197">
        <f>IF(ISBLANK(AU12),"", AU12*AU9)</f>
        <v>2760</v>
      </c>
      <c r="AW12" s="198"/>
      <c r="AX12" s="197" t="str">
        <f>IF(ISBLANK(AW12),"", AW12*AW9)</f>
        <v/>
      </c>
      <c r="AY12" s="193">
        <v>32</v>
      </c>
      <c r="AZ12" s="197">
        <f>IF(ISBLANK(AY12),"", AY12*AY9)</f>
        <v>7648</v>
      </c>
      <c r="BA12" s="193">
        <v>39</v>
      </c>
      <c r="BB12" s="197">
        <f>IF(ISBLANK(BA12),"", BA12*BA9)</f>
        <v>18681</v>
      </c>
      <c r="BC12" s="194">
        <f t="shared" si="3"/>
        <v>29089</v>
      </c>
      <c r="BD12" s="198"/>
      <c r="BE12" s="197" t="str">
        <f>IF(ISBLANK(BD12),"", BD12*BD9)</f>
        <v/>
      </c>
      <c r="BF12" s="198">
        <v>35</v>
      </c>
      <c r="BG12" s="197">
        <f>IF(ISBLANK(BF12),"", BF12*BF9)</f>
        <v>209405</v>
      </c>
      <c r="BH12" s="194">
        <f t="shared" si="4"/>
        <v>209405</v>
      </c>
      <c r="BI12" s="195">
        <f t="shared" si="5"/>
        <v>376698</v>
      </c>
      <c r="BJ12" s="196">
        <f>BI12/BI29</f>
        <v>1.4997426098367234E-2</v>
      </c>
    </row>
    <row r="13" spans="1:62" hidden="1" x14ac:dyDescent="0.25">
      <c r="A13" s="120" t="s">
        <v>56</v>
      </c>
      <c r="B13" s="193"/>
      <c r="C13" s="197" t="str">
        <f>IF(ISBLANK(B13),"", B13*B9)</f>
        <v/>
      </c>
      <c r="D13" s="193"/>
      <c r="E13" s="197" t="str">
        <f>IF(ISBLANK(D13),"", D13*D9)</f>
        <v/>
      </c>
      <c r="F13" s="198"/>
      <c r="G13" s="197" t="str">
        <f>IF(ISBLANK(F13),"", F13*F9)</f>
        <v/>
      </c>
      <c r="H13" s="198">
        <v>31</v>
      </c>
      <c r="I13" s="197">
        <f>IF(ISBLANK(H13),"", H13*H9)</f>
        <v>74183</v>
      </c>
      <c r="J13" s="198">
        <v>0</v>
      </c>
      <c r="K13" s="197">
        <f>IF(ISBLANK(J13),"", J13*J9)</f>
        <v>0</v>
      </c>
      <c r="L13" s="193">
        <v>0</v>
      </c>
      <c r="M13" s="197">
        <f>IF(ISBLANK(L13),"", L13*L9)</f>
        <v>0</v>
      </c>
      <c r="N13" s="194">
        <f t="shared" si="0"/>
        <v>74183</v>
      </c>
      <c r="O13" s="193">
        <v>0</v>
      </c>
      <c r="P13" s="197">
        <f>IF(ISBLANK(O13),"", O13*O9)</f>
        <v>0</v>
      </c>
      <c r="Q13" s="198">
        <v>0</v>
      </c>
      <c r="R13" s="197">
        <f>IF(ISBLANK(Q13),"", Q13*Q9)</f>
        <v>0</v>
      </c>
      <c r="S13" s="198"/>
      <c r="T13" s="197" t="str">
        <f>IF(ISBLANK(S13),"", S13*S9)</f>
        <v/>
      </c>
      <c r="U13" s="198">
        <v>30</v>
      </c>
      <c r="V13" s="197">
        <f>IF(ISBLANK(U13),"", U13*U9)</f>
        <v>89760</v>
      </c>
      <c r="W13" s="194">
        <f t="shared" si="1"/>
        <v>89760</v>
      </c>
      <c r="X13" s="198"/>
      <c r="Y13" s="197" t="str">
        <f>IF(ISBLANK(X13),"", X13*X9)</f>
        <v/>
      </c>
      <c r="Z13" s="198"/>
      <c r="AA13" s="197" t="str">
        <f>IF(ISBLANK(Z13),"", Z13*Z9)</f>
        <v/>
      </c>
      <c r="AB13" s="198"/>
      <c r="AC13" s="197" t="str">
        <f>IF(ISBLANK(AB13),"", AB13*AB9)</f>
        <v/>
      </c>
      <c r="AD13" s="198"/>
      <c r="AE13" s="197" t="str">
        <f>IF(ISBLANK(AD13),"", AD13*AD9)</f>
        <v/>
      </c>
      <c r="AF13" s="198"/>
      <c r="AG13" s="197" t="str">
        <f>IF(ISBLANK(AF13),"", AF13*AF9)</f>
        <v/>
      </c>
      <c r="AH13" s="193"/>
      <c r="AI13" s="197" t="str">
        <f>IF(ISBLANK(AH13),"", AH13*AH9)</f>
        <v/>
      </c>
      <c r="AJ13" s="193"/>
      <c r="AK13" s="197" t="str">
        <f>IF(ISBLANK(AJ13),"", AJ13*AJ9)</f>
        <v/>
      </c>
      <c r="AL13" s="193"/>
      <c r="AM13" s="197" t="str">
        <f>IF(ISBLANK(AL13),"", AL13*AL9)</f>
        <v/>
      </c>
      <c r="AN13" s="193"/>
      <c r="AO13" s="197" t="str">
        <f>IF(ISBLANK(AN13),"", AN13*AN9)</f>
        <v/>
      </c>
      <c r="AP13" s="194">
        <f t="shared" si="2"/>
        <v>0</v>
      </c>
      <c r="AQ13" s="193"/>
      <c r="AR13" s="197" t="str">
        <f>IF(ISBLANK(AQ13),"", AQ13*AQ9)</f>
        <v/>
      </c>
      <c r="AS13" s="198"/>
      <c r="AT13" s="197" t="str">
        <f>IF(ISBLANK(AS13),"", AS13*AS9)</f>
        <v/>
      </c>
      <c r="AU13" s="198">
        <v>42</v>
      </c>
      <c r="AV13" s="197">
        <f>IF(ISBLANK(AU13),"", AU13*AU9)</f>
        <v>5040</v>
      </c>
      <c r="AW13" s="198"/>
      <c r="AX13" s="197" t="str">
        <f>IF(ISBLANK(AW13),"", AW13*AW9)</f>
        <v/>
      </c>
      <c r="AY13" s="193">
        <v>43</v>
      </c>
      <c r="AZ13" s="197">
        <f>IF(ISBLANK(AY13),"", AY13*AY9)</f>
        <v>10277</v>
      </c>
      <c r="BA13" s="193">
        <v>53</v>
      </c>
      <c r="BB13" s="197">
        <f>IF(ISBLANK(BA13),"", BA13*BA9)</f>
        <v>25387</v>
      </c>
      <c r="BC13" s="194">
        <f t="shared" si="3"/>
        <v>40704</v>
      </c>
      <c r="BD13" s="198"/>
      <c r="BE13" s="197" t="str">
        <f>IF(ISBLANK(BD13),"", BD13*BD9)</f>
        <v/>
      </c>
      <c r="BF13" s="198">
        <v>49</v>
      </c>
      <c r="BG13" s="197">
        <f>IF(ISBLANK(BF13),"", BF13*BF9)</f>
        <v>293167</v>
      </c>
      <c r="BH13" s="194">
        <f t="shared" si="4"/>
        <v>293167</v>
      </c>
      <c r="BI13" s="195">
        <f t="shared" si="5"/>
        <v>497814</v>
      </c>
      <c r="BJ13" s="196">
        <f>BI13/BI29</f>
        <v>1.9819400888065736E-2</v>
      </c>
    </row>
    <row r="14" spans="1:62" hidden="1" x14ac:dyDescent="0.25">
      <c r="A14" s="120" t="s">
        <v>57</v>
      </c>
      <c r="B14" s="193"/>
      <c r="C14" s="197" t="str">
        <f>IF(ISBLANK(B14),"", B14*B9)</f>
        <v/>
      </c>
      <c r="D14" s="193"/>
      <c r="E14" s="197" t="str">
        <f>IF(ISBLANK(D14),"", D14*D9)</f>
        <v/>
      </c>
      <c r="F14" s="198"/>
      <c r="G14" s="197" t="str">
        <f>IF(ISBLANK(F14),"", F14*F9)</f>
        <v/>
      </c>
      <c r="H14" s="198">
        <v>329</v>
      </c>
      <c r="I14" s="197">
        <f>IF(ISBLANK(H14),"", H14*H9)</f>
        <v>787297</v>
      </c>
      <c r="J14" s="198">
        <v>6</v>
      </c>
      <c r="K14" s="197">
        <f>IF(ISBLANK(J14),"", J14*J9)</f>
        <v>7182</v>
      </c>
      <c r="L14" s="193">
        <v>0</v>
      </c>
      <c r="M14" s="197">
        <f>IF(ISBLANK(L14),"", L14*L9)</f>
        <v>0</v>
      </c>
      <c r="N14" s="194">
        <f t="shared" si="0"/>
        <v>794479</v>
      </c>
      <c r="O14" s="193">
        <v>0</v>
      </c>
      <c r="P14" s="197">
        <f>IF(ISBLANK(O14),"", O14*O9)</f>
        <v>0</v>
      </c>
      <c r="Q14" s="198">
        <v>0</v>
      </c>
      <c r="R14" s="197">
        <f>IF(ISBLANK(Q14),"", Q14*Q9)</f>
        <v>0</v>
      </c>
      <c r="S14" s="198"/>
      <c r="T14" s="197" t="str">
        <f>IF(ISBLANK(S14),"", S14*S9)</f>
        <v/>
      </c>
      <c r="U14" s="198">
        <v>159</v>
      </c>
      <c r="V14" s="197">
        <f>IF(ISBLANK(U14),"", U14*U9)</f>
        <v>475728</v>
      </c>
      <c r="W14" s="194">
        <f t="shared" si="1"/>
        <v>475728</v>
      </c>
      <c r="X14" s="198"/>
      <c r="Y14" s="197" t="str">
        <f>IF(ISBLANK(X14),"", X14*X9)</f>
        <v/>
      </c>
      <c r="Z14" s="198"/>
      <c r="AA14" s="197" t="str">
        <f>IF(ISBLANK(Z14),"", Z14*Z9)</f>
        <v/>
      </c>
      <c r="AB14" s="198"/>
      <c r="AC14" s="197" t="str">
        <f>IF(ISBLANK(AB14),"", AB14*AB9)</f>
        <v/>
      </c>
      <c r="AD14" s="198"/>
      <c r="AE14" s="197" t="str">
        <f>IF(ISBLANK(AD14),"", AD14*AD9)</f>
        <v/>
      </c>
      <c r="AF14" s="198"/>
      <c r="AG14" s="197" t="str">
        <f>IF(ISBLANK(AF14),"", AF14*AF9)</f>
        <v/>
      </c>
      <c r="AH14" s="193"/>
      <c r="AI14" s="197" t="str">
        <f>IF(ISBLANK(AH14),"", AH14*AH9)</f>
        <v/>
      </c>
      <c r="AJ14" s="193">
        <v>206</v>
      </c>
      <c r="AK14" s="197">
        <f>IF(ISBLANK(AJ14),"", AJ14*AJ9)</f>
        <v>1232498</v>
      </c>
      <c r="AL14" s="193">
        <v>4</v>
      </c>
      <c r="AM14" s="197">
        <f>IF(ISBLANK(AL14),"", AL14*AL9)</f>
        <v>11968</v>
      </c>
      <c r="AN14" s="193">
        <v>5</v>
      </c>
      <c r="AO14" s="197">
        <f>IF(ISBLANK(AN14),"", AN14*AN9)</f>
        <v>7480</v>
      </c>
      <c r="AP14" s="194">
        <f t="shared" si="2"/>
        <v>1251946</v>
      </c>
      <c r="AQ14" s="193"/>
      <c r="AR14" s="197" t="str">
        <f>IF(ISBLANK(AQ14),"", AQ14*AQ9)</f>
        <v/>
      </c>
      <c r="AS14" s="198"/>
      <c r="AT14" s="197" t="str">
        <f>IF(ISBLANK(AS14),"", AS14*AS9)</f>
        <v/>
      </c>
      <c r="AU14" s="198"/>
      <c r="AV14" s="197" t="str">
        <f>IF(ISBLANK(AU14),"", AU14*AU9)</f>
        <v/>
      </c>
      <c r="AW14" s="198"/>
      <c r="AX14" s="197" t="str">
        <f>IF(ISBLANK(AW14),"", AW14*AW9)</f>
        <v/>
      </c>
      <c r="AY14" s="193"/>
      <c r="AZ14" s="197" t="str">
        <f>IF(ISBLANK(AY14),"", AY14*AY9)</f>
        <v/>
      </c>
      <c r="BA14" s="193"/>
      <c r="BB14" s="197" t="str">
        <f>IF(ISBLANK(BA14),"", BA14*BA9)</f>
        <v/>
      </c>
      <c r="BC14" s="194">
        <f t="shared" si="3"/>
        <v>0</v>
      </c>
      <c r="BD14" s="198"/>
      <c r="BE14" s="197" t="str">
        <f>IF(ISBLANK(BD14),"", BD14*BD9)</f>
        <v/>
      </c>
      <c r="BF14" s="198">
        <v>393</v>
      </c>
      <c r="BG14" s="197">
        <f>IF(ISBLANK(BF14),"", BF14*BF9)</f>
        <v>2351319</v>
      </c>
      <c r="BH14" s="194">
        <f t="shared" si="4"/>
        <v>2351319</v>
      </c>
      <c r="BI14" s="195">
        <f t="shared" si="5"/>
        <v>4873472</v>
      </c>
      <c r="BJ14" s="196">
        <f>BI14/BI29</f>
        <v>0.19402687607171251</v>
      </c>
    </row>
    <row r="15" spans="1:62" hidden="1" x14ac:dyDescent="0.25">
      <c r="A15" s="120" t="s">
        <v>58</v>
      </c>
      <c r="B15" s="193"/>
      <c r="C15" s="197" t="str">
        <f>IF(ISBLANK(B15),"", B15*B9)</f>
        <v/>
      </c>
      <c r="D15" s="193"/>
      <c r="E15" s="197" t="str">
        <f>IF(ISBLANK(D15),"", D15*D9)</f>
        <v/>
      </c>
      <c r="F15" s="198"/>
      <c r="G15" s="197" t="str">
        <f>IF(ISBLANK(F15),"", F15*F9)</f>
        <v/>
      </c>
      <c r="H15" s="198">
        <v>1</v>
      </c>
      <c r="I15" s="197">
        <f>IF(ISBLANK(H15),"", H15*H9)</f>
        <v>2393</v>
      </c>
      <c r="J15" s="198">
        <v>14</v>
      </c>
      <c r="K15" s="197">
        <f>IF(ISBLANK(J15),"", J15*J9)</f>
        <v>16758</v>
      </c>
      <c r="L15" s="193">
        <v>0</v>
      </c>
      <c r="M15" s="197">
        <f>IF(ISBLANK(L15),"", L15*L9)</f>
        <v>0</v>
      </c>
      <c r="N15" s="194">
        <f t="shared" si="0"/>
        <v>19151</v>
      </c>
      <c r="O15" s="193">
        <v>0</v>
      </c>
      <c r="P15" s="197">
        <f>IF(ISBLANK(O15),"", O15*O9)</f>
        <v>0</v>
      </c>
      <c r="Q15" s="198">
        <v>0</v>
      </c>
      <c r="R15" s="197">
        <f>IF(ISBLANK(Q15),"", Q15*Q9)</f>
        <v>0</v>
      </c>
      <c r="S15" s="198"/>
      <c r="T15" s="197" t="str">
        <f>IF(ISBLANK(S15),"", S15*S9)</f>
        <v/>
      </c>
      <c r="U15" s="198">
        <v>23</v>
      </c>
      <c r="V15" s="197">
        <f>IF(ISBLANK(U15),"", U15*U9)</f>
        <v>68816</v>
      </c>
      <c r="W15" s="194">
        <f t="shared" si="1"/>
        <v>68816</v>
      </c>
      <c r="X15" s="198"/>
      <c r="Y15" s="197" t="str">
        <f>IF(ISBLANK(X15),"", X15*X9)</f>
        <v/>
      </c>
      <c r="Z15" s="198"/>
      <c r="AA15" s="197" t="str">
        <f>IF(ISBLANK(Z15),"", Z15*Z9)</f>
        <v/>
      </c>
      <c r="AB15" s="198"/>
      <c r="AC15" s="197" t="str">
        <f>IF(ISBLANK(AB15),"", AB15*AB9)</f>
        <v/>
      </c>
      <c r="AD15" s="198">
        <v>0</v>
      </c>
      <c r="AE15" s="197">
        <f>IF(ISBLANK(AD15),"", AD15*AD9)</f>
        <v>0</v>
      </c>
      <c r="AF15" s="198">
        <v>0</v>
      </c>
      <c r="AG15" s="197">
        <f>IF(ISBLANK(AF15),"", AF15*AF9)</f>
        <v>0</v>
      </c>
      <c r="AH15" s="193"/>
      <c r="AI15" s="197" t="str">
        <f>IF(ISBLANK(AH15),"", AH15*AH9)</f>
        <v/>
      </c>
      <c r="AJ15" s="193"/>
      <c r="AK15" s="197" t="str">
        <f>IF(ISBLANK(AJ15),"", AJ15*AJ9)</f>
        <v/>
      </c>
      <c r="AL15" s="193"/>
      <c r="AM15" s="197" t="str">
        <f>IF(ISBLANK(AL15),"", AL15*AL9)</f>
        <v/>
      </c>
      <c r="AN15" s="193"/>
      <c r="AO15" s="197" t="str">
        <f>IF(ISBLANK(AN15),"", AN15*AN9)</f>
        <v/>
      </c>
      <c r="AP15" s="194">
        <f t="shared" si="2"/>
        <v>0</v>
      </c>
      <c r="AQ15" s="193"/>
      <c r="AR15" s="197" t="str">
        <f>IF(ISBLANK(AQ15),"", AQ15*AQ9)</f>
        <v/>
      </c>
      <c r="AS15" s="198"/>
      <c r="AT15" s="197" t="str">
        <f>IF(ISBLANK(AS15),"", AS15*AS9)</f>
        <v/>
      </c>
      <c r="AU15" s="198">
        <v>25</v>
      </c>
      <c r="AV15" s="197">
        <f>IF(ISBLANK(AU15),"", AU15*AU9)</f>
        <v>3000</v>
      </c>
      <c r="AW15" s="198"/>
      <c r="AX15" s="197" t="str">
        <f>IF(ISBLANK(AW15),"", AW15*AW9)</f>
        <v/>
      </c>
      <c r="AY15" s="193">
        <v>76</v>
      </c>
      <c r="AZ15" s="197">
        <f>IF(ISBLANK(AY15),"", AY15*AY9)</f>
        <v>18164</v>
      </c>
      <c r="BA15" s="193">
        <v>65</v>
      </c>
      <c r="BB15" s="197">
        <f>IF(ISBLANK(BA15),"", BA15*BA9)</f>
        <v>31135</v>
      </c>
      <c r="BC15" s="194">
        <f t="shared" si="3"/>
        <v>52299</v>
      </c>
      <c r="BD15" s="198"/>
      <c r="BE15" s="197" t="str">
        <f>IF(ISBLANK(BD15),"", BD15*BD9)</f>
        <v/>
      </c>
      <c r="BF15" s="198">
        <v>58</v>
      </c>
      <c r="BG15" s="197">
        <f>IF(ISBLANK(BF15),"", BF15*BF9)</f>
        <v>347014</v>
      </c>
      <c r="BH15" s="194">
        <f t="shared" si="4"/>
        <v>347014</v>
      </c>
      <c r="BI15" s="195">
        <f t="shared" si="5"/>
        <v>487280</v>
      </c>
      <c r="BJ15" s="196">
        <f>BI15/BI29</f>
        <v>1.9400012182736265E-2</v>
      </c>
    </row>
    <row r="16" spans="1:62" ht="15.75" hidden="1" customHeight="1" thickBot="1" x14ac:dyDescent="0.3">
      <c r="A16" s="120" t="s">
        <v>59</v>
      </c>
      <c r="B16" s="193"/>
      <c r="C16" s="197" t="str">
        <f>IF(ISBLANK(B16),"", B16*B9)</f>
        <v/>
      </c>
      <c r="D16" s="193"/>
      <c r="E16" s="197" t="str">
        <f>IF(ISBLANK(D16),"", D16*D9)</f>
        <v/>
      </c>
      <c r="F16" s="198"/>
      <c r="G16" s="197" t="str">
        <f>IF(ISBLANK(F16),"", F16*F9)</f>
        <v/>
      </c>
      <c r="H16" s="198">
        <v>5</v>
      </c>
      <c r="I16" s="197">
        <f>IF(ISBLANK(H16),"", H16*H9)</f>
        <v>11965</v>
      </c>
      <c r="J16" s="198">
        <v>0</v>
      </c>
      <c r="K16" s="197">
        <f>IF(ISBLANK(J16),"", J16*J9)</f>
        <v>0</v>
      </c>
      <c r="L16" s="193">
        <v>0</v>
      </c>
      <c r="M16" s="197">
        <f>IF(ISBLANK(L16),"", L16*L9)</f>
        <v>0</v>
      </c>
      <c r="N16" s="194">
        <f t="shared" si="0"/>
        <v>11965</v>
      </c>
      <c r="O16" s="193">
        <v>0</v>
      </c>
      <c r="P16" s="197">
        <f>IF(ISBLANK(O16),"", O16*O9)</f>
        <v>0</v>
      </c>
      <c r="Q16" s="198">
        <v>0</v>
      </c>
      <c r="R16" s="197">
        <f>IF(ISBLANK(Q16),"", Q16*Q9)</f>
        <v>0</v>
      </c>
      <c r="S16" s="198"/>
      <c r="T16" s="197" t="str">
        <f>IF(ISBLANK(S16),"", S16*S9)</f>
        <v/>
      </c>
      <c r="U16" s="198">
        <v>19</v>
      </c>
      <c r="V16" s="197">
        <f>IF(ISBLANK(U16),"", U16*U9)</f>
        <v>56848</v>
      </c>
      <c r="W16" s="194">
        <f t="shared" si="1"/>
        <v>56848</v>
      </c>
      <c r="X16" s="198"/>
      <c r="Y16" s="197" t="str">
        <f>IF(ISBLANK(X16),"", X16*X9)</f>
        <v/>
      </c>
      <c r="Z16" s="198"/>
      <c r="AA16" s="197" t="str">
        <f>IF(ISBLANK(Z16),"", Z16*Z9)</f>
        <v/>
      </c>
      <c r="AB16" s="198"/>
      <c r="AC16" s="197" t="str">
        <f>IF(ISBLANK(AB16),"", AB16*AB9)</f>
        <v/>
      </c>
      <c r="AD16" s="198">
        <v>1</v>
      </c>
      <c r="AE16" s="197">
        <f>IF(ISBLANK(AD16),"", AD16*AD9)</f>
        <v>2393</v>
      </c>
      <c r="AF16" s="198"/>
      <c r="AG16" s="197" t="str">
        <f>IF(ISBLANK(AF16),"", AF16*AF9)</f>
        <v/>
      </c>
      <c r="AH16" s="193"/>
      <c r="AI16" s="197" t="str">
        <f>IF(ISBLANK(AH16),"", AH16*AH9)</f>
        <v/>
      </c>
      <c r="AJ16" s="193"/>
      <c r="AK16" s="197" t="str">
        <f>IF(ISBLANK(AJ16),"", AJ16*AJ9)</f>
        <v/>
      </c>
      <c r="AL16" s="193"/>
      <c r="AM16" s="197" t="str">
        <f>IF(ISBLANK(AL16),"", AL16*AL9)</f>
        <v/>
      </c>
      <c r="AN16" s="193"/>
      <c r="AO16" s="197" t="str">
        <f>IF(ISBLANK(AN16),"", AN16*AN9)</f>
        <v/>
      </c>
      <c r="AP16" s="194">
        <f t="shared" si="2"/>
        <v>2393</v>
      </c>
      <c r="AQ16" s="193"/>
      <c r="AR16" s="197" t="str">
        <f>IF(ISBLANK(AQ16),"", AQ16*AQ9)</f>
        <v/>
      </c>
      <c r="AS16" s="198"/>
      <c r="AT16" s="197" t="str">
        <f>IF(ISBLANK(AS16),"", AS16*AS9)</f>
        <v/>
      </c>
      <c r="AU16" s="198">
        <v>0</v>
      </c>
      <c r="AV16" s="197">
        <f>IF(ISBLANK(AU16),"", AU16*AU9)</f>
        <v>0</v>
      </c>
      <c r="AW16" s="198"/>
      <c r="AX16" s="197" t="str">
        <f>IF(ISBLANK(AW16),"", AW16*AW9)</f>
        <v/>
      </c>
      <c r="AY16" s="193">
        <v>68</v>
      </c>
      <c r="AZ16" s="197">
        <f>IF(ISBLANK(AY16),"", AY16*AY9)</f>
        <v>16252</v>
      </c>
      <c r="BA16" s="193">
        <v>61</v>
      </c>
      <c r="BB16" s="197">
        <f>IF(ISBLANK(BA16),"", BA16*BA9)</f>
        <v>29219</v>
      </c>
      <c r="BC16" s="194">
        <f t="shared" si="3"/>
        <v>45471</v>
      </c>
      <c r="BD16" s="198"/>
      <c r="BE16" s="197" t="str">
        <f>IF(ISBLANK(BD16),"", BD16*BD9)</f>
        <v/>
      </c>
      <c r="BF16" s="198">
        <v>47</v>
      </c>
      <c r="BG16" s="197">
        <f>IF(ISBLANK(BF16),"", BF16*BF9)</f>
        <v>281201</v>
      </c>
      <c r="BH16" s="194">
        <f t="shared" si="4"/>
        <v>281201</v>
      </c>
      <c r="BI16" s="199">
        <f t="shared" si="5"/>
        <v>397878</v>
      </c>
      <c r="BJ16" s="200">
        <f>BI16/BI29</f>
        <v>1.5840662549751149E-2</v>
      </c>
    </row>
    <row r="17" spans="1:62" ht="15.75" hidden="1" customHeight="1" thickTop="1" x14ac:dyDescent="0.25">
      <c r="A17" s="201" t="s">
        <v>131</v>
      </c>
      <c r="B17" s="202" t="str">
        <f t="shared" ref="B17:M17" si="6">IF(COUNT(B10:B16) = 0, "", SUM(B10:B16))</f>
        <v/>
      </c>
      <c r="C17" s="203" t="str">
        <f t="shared" si="6"/>
        <v/>
      </c>
      <c r="D17" s="202" t="str">
        <f t="shared" si="6"/>
        <v/>
      </c>
      <c r="E17" s="203" t="str">
        <f t="shared" si="6"/>
        <v/>
      </c>
      <c r="F17" s="204" t="str">
        <f t="shared" si="6"/>
        <v/>
      </c>
      <c r="G17" s="203" t="str">
        <f t="shared" si="6"/>
        <v/>
      </c>
      <c r="H17" s="204">
        <f t="shared" si="6"/>
        <v>486</v>
      </c>
      <c r="I17" s="203">
        <f t="shared" si="6"/>
        <v>1162998</v>
      </c>
      <c r="J17" s="204">
        <f t="shared" si="6"/>
        <v>72</v>
      </c>
      <c r="K17" s="203">
        <f t="shared" si="6"/>
        <v>86184</v>
      </c>
      <c r="L17" s="202">
        <f t="shared" si="6"/>
        <v>0</v>
      </c>
      <c r="M17" s="203">
        <f t="shared" si="6"/>
        <v>0</v>
      </c>
      <c r="N17" s="205">
        <f>SUM(N10:N16)</f>
        <v>1249182</v>
      </c>
      <c r="O17" s="202">
        <f t="shared" ref="O17:V17" si="7">IF(COUNT(O10:O16) = 0, "", SUM(O10:O16))</f>
        <v>0</v>
      </c>
      <c r="P17" s="203">
        <f t="shared" si="7"/>
        <v>0</v>
      </c>
      <c r="Q17" s="204">
        <f t="shared" si="7"/>
        <v>0</v>
      </c>
      <c r="R17" s="203">
        <f t="shared" si="7"/>
        <v>0</v>
      </c>
      <c r="S17" s="204" t="str">
        <f t="shared" si="7"/>
        <v/>
      </c>
      <c r="T17" s="203" t="str">
        <f t="shared" si="7"/>
        <v/>
      </c>
      <c r="U17" s="204">
        <f t="shared" si="7"/>
        <v>338</v>
      </c>
      <c r="V17" s="203">
        <f t="shared" si="7"/>
        <v>1011296</v>
      </c>
      <c r="W17" s="205">
        <f>SUM(W10:W16)</f>
        <v>1011296</v>
      </c>
      <c r="X17" s="204" t="str">
        <f t="shared" ref="X17:AO17" si="8">IF(COUNT(X10:X16) = 0, "", SUM(X10:X16))</f>
        <v/>
      </c>
      <c r="Y17" s="203" t="str">
        <f t="shared" si="8"/>
        <v/>
      </c>
      <c r="Z17" s="204" t="str">
        <f t="shared" si="8"/>
        <v/>
      </c>
      <c r="AA17" s="203" t="str">
        <f t="shared" si="8"/>
        <v/>
      </c>
      <c r="AB17" s="204" t="str">
        <f t="shared" si="8"/>
        <v/>
      </c>
      <c r="AC17" s="203" t="str">
        <f t="shared" si="8"/>
        <v/>
      </c>
      <c r="AD17" s="204">
        <f t="shared" si="8"/>
        <v>7</v>
      </c>
      <c r="AE17" s="203">
        <f t="shared" si="8"/>
        <v>16751</v>
      </c>
      <c r="AF17" s="204">
        <f t="shared" si="8"/>
        <v>0</v>
      </c>
      <c r="AG17" s="203">
        <f t="shared" si="8"/>
        <v>0</v>
      </c>
      <c r="AH17" s="202" t="str">
        <f t="shared" si="8"/>
        <v/>
      </c>
      <c r="AI17" s="203" t="str">
        <f t="shared" si="8"/>
        <v/>
      </c>
      <c r="AJ17" s="202">
        <f t="shared" si="8"/>
        <v>214</v>
      </c>
      <c r="AK17" s="203">
        <f t="shared" si="8"/>
        <v>1280362</v>
      </c>
      <c r="AL17" s="202">
        <f t="shared" si="8"/>
        <v>8</v>
      </c>
      <c r="AM17" s="203">
        <f t="shared" si="8"/>
        <v>23936</v>
      </c>
      <c r="AN17" s="202">
        <f t="shared" si="8"/>
        <v>5</v>
      </c>
      <c r="AO17" s="203">
        <f t="shared" si="8"/>
        <v>7480</v>
      </c>
      <c r="AP17" s="205">
        <f>SUM(AP10:AP16)</f>
        <v>1328529</v>
      </c>
      <c r="AQ17" s="202" t="str">
        <f t="shared" ref="AQ17:BB17" si="9">IF(COUNT(AQ10:AQ16) = 0, "", SUM(AQ10:AQ16))</f>
        <v/>
      </c>
      <c r="AR17" s="203" t="str">
        <f t="shared" si="9"/>
        <v/>
      </c>
      <c r="AS17" s="204" t="str">
        <f t="shared" si="9"/>
        <v/>
      </c>
      <c r="AT17" s="203" t="str">
        <f t="shared" si="9"/>
        <v/>
      </c>
      <c r="AU17" s="204">
        <f t="shared" si="9"/>
        <v>90</v>
      </c>
      <c r="AV17" s="203">
        <f t="shared" si="9"/>
        <v>10800</v>
      </c>
      <c r="AW17" s="204" t="str">
        <f t="shared" si="9"/>
        <v/>
      </c>
      <c r="AX17" s="203" t="str">
        <f t="shared" si="9"/>
        <v/>
      </c>
      <c r="AY17" s="202">
        <f t="shared" si="9"/>
        <v>249</v>
      </c>
      <c r="AZ17" s="203">
        <f t="shared" si="9"/>
        <v>59511</v>
      </c>
      <c r="BA17" s="202">
        <f t="shared" si="9"/>
        <v>249</v>
      </c>
      <c r="BB17" s="203">
        <f t="shared" si="9"/>
        <v>119271</v>
      </c>
      <c r="BC17" s="205">
        <f>SUM(BC10:BC16)</f>
        <v>189582</v>
      </c>
      <c r="BD17" s="204" t="str">
        <f>IF(COUNT(BD10:BD16) = 0, "", SUM(BD10:BD16))</f>
        <v/>
      </c>
      <c r="BE17" s="203" t="str">
        <f>IF(COUNT(BE10:BE16) = 0, "", SUM(BE10:BE16))</f>
        <v/>
      </c>
      <c r="BF17" s="204">
        <f>IF(COUNT(BF10:BF16) = 0, "", SUM(BF10:BF16))</f>
        <v>880</v>
      </c>
      <c r="BG17" s="203">
        <f>IF(COUNT(BG10:BG16) = 0, "", SUM(BG10:BG16))</f>
        <v>5265040</v>
      </c>
      <c r="BH17" s="205">
        <f>SUM(BH10:BH16)</f>
        <v>5265040</v>
      </c>
      <c r="BI17" s="206">
        <f>SUM(BI10:BI16)</f>
        <v>9043629</v>
      </c>
      <c r="BJ17" s="207">
        <f>BI17/BI29</f>
        <v>0.36005276796943647</v>
      </c>
    </row>
    <row r="18" spans="1:62" hidden="1" x14ac:dyDescent="0.25">
      <c r="A18" s="208"/>
      <c r="B18" s="209"/>
      <c r="C18" s="210"/>
      <c r="D18" s="211"/>
      <c r="E18" s="211"/>
      <c r="F18" s="212"/>
      <c r="G18" s="210"/>
      <c r="H18" s="212"/>
      <c r="I18" s="210"/>
      <c r="J18" s="212"/>
      <c r="K18" s="210"/>
      <c r="L18" s="209"/>
      <c r="M18" s="210"/>
      <c r="N18" s="213"/>
      <c r="O18" s="209"/>
      <c r="P18" s="210"/>
      <c r="Q18" s="211"/>
      <c r="R18" s="211"/>
      <c r="S18" s="212"/>
      <c r="T18" s="210"/>
      <c r="U18" s="212"/>
      <c r="V18" s="210"/>
      <c r="W18" s="213"/>
      <c r="X18" s="212"/>
      <c r="Y18" s="210"/>
      <c r="Z18" s="212"/>
      <c r="AA18" s="210"/>
      <c r="AB18" s="212"/>
      <c r="AC18" s="210"/>
      <c r="AD18" s="212"/>
      <c r="AE18" s="210"/>
      <c r="AF18" s="212"/>
      <c r="AG18" s="210"/>
      <c r="AH18" s="209"/>
      <c r="AI18" s="210"/>
      <c r="AJ18" s="209"/>
      <c r="AK18" s="210"/>
      <c r="AL18" s="209"/>
      <c r="AM18" s="210"/>
      <c r="AN18" s="209"/>
      <c r="AO18" s="210"/>
      <c r="AP18" s="213"/>
      <c r="AQ18" s="209"/>
      <c r="AR18" s="210"/>
      <c r="AS18" s="212"/>
      <c r="AT18" s="210"/>
      <c r="AU18" s="212"/>
      <c r="AV18" s="210"/>
      <c r="AW18" s="212"/>
      <c r="AX18" s="210"/>
      <c r="AY18" s="209"/>
      <c r="AZ18" s="210"/>
      <c r="BA18" s="209"/>
      <c r="BB18" s="210"/>
      <c r="BC18" s="213"/>
      <c r="BD18" s="212"/>
      <c r="BE18" s="210"/>
      <c r="BF18" s="212"/>
      <c r="BG18" s="210"/>
      <c r="BH18" s="213"/>
      <c r="BI18" s="214"/>
      <c r="BJ18" s="215"/>
    </row>
    <row r="19" spans="1:62" hidden="1" x14ac:dyDescent="0.25">
      <c r="A19" s="120" t="s">
        <v>65</v>
      </c>
      <c r="B19" s="193"/>
      <c r="C19" s="197" t="str">
        <f>IF(ISBLANK(B19),"", B19*B9)</f>
        <v/>
      </c>
      <c r="D19" s="193"/>
      <c r="E19" s="197" t="str">
        <f>IF(ISBLANK(D19),"", D19*D9)</f>
        <v/>
      </c>
      <c r="F19" s="198"/>
      <c r="G19" s="197" t="str">
        <f>IF(ISBLANK(F19),"", F19*F9)</f>
        <v/>
      </c>
      <c r="H19" s="198">
        <v>0</v>
      </c>
      <c r="I19" s="197">
        <f>IF(ISBLANK(H19),"", H19*H9)</f>
        <v>0</v>
      </c>
      <c r="J19" s="198">
        <v>77</v>
      </c>
      <c r="K19" s="197">
        <f>IF(ISBLANK(J19),"", J19*J9)</f>
        <v>92169</v>
      </c>
      <c r="L19" s="193">
        <v>0</v>
      </c>
      <c r="M19" s="197">
        <f>IF(ISBLANK(L19),"", L19*L9)</f>
        <v>0</v>
      </c>
      <c r="N19" s="194">
        <f>SUM(C19,E19,G19,I19,K19,M19)</f>
        <v>92169</v>
      </c>
      <c r="O19" s="193">
        <v>0</v>
      </c>
      <c r="P19" s="197">
        <f>IF(ISBLANK(O19),"", O19*O9)</f>
        <v>0</v>
      </c>
      <c r="Q19" s="198">
        <v>0</v>
      </c>
      <c r="R19" s="197">
        <f>IF(ISBLANK(Q19),"", Q19*Q9)</f>
        <v>0</v>
      </c>
      <c r="S19" s="198"/>
      <c r="T19" s="197" t="str">
        <f>IF(ISBLANK(S19),"", S19*S9)</f>
        <v/>
      </c>
      <c r="U19" s="198">
        <v>95</v>
      </c>
      <c r="V19" s="197">
        <f>IF(ISBLANK(U19),"", U19*U9)</f>
        <v>284240</v>
      </c>
      <c r="W19" s="194">
        <f>SUM(P19,R19,T19,V19)</f>
        <v>284240</v>
      </c>
      <c r="X19" s="198"/>
      <c r="Y19" s="197" t="str">
        <f>IF(ISBLANK(X19),"", X19*X9)</f>
        <v/>
      </c>
      <c r="Z19" s="198"/>
      <c r="AA19" s="197" t="str">
        <f>IF(ISBLANK(Z19),"", Z19*Z9)</f>
        <v/>
      </c>
      <c r="AB19" s="198"/>
      <c r="AC19" s="197" t="str">
        <f>IF(ISBLANK(AB19),"", AB19*AB9)</f>
        <v/>
      </c>
      <c r="AD19" s="198"/>
      <c r="AE19" s="197" t="str">
        <f>IF(ISBLANK(AD19),"", AD19*AD9)</f>
        <v/>
      </c>
      <c r="AF19" s="198"/>
      <c r="AG19" s="197" t="str">
        <f>IF(ISBLANK(AF19),"", AF19*AF9)</f>
        <v/>
      </c>
      <c r="AH19" s="193"/>
      <c r="AI19" s="197" t="str">
        <f>IF(ISBLANK(AH19),"", AH19*AH9)</f>
        <v/>
      </c>
      <c r="AJ19" s="193">
        <v>105</v>
      </c>
      <c r="AK19" s="197">
        <f>IF(ISBLANK(AJ19),"", AJ19*AJ9)</f>
        <v>628215</v>
      </c>
      <c r="AL19" s="193">
        <v>17</v>
      </c>
      <c r="AM19" s="197">
        <f>IF(ISBLANK(AL19),"", AL19*AL9)</f>
        <v>50864</v>
      </c>
      <c r="AN19" s="193">
        <v>0</v>
      </c>
      <c r="AO19" s="197">
        <f>IF(ISBLANK(AN19),"", AN19*AN9)</f>
        <v>0</v>
      </c>
      <c r="AP19" s="194">
        <f>SUM(AO19,AM19,AK19,AI19,AG19,AE19,AC19,AA19,Y19)</f>
        <v>679079</v>
      </c>
      <c r="AQ19" s="193"/>
      <c r="AR19" s="197" t="str">
        <f>IF(ISBLANK(AQ19),"", AQ19*AQ9)</f>
        <v/>
      </c>
      <c r="AS19" s="198"/>
      <c r="AT19" s="197" t="str">
        <f>IF(ISBLANK(AS19),"", AS19*AS9)</f>
        <v/>
      </c>
      <c r="AU19" s="198"/>
      <c r="AV19" s="197" t="str">
        <f>IF(ISBLANK(AU19),"", AU19*AU9)</f>
        <v/>
      </c>
      <c r="AW19" s="198"/>
      <c r="AX19" s="197" t="str">
        <f>IF(ISBLANK(AW19),"", AW19*AW9)</f>
        <v/>
      </c>
      <c r="AY19" s="193"/>
      <c r="AZ19" s="197" t="str">
        <f>IF(ISBLANK(AY19),"", AY19*AY9)</f>
        <v/>
      </c>
      <c r="BA19" s="193"/>
      <c r="BB19" s="197" t="str">
        <f>IF(ISBLANK(BA19),"", BA19*BA9)</f>
        <v/>
      </c>
      <c r="BC19" s="194">
        <f>SUM(AR19,AT19,AV19,AX19,AZ19,BB19)</f>
        <v>0</v>
      </c>
      <c r="BD19" s="198"/>
      <c r="BE19" s="197" t="str">
        <f>IF(ISBLANK(BD19),"", BD19*BD9)</f>
        <v/>
      </c>
      <c r="BF19" s="198">
        <v>330</v>
      </c>
      <c r="BG19" s="197">
        <f>IF(ISBLANK(BF19),"", BF19*BF9)</f>
        <v>1974390</v>
      </c>
      <c r="BH19" s="194">
        <f>SUM(BE19,BG19)</f>
        <v>1974390</v>
      </c>
      <c r="BI19" s="195">
        <f>SUM(N19,W19,AP19,BC19,BH19)</f>
        <v>3029878</v>
      </c>
      <c r="BJ19" s="196">
        <f>BI19/BI29</f>
        <v>0.1206281195866947</v>
      </c>
    </row>
    <row r="20" spans="1:62" hidden="1" x14ac:dyDescent="0.25">
      <c r="A20" s="120" t="s">
        <v>66</v>
      </c>
      <c r="B20" s="193"/>
      <c r="C20" s="197" t="str">
        <f>IF(ISBLANK(B20),"", B20*B9)</f>
        <v/>
      </c>
      <c r="D20" s="193"/>
      <c r="E20" s="197" t="str">
        <f>IF(ISBLANK(D20),"", D20*D9)</f>
        <v/>
      </c>
      <c r="F20" s="198"/>
      <c r="G20" s="197" t="str">
        <f>IF(ISBLANK(F20),"", F20*F9)</f>
        <v/>
      </c>
      <c r="H20" s="198">
        <v>0</v>
      </c>
      <c r="I20" s="197">
        <f>IF(ISBLANK(H20),"", H20*H9)</f>
        <v>0</v>
      </c>
      <c r="J20" s="198">
        <v>0</v>
      </c>
      <c r="K20" s="197">
        <f>IF(ISBLANK(J20),"", J20*J9)</f>
        <v>0</v>
      </c>
      <c r="L20" s="193">
        <v>1</v>
      </c>
      <c r="M20" s="197">
        <f>IF(ISBLANK(L20),"", L20*L9)</f>
        <v>598</v>
      </c>
      <c r="N20" s="194">
        <f>SUM(C20,E20,G20,I20,K20,M20)</f>
        <v>598</v>
      </c>
      <c r="O20" s="193">
        <v>0</v>
      </c>
      <c r="P20" s="197">
        <f>IF(ISBLANK(O20),"", O20*O9)</f>
        <v>0</v>
      </c>
      <c r="Q20" s="198">
        <v>0</v>
      </c>
      <c r="R20" s="197">
        <f>IF(ISBLANK(Q20),"", Q20*Q9)</f>
        <v>0</v>
      </c>
      <c r="S20" s="198"/>
      <c r="T20" s="197" t="str">
        <f>IF(ISBLANK(S20),"", S20*S9)</f>
        <v/>
      </c>
      <c r="U20" s="198">
        <v>57</v>
      </c>
      <c r="V20" s="197">
        <f>IF(ISBLANK(U20),"", U20*U9)</f>
        <v>170544</v>
      </c>
      <c r="W20" s="194">
        <f>SUM(P20,R20,T20,V20)</f>
        <v>170544</v>
      </c>
      <c r="X20" s="198"/>
      <c r="Y20" s="197" t="str">
        <f>IF(ISBLANK(X20),"", X20*X9)</f>
        <v/>
      </c>
      <c r="Z20" s="198"/>
      <c r="AA20" s="197" t="str">
        <f>IF(ISBLANK(Z20),"", Z20*Z9)</f>
        <v/>
      </c>
      <c r="AB20" s="198"/>
      <c r="AC20" s="197" t="str">
        <f>IF(ISBLANK(AB20),"", AB20*AB9)</f>
        <v/>
      </c>
      <c r="AD20" s="198">
        <v>38</v>
      </c>
      <c r="AE20" s="197">
        <f>IF(ISBLANK(AD20),"", AD20*AD9)</f>
        <v>90934</v>
      </c>
      <c r="AF20" s="198">
        <v>0</v>
      </c>
      <c r="AG20" s="197">
        <f>IF(ISBLANK(AF20),"", AF20*AF9)</f>
        <v>0</v>
      </c>
      <c r="AH20" s="193"/>
      <c r="AI20" s="197" t="str">
        <f>IF(ISBLANK(AH20),"", AH20*AH9)</f>
        <v/>
      </c>
      <c r="AJ20" s="193"/>
      <c r="AK20" s="197" t="str">
        <f>IF(ISBLANK(AJ20),"", AJ20*AJ9)</f>
        <v/>
      </c>
      <c r="AL20" s="193"/>
      <c r="AM20" s="197" t="str">
        <f>IF(ISBLANK(AL20),"", AL20*AL9)</f>
        <v/>
      </c>
      <c r="AN20" s="193"/>
      <c r="AO20" s="197" t="str">
        <f>IF(ISBLANK(AN20),"", AN20*AN9)</f>
        <v/>
      </c>
      <c r="AP20" s="194">
        <f>SUM(AO20,AM20,AK20,AI20,AG20,AE20,AC20,AA20,Y20)</f>
        <v>90934</v>
      </c>
      <c r="AQ20" s="193"/>
      <c r="AR20" s="197" t="str">
        <f>IF(ISBLANK(AQ20),"", AQ20*AQ9)</f>
        <v/>
      </c>
      <c r="AS20" s="198"/>
      <c r="AT20" s="197" t="str">
        <f>IF(ISBLANK(AS20),"", AS20*AS9)</f>
        <v/>
      </c>
      <c r="AU20" s="198">
        <v>86</v>
      </c>
      <c r="AV20" s="197">
        <f>IF(ISBLANK(AU20),"", AU20*AU9)</f>
        <v>10320</v>
      </c>
      <c r="AW20" s="198"/>
      <c r="AX20" s="197" t="str">
        <f>IF(ISBLANK(AW20),"", AW20*AW9)</f>
        <v/>
      </c>
      <c r="AY20" s="193">
        <v>109</v>
      </c>
      <c r="AZ20" s="197">
        <f>IF(ISBLANK(AY20),"", AY20*AY9)</f>
        <v>26051</v>
      </c>
      <c r="BA20" s="193">
        <v>144</v>
      </c>
      <c r="BB20" s="197">
        <f>IF(ISBLANK(BA20),"", BA20*BA9)</f>
        <v>68976</v>
      </c>
      <c r="BC20" s="194">
        <f>SUM(AR20,AT20,AV20,AX20,AZ20,BB20)</f>
        <v>105347</v>
      </c>
      <c r="BD20" s="198"/>
      <c r="BE20" s="197" t="str">
        <f>IF(ISBLANK(BD20),"", BD20*BD9)</f>
        <v/>
      </c>
      <c r="BF20" s="198">
        <v>132</v>
      </c>
      <c r="BG20" s="197">
        <f>IF(ISBLANK(BF20),"", BF20*BF9)</f>
        <v>789756</v>
      </c>
      <c r="BH20" s="194">
        <f>SUM(BE20,BG20)</f>
        <v>789756</v>
      </c>
      <c r="BI20" s="195">
        <f>SUM(N20,W20,AP20,BC20,BH20)</f>
        <v>1157179</v>
      </c>
      <c r="BJ20" s="196">
        <f>BI20/BI29</f>
        <v>4.6070609706137272E-2</v>
      </c>
    </row>
    <row r="21" spans="1:62" ht="15.75" hidden="1" customHeight="1" thickBot="1" x14ac:dyDescent="0.3">
      <c r="A21" s="120" t="s">
        <v>68</v>
      </c>
      <c r="B21" s="193"/>
      <c r="C21" s="197" t="str">
        <f>IF(ISBLANK(B21),"", B21*B9)</f>
        <v/>
      </c>
      <c r="D21" s="193"/>
      <c r="E21" s="197" t="str">
        <f>IF(ISBLANK(D21),"", D21*D9)</f>
        <v/>
      </c>
      <c r="F21" s="198"/>
      <c r="G21" s="197" t="str">
        <f>IF(ISBLANK(F21),"", F21*F9)</f>
        <v/>
      </c>
      <c r="H21" s="198">
        <v>41</v>
      </c>
      <c r="I21" s="197">
        <f>IF(ISBLANK(H21),"", H21*H9)</f>
        <v>98113</v>
      </c>
      <c r="J21" s="198">
        <v>0</v>
      </c>
      <c r="K21" s="197">
        <f>IF(ISBLANK(J21),"", J21*J9)</f>
        <v>0</v>
      </c>
      <c r="L21" s="193"/>
      <c r="M21" s="197" t="str">
        <f>IF(ISBLANK(L21),"", L21*L9)</f>
        <v/>
      </c>
      <c r="N21" s="194">
        <f>SUM(C21,E21,G21,I21,K21,M21)</f>
        <v>98113</v>
      </c>
      <c r="O21" s="193">
        <v>0</v>
      </c>
      <c r="P21" s="197">
        <f>IF(ISBLANK(O21),"", O21*O9)</f>
        <v>0</v>
      </c>
      <c r="Q21" s="198">
        <v>0</v>
      </c>
      <c r="R21" s="197">
        <f>IF(ISBLANK(Q21),"", Q21*Q9)</f>
        <v>0</v>
      </c>
      <c r="S21" s="198"/>
      <c r="T21" s="197" t="str">
        <f>IF(ISBLANK(S21),"", S21*S9)</f>
        <v/>
      </c>
      <c r="U21" s="198">
        <v>42</v>
      </c>
      <c r="V21" s="197">
        <f>IF(ISBLANK(U21),"", U21*U9)</f>
        <v>125664</v>
      </c>
      <c r="W21" s="194">
        <f>SUM(P21,R21,T21,V21)</f>
        <v>125664</v>
      </c>
      <c r="X21" s="198"/>
      <c r="Y21" s="197" t="str">
        <f>IF(ISBLANK(X21),"", X21*X9)</f>
        <v/>
      </c>
      <c r="Z21" s="198"/>
      <c r="AA21" s="197" t="str">
        <f>IF(ISBLANK(Z21),"", Z21*Z9)</f>
        <v/>
      </c>
      <c r="AB21" s="198"/>
      <c r="AC21" s="197" t="str">
        <f>IF(ISBLANK(AB21),"", AB21*AB9)</f>
        <v/>
      </c>
      <c r="AD21" s="198">
        <v>42</v>
      </c>
      <c r="AE21" s="197">
        <f>IF(ISBLANK(AD21),"", AD21*AD9)</f>
        <v>100506</v>
      </c>
      <c r="AF21" s="198">
        <v>0</v>
      </c>
      <c r="AG21" s="197">
        <f>IF(ISBLANK(AF21),"", AF21*AF9)</f>
        <v>0</v>
      </c>
      <c r="AH21" s="193"/>
      <c r="AI21" s="197" t="str">
        <f>IF(ISBLANK(AH21),"", AH21*AH9)</f>
        <v/>
      </c>
      <c r="AJ21" s="193"/>
      <c r="AK21" s="197" t="str">
        <f>IF(ISBLANK(AJ21),"", AJ21*AJ9)</f>
        <v/>
      </c>
      <c r="AL21" s="193"/>
      <c r="AM21" s="197" t="str">
        <f>IF(ISBLANK(AL21),"", AL21*AL9)</f>
        <v/>
      </c>
      <c r="AN21" s="193"/>
      <c r="AO21" s="197" t="str">
        <f>IF(ISBLANK(AN21),"", AN21*AN9)</f>
        <v/>
      </c>
      <c r="AP21" s="194">
        <f>SUM(AO21,AM21,AK21,AI21,AG21,AE21,AC21,AA21,Y21)</f>
        <v>100506</v>
      </c>
      <c r="AQ21" s="193"/>
      <c r="AR21" s="197" t="str">
        <f>IF(ISBLANK(AQ21),"", AQ21*AQ9)</f>
        <v/>
      </c>
      <c r="AS21" s="198"/>
      <c r="AT21" s="197" t="str">
        <f>IF(ISBLANK(AS21),"", AS21*AS9)</f>
        <v/>
      </c>
      <c r="AU21" s="198">
        <v>4</v>
      </c>
      <c r="AV21" s="197">
        <f>IF(ISBLANK(AU21),"", AU21*AU9)</f>
        <v>480</v>
      </c>
      <c r="AW21" s="198"/>
      <c r="AX21" s="197" t="str">
        <f>IF(ISBLANK(AW21),"", AW21*AW9)</f>
        <v/>
      </c>
      <c r="AY21" s="193">
        <v>74</v>
      </c>
      <c r="AZ21" s="197">
        <f>IF(ISBLANK(AY21),"", AY21*AY9)</f>
        <v>17686</v>
      </c>
      <c r="BA21" s="193">
        <v>120</v>
      </c>
      <c r="BB21" s="197">
        <f>IF(ISBLANK(BA21),"", BA21*BA9)</f>
        <v>57480</v>
      </c>
      <c r="BC21" s="194">
        <f>SUM(AR21,AT21,AV21,AX21,AZ21,BB21)</f>
        <v>75646</v>
      </c>
      <c r="BD21" s="198"/>
      <c r="BE21" s="197" t="str">
        <f>IF(ISBLANK(BD21),"", BD21*BD9)</f>
        <v/>
      </c>
      <c r="BF21" s="198">
        <v>110</v>
      </c>
      <c r="BG21" s="197">
        <f>IF(ISBLANK(BF21),"", BF21*BF9)</f>
        <v>658130</v>
      </c>
      <c r="BH21" s="194">
        <f>SUM(BE21,BG21)</f>
        <v>658130</v>
      </c>
      <c r="BI21" s="199">
        <f>SUM(N21,W21,AP21,BC21,BH21)</f>
        <v>1058059</v>
      </c>
      <c r="BJ21" s="200">
        <f>BI21/BI29</f>
        <v>4.2124358664533228E-2</v>
      </c>
    </row>
    <row r="22" spans="1:62" ht="15.75" hidden="1" customHeight="1" thickTop="1" x14ac:dyDescent="0.25">
      <c r="A22" s="201" t="s">
        <v>132</v>
      </c>
      <c r="B22" s="202" t="str">
        <f t="shared" ref="B22:M22" si="10">IF(COUNT(B19:B21) = 0, "", SUM(B19:B21))</f>
        <v/>
      </c>
      <c r="C22" s="203" t="str">
        <f t="shared" si="10"/>
        <v/>
      </c>
      <c r="D22" s="202" t="str">
        <f t="shared" si="10"/>
        <v/>
      </c>
      <c r="E22" s="203" t="str">
        <f t="shared" si="10"/>
        <v/>
      </c>
      <c r="F22" s="204" t="str">
        <f t="shared" si="10"/>
        <v/>
      </c>
      <c r="G22" s="203" t="str">
        <f t="shared" si="10"/>
        <v/>
      </c>
      <c r="H22" s="204">
        <f t="shared" si="10"/>
        <v>41</v>
      </c>
      <c r="I22" s="203">
        <f t="shared" si="10"/>
        <v>98113</v>
      </c>
      <c r="J22" s="204">
        <f t="shared" si="10"/>
        <v>77</v>
      </c>
      <c r="K22" s="203">
        <f t="shared" si="10"/>
        <v>92169</v>
      </c>
      <c r="L22" s="202">
        <f t="shared" si="10"/>
        <v>1</v>
      </c>
      <c r="M22" s="203">
        <f t="shared" si="10"/>
        <v>598</v>
      </c>
      <c r="N22" s="205">
        <f>SUM(N19:N21)</f>
        <v>190880</v>
      </c>
      <c r="O22" s="202">
        <f t="shared" ref="O22:V22" si="11">IF(COUNT(O19:O21) = 0, "", SUM(O19:O21))</f>
        <v>0</v>
      </c>
      <c r="P22" s="203">
        <f t="shared" si="11"/>
        <v>0</v>
      </c>
      <c r="Q22" s="204">
        <f t="shared" si="11"/>
        <v>0</v>
      </c>
      <c r="R22" s="203">
        <f t="shared" si="11"/>
        <v>0</v>
      </c>
      <c r="S22" s="204" t="str">
        <f t="shared" si="11"/>
        <v/>
      </c>
      <c r="T22" s="203" t="str">
        <f t="shared" si="11"/>
        <v/>
      </c>
      <c r="U22" s="204">
        <f t="shared" si="11"/>
        <v>194</v>
      </c>
      <c r="V22" s="203">
        <f t="shared" si="11"/>
        <v>580448</v>
      </c>
      <c r="W22" s="205">
        <f>SUM(W19:W21)</f>
        <v>580448</v>
      </c>
      <c r="X22" s="204" t="str">
        <f t="shared" ref="X22:AO22" si="12">IF(COUNT(X19:X21) = 0, "", SUM(X19:X21))</f>
        <v/>
      </c>
      <c r="Y22" s="203" t="str">
        <f t="shared" si="12"/>
        <v/>
      </c>
      <c r="Z22" s="204" t="str">
        <f t="shared" si="12"/>
        <v/>
      </c>
      <c r="AA22" s="203" t="str">
        <f t="shared" si="12"/>
        <v/>
      </c>
      <c r="AB22" s="204" t="str">
        <f t="shared" si="12"/>
        <v/>
      </c>
      <c r="AC22" s="203" t="str">
        <f t="shared" si="12"/>
        <v/>
      </c>
      <c r="AD22" s="204">
        <f t="shared" si="12"/>
        <v>80</v>
      </c>
      <c r="AE22" s="203">
        <f t="shared" si="12"/>
        <v>191440</v>
      </c>
      <c r="AF22" s="204">
        <f t="shared" si="12"/>
        <v>0</v>
      </c>
      <c r="AG22" s="203">
        <f t="shared" si="12"/>
        <v>0</v>
      </c>
      <c r="AH22" s="202" t="str">
        <f t="shared" si="12"/>
        <v/>
      </c>
      <c r="AI22" s="203" t="str">
        <f t="shared" si="12"/>
        <v/>
      </c>
      <c r="AJ22" s="202">
        <f t="shared" si="12"/>
        <v>105</v>
      </c>
      <c r="AK22" s="203">
        <f t="shared" si="12"/>
        <v>628215</v>
      </c>
      <c r="AL22" s="202">
        <f t="shared" si="12"/>
        <v>17</v>
      </c>
      <c r="AM22" s="203">
        <f t="shared" si="12"/>
        <v>50864</v>
      </c>
      <c r="AN22" s="202">
        <f t="shared" si="12"/>
        <v>0</v>
      </c>
      <c r="AO22" s="203">
        <f t="shared" si="12"/>
        <v>0</v>
      </c>
      <c r="AP22" s="205">
        <f>SUM(AP19:AP21)</f>
        <v>870519</v>
      </c>
      <c r="AQ22" s="202" t="str">
        <f t="shared" ref="AQ22:BB22" si="13">IF(COUNT(AQ19:AQ21) = 0, "", SUM(AQ19:AQ21))</f>
        <v/>
      </c>
      <c r="AR22" s="203" t="str">
        <f t="shared" si="13"/>
        <v/>
      </c>
      <c r="AS22" s="204" t="str">
        <f t="shared" si="13"/>
        <v/>
      </c>
      <c r="AT22" s="203" t="str">
        <f t="shared" si="13"/>
        <v/>
      </c>
      <c r="AU22" s="204">
        <f t="shared" si="13"/>
        <v>90</v>
      </c>
      <c r="AV22" s="203">
        <f t="shared" si="13"/>
        <v>10800</v>
      </c>
      <c r="AW22" s="204" t="str">
        <f t="shared" si="13"/>
        <v/>
      </c>
      <c r="AX22" s="203" t="str">
        <f t="shared" si="13"/>
        <v/>
      </c>
      <c r="AY22" s="202">
        <f t="shared" si="13"/>
        <v>183</v>
      </c>
      <c r="AZ22" s="203">
        <f t="shared" si="13"/>
        <v>43737</v>
      </c>
      <c r="BA22" s="202">
        <f t="shared" si="13"/>
        <v>264</v>
      </c>
      <c r="BB22" s="203">
        <f t="shared" si="13"/>
        <v>126456</v>
      </c>
      <c r="BC22" s="205">
        <f>SUM(BC19:BC21)</f>
        <v>180993</v>
      </c>
      <c r="BD22" s="204" t="str">
        <f>IF(COUNT(BD19:BD21) = 0, "", SUM(BD19:BD21))</f>
        <v/>
      </c>
      <c r="BE22" s="203" t="str">
        <f>IF(COUNT(BE19:BE21) = 0, "", SUM(BE19:BE21))</f>
        <v/>
      </c>
      <c r="BF22" s="204">
        <f>IF(COUNT(BF19:BF21) = 0, "", SUM(BF19:BF21))</f>
        <v>572</v>
      </c>
      <c r="BG22" s="203">
        <f>IF(COUNT(BG19:BG21) = 0, "", SUM(BG19:BG21))</f>
        <v>3422276</v>
      </c>
      <c r="BH22" s="205">
        <f>SUM(BH19:BH21)</f>
        <v>3422276</v>
      </c>
      <c r="BI22" s="206">
        <f>SUM(BI19:BI21)</f>
        <v>5245116</v>
      </c>
      <c r="BJ22" s="207">
        <f>BI22/BI29</f>
        <v>0.20882308795736521</v>
      </c>
    </row>
    <row r="23" spans="1:62" hidden="1" x14ac:dyDescent="0.25">
      <c r="A23" s="208"/>
      <c r="B23" s="216"/>
      <c r="C23" s="217"/>
      <c r="D23" s="218"/>
      <c r="E23" s="218"/>
      <c r="F23" s="219"/>
      <c r="G23" s="217"/>
      <c r="H23" s="219"/>
      <c r="I23" s="217"/>
      <c r="J23" s="219"/>
      <c r="K23" s="217"/>
      <c r="L23" s="216"/>
      <c r="M23" s="217"/>
      <c r="N23" s="220"/>
      <c r="O23" s="216"/>
      <c r="P23" s="217"/>
      <c r="Q23" s="218"/>
      <c r="R23" s="218"/>
      <c r="S23" s="219"/>
      <c r="T23" s="217"/>
      <c r="U23" s="219"/>
      <c r="V23" s="217"/>
      <c r="W23" s="220"/>
      <c r="X23" s="219"/>
      <c r="Y23" s="217"/>
      <c r="Z23" s="219"/>
      <c r="AA23" s="217"/>
      <c r="AB23" s="219"/>
      <c r="AC23" s="217"/>
      <c r="AD23" s="219"/>
      <c r="AE23" s="217"/>
      <c r="AF23" s="219"/>
      <c r="AG23" s="217"/>
      <c r="AH23" s="216"/>
      <c r="AI23" s="217"/>
      <c r="AJ23" s="216"/>
      <c r="AK23" s="217"/>
      <c r="AL23" s="216"/>
      <c r="AM23" s="217"/>
      <c r="AN23" s="216"/>
      <c r="AO23" s="217"/>
      <c r="AP23" s="220"/>
      <c r="AQ23" s="216"/>
      <c r="AR23" s="217"/>
      <c r="AS23" s="219"/>
      <c r="AT23" s="217"/>
      <c r="AU23" s="219"/>
      <c r="AV23" s="217"/>
      <c r="AW23" s="219"/>
      <c r="AX23" s="217"/>
      <c r="AY23" s="216"/>
      <c r="AZ23" s="217"/>
      <c r="BA23" s="216"/>
      <c r="BB23" s="217"/>
      <c r="BC23" s="220"/>
      <c r="BD23" s="219"/>
      <c r="BE23" s="217"/>
      <c r="BF23" s="219"/>
      <c r="BG23" s="217"/>
      <c r="BH23" s="220"/>
      <c r="BI23" s="214"/>
      <c r="BJ23" s="215"/>
    </row>
    <row r="24" spans="1:62" hidden="1" x14ac:dyDescent="0.25">
      <c r="A24" s="120" t="s">
        <v>71</v>
      </c>
      <c r="B24" s="193"/>
      <c r="C24" s="197" t="str">
        <f>IF(ISBLANK(B24),"", B24*B9)</f>
        <v/>
      </c>
      <c r="D24" s="193"/>
      <c r="E24" s="197" t="str">
        <f>IF(ISBLANK(D24),"", D24*D9)</f>
        <v/>
      </c>
      <c r="F24" s="198"/>
      <c r="G24" s="197" t="str">
        <f>IF(ISBLANK(F24),"", F24*F9)</f>
        <v/>
      </c>
      <c r="H24" s="198">
        <v>0</v>
      </c>
      <c r="I24" s="197">
        <f>IF(ISBLANK(H24),"", H24*H9)</f>
        <v>0</v>
      </c>
      <c r="J24" s="198">
        <v>0</v>
      </c>
      <c r="K24" s="197">
        <f>IF(ISBLANK(J24),"", J24*J9)</f>
        <v>0</v>
      </c>
      <c r="L24" s="193">
        <v>0</v>
      </c>
      <c r="M24" s="197">
        <f>IF(ISBLANK(L24),"", L24*L9)</f>
        <v>0</v>
      </c>
      <c r="N24" s="194">
        <f>SUM(C24,E24,G24,I24,K24,M24)</f>
        <v>0</v>
      </c>
      <c r="O24" s="193">
        <v>0</v>
      </c>
      <c r="P24" s="197">
        <f>IF(ISBLANK(O24),"", O24*O9)</f>
        <v>0</v>
      </c>
      <c r="Q24" s="198">
        <v>0</v>
      </c>
      <c r="R24" s="197">
        <f>IF(ISBLANK(Q24),"", Q24*Q9)</f>
        <v>0</v>
      </c>
      <c r="S24" s="198"/>
      <c r="T24" s="197" t="str">
        <f>IF(ISBLANK(S24),"", S24*S9)</f>
        <v/>
      </c>
      <c r="U24" s="198">
        <v>88</v>
      </c>
      <c r="V24" s="197">
        <f>IF(ISBLANK(U24),"", U24*U9)</f>
        <v>263296</v>
      </c>
      <c r="W24" s="194">
        <f>SUM(P24,R24,T24,V24)</f>
        <v>263296</v>
      </c>
      <c r="X24" s="198"/>
      <c r="Y24" s="197" t="str">
        <f>IF(ISBLANK(X24),"", X24*X9)</f>
        <v/>
      </c>
      <c r="Z24" s="198"/>
      <c r="AA24" s="197" t="str">
        <f>IF(ISBLANK(Z24),"", Z24*Z9)</f>
        <v/>
      </c>
      <c r="AB24" s="198"/>
      <c r="AC24" s="197" t="str">
        <f>IF(ISBLANK(AB24),"", AB24*AB9)</f>
        <v/>
      </c>
      <c r="AD24" s="198"/>
      <c r="AE24" s="197" t="str">
        <f>IF(ISBLANK(AD24),"", AD24*AD9)</f>
        <v/>
      </c>
      <c r="AF24" s="198"/>
      <c r="AG24" s="197" t="str">
        <f>IF(ISBLANK(AF24),"", AF24*AF9)</f>
        <v/>
      </c>
      <c r="AH24" s="193"/>
      <c r="AI24" s="197" t="str">
        <f>IF(ISBLANK(AH24),"", AH24*AH9)</f>
        <v/>
      </c>
      <c r="AJ24" s="193">
        <v>0</v>
      </c>
      <c r="AK24" s="197">
        <f>IF(ISBLANK(AJ24),"", AJ24*AJ9)</f>
        <v>0</v>
      </c>
      <c r="AL24" s="193">
        <v>9</v>
      </c>
      <c r="AM24" s="197">
        <f>IF(ISBLANK(AL24),"", AL24*AL9)</f>
        <v>26928</v>
      </c>
      <c r="AN24" s="193">
        <v>0</v>
      </c>
      <c r="AO24" s="197">
        <f>IF(ISBLANK(AN24),"", AN24*AN9)</f>
        <v>0</v>
      </c>
      <c r="AP24" s="194">
        <f>SUM(AO24,AM24,AK24,AI24,AG24,AE24,AC24,AA24,Y24)</f>
        <v>26928</v>
      </c>
      <c r="AQ24" s="193"/>
      <c r="AR24" s="197" t="str">
        <f>IF(ISBLANK(AQ24),"", AQ24*AQ9)</f>
        <v/>
      </c>
      <c r="AS24" s="198"/>
      <c r="AT24" s="197" t="str">
        <f>IF(ISBLANK(AS24),"", AS24*AS9)</f>
        <v/>
      </c>
      <c r="AU24" s="198"/>
      <c r="AV24" s="197" t="str">
        <f>IF(ISBLANK(AU24),"", AU24*AU9)</f>
        <v/>
      </c>
      <c r="AW24" s="198"/>
      <c r="AX24" s="197" t="str">
        <f>IF(ISBLANK(AW24),"", AW24*AW9)</f>
        <v/>
      </c>
      <c r="AY24" s="193"/>
      <c r="AZ24" s="197" t="str">
        <f>IF(ISBLANK(AY24),"", AY24*AY9)</f>
        <v/>
      </c>
      <c r="BA24" s="193"/>
      <c r="BB24" s="197" t="str">
        <f>IF(ISBLANK(BA24),"", BA24*BA9)</f>
        <v/>
      </c>
      <c r="BC24" s="194">
        <f>SUM(AR24,AT24,AV24,AX24,AZ24,BB24)</f>
        <v>0</v>
      </c>
      <c r="BD24" s="198"/>
      <c r="BE24" s="197" t="str">
        <f>IF(ISBLANK(BD24),"", BD24*BD9)</f>
        <v/>
      </c>
      <c r="BF24" s="198">
        <v>220</v>
      </c>
      <c r="BG24" s="197">
        <f>IF(ISBLANK(BF24),"", BF24*BF9)</f>
        <v>1316260</v>
      </c>
      <c r="BH24" s="194">
        <f>SUM(BE24,BG24)</f>
        <v>1316260</v>
      </c>
      <c r="BI24" s="195">
        <f>SUM(N24,W24,AP24,BC24,BH24)</f>
        <v>1606484</v>
      </c>
      <c r="BJ24" s="196">
        <f>BI24/BI29</f>
        <v>6.3958728393061257E-2</v>
      </c>
    </row>
    <row r="25" spans="1:62" hidden="1" x14ac:dyDescent="0.25">
      <c r="A25" s="120" t="s">
        <v>72</v>
      </c>
      <c r="B25" s="193"/>
      <c r="C25" s="197" t="str">
        <f>IF(ISBLANK(B25),"", B25*B9)</f>
        <v/>
      </c>
      <c r="D25" s="193"/>
      <c r="E25" s="197" t="str">
        <f>IF(ISBLANK(D25),"", D25*D9)</f>
        <v/>
      </c>
      <c r="F25" s="198"/>
      <c r="G25" s="197" t="str">
        <f>IF(ISBLANK(F25),"", F25*F9)</f>
        <v/>
      </c>
      <c r="H25" s="198">
        <v>123</v>
      </c>
      <c r="I25" s="197">
        <f>IF(ISBLANK(H25),"", H25*H9)</f>
        <v>294339</v>
      </c>
      <c r="J25" s="198">
        <v>72</v>
      </c>
      <c r="K25" s="197">
        <f>IF(ISBLANK(J25),"", J25*J9)</f>
        <v>86184</v>
      </c>
      <c r="L25" s="193">
        <v>38</v>
      </c>
      <c r="M25" s="197">
        <f>IF(ISBLANK(L25),"", L25*L9)</f>
        <v>22724</v>
      </c>
      <c r="N25" s="194">
        <f>SUM(C25,E25,G25,I25,K25,M25)</f>
        <v>403247</v>
      </c>
      <c r="O25" s="193">
        <v>0</v>
      </c>
      <c r="P25" s="197">
        <f>IF(ISBLANK(O25),"", O25*O9)</f>
        <v>0</v>
      </c>
      <c r="Q25" s="198">
        <v>0</v>
      </c>
      <c r="R25" s="197">
        <f>IF(ISBLANK(Q25),"", Q25*Q9)</f>
        <v>0</v>
      </c>
      <c r="S25" s="198"/>
      <c r="T25" s="197" t="str">
        <f>IF(ISBLANK(S25),"", S25*S9)</f>
        <v/>
      </c>
      <c r="U25" s="198">
        <v>169</v>
      </c>
      <c r="V25" s="197">
        <f>IF(ISBLANK(U25),"", U25*U9)</f>
        <v>505648</v>
      </c>
      <c r="W25" s="194">
        <f>SUM(P25,R25,T25,V25)</f>
        <v>505648</v>
      </c>
      <c r="X25" s="198"/>
      <c r="Y25" s="197" t="str">
        <f>IF(ISBLANK(X25),"", X25*X9)</f>
        <v/>
      </c>
      <c r="Z25" s="198"/>
      <c r="AA25" s="197" t="str">
        <f>IF(ISBLANK(Z25),"", Z25*Z9)</f>
        <v/>
      </c>
      <c r="AB25" s="198"/>
      <c r="AC25" s="197" t="str">
        <f>IF(ISBLANK(AB25),"", AB25*AB9)</f>
        <v/>
      </c>
      <c r="AD25" s="198">
        <v>8</v>
      </c>
      <c r="AE25" s="197">
        <f>IF(ISBLANK(AD25),"", AD25*AD9)</f>
        <v>19144</v>
      </c>
      <c r="AF25" s="198">
        <v>3</v>
      </c>
      <c r="AG25" s="197">
        <f>IF(ISBLANK(AF25),"", AF25*AF9)</f>
        <v>3591</v>
      </c>
      <c r="AH25" s="193">
        <v>1</v>
      </c>
      <c r="AI25" s="197">
        <f>IF(ISBLANK(AH25),"", AH25*AH9)</f>
        <v>598</v>
      </c>
      <c r="AJ25" s="193"/>
      <c r="AK25" s="197" t="str">
        <f>IF(ISBLANK(AJ25),"", AJ25*AJ9)</f>
        <v/>
      </c>
      <c r="AL25" s="193"/>
      <c r="AM25" s="197" t="str">
        <f>IF(ISBLANK(AL25),"", AL25*AL9)</f>
        <v/>
      </c>
      <c r="AN25" s="193"/>
      <c r="AO25" s="197" t="str">
        <f>IF(ISBLANK(AN25),"", AN25*AN9)</f>
        <v/>
      </c>
      <c r="AP25" s="194">
        <f>SUM(AO25,AM25,AK25,AI25,AG25,AE25,AC25,AA25,Y25)</f>
        <v>23333</v>
      </c>
      <c r="AQ25" s="193"/>
      <c r="AR25" s="197" t="str">
        <f>IF(ISBLANK(AQ25),"", AQ25*AQ9)</f>
        <v/>
      </c>
      <c r="AS25" s="198"/>
      <c r="AT25" s="197" t="str">
        <f>IF(ISBLANK(AS25),"", AS25*AS9)</f>
        <v/>
      </c>
      <c r="AU25" s="198">
        <v>0</v>
      </c>
      <c r="AV25" s="197">
        <f>IF(ISBLANK(AU25),"", AU25*AU9)</f>
        <v>0</v>
      </c>
      <c r="AW25" s="198"/>
      <c r="AX25" s="197" t="str">
        <f>IF(ISBLANK(AW25),"", AW25*AW9)</f>
        <v/>
      </c>
      <c r="AY25" s="193">
        <v>47</v>
      </c>
      <c r="AZ25" s="197">
        <f>IF(ISBLANK(AY25),"", AY25*AY9)</f>
        <v>11233</v>
      </c>
      <c r="BA25" s="193">
        <v>118</v>
      </c>
      <c r="BB25" s="197">
        <f>IF(ISBLANK(BA25),"", BA25*BA9)</f>
        <v>56522</v>
      </c>
      <c r="BC25" s="194">
        <f>SUM(AR25,AT25,AV25,AX25,AZ25,BB25)</f>
        <v>67755</v>
      </c>
      <c r="BD25" s="198"/>
      <c r="BE25" s="197" t="str">
        <f>IF(ISBLANK(BD25),"", BD25*BD9)</f>
        <v/>
      </c>
      <c r="BF25" s="198">
        <v>132</v>
      </c>
      <c r="BG25" s="197">
        <f>IF(ISBLANK(BF25),"", BF25*BF9)</f>
        <v>789756</v>
      </c>
      <c r="BH25" s="194">
        <f>SUM(BE25,BG25)</f>
        <v>789756</v>
      </c>
      <c r="BI25" s="195">
        <f>SUM(N25,W25,AP25,BC25,BH25)</f>
        <v>1789739</v>
      </c>
      <c r="BJ25" s="196">
        <f>BI25/BI29</f>
        <v>7.1254634714985679E-2</v>
      </c>
    </row>
    <row r="26" spans="1:62" hidden="1" x14ac:dyDescent="0.25">
      <c r="A26" s="120" t="s">
        <v>73</v>
      </c>
      <c r="B26" s="193"/>
      <c r="C26" s="197" t="str">
        <f>IF(ISBLANK(B26),"", B26*B9)</f>
        <v/>
      </c>
      <c r="D26" s="193"/>
      <c r="E26" s="197" t="str">
        <f>IF(ISBLANK(D26),"", D26*D9)</f>
        <v/>
      </c>
      <c r="F26" s="198"/>
      <c r="G26" s="197" t="str">
        <f>IF(ISBLANK(F26),"", F26*F9)</f>
        <v/>
      </c>
      <c r="H26" s="198">
        <v>6</v>
      </c>
      <c r="I26" s="197">
        <f>IF(ISBLANK(H26),"", H26*H9)</f>
        <v>14358</v>
      </c>
      <c r="J26" s="198">
        <v>67</v>
      </c>
      <c r="K26" s="197">
        <f>IF(ISBLANK(J26),"", J26*J9)</f>
        <v>80199</v>
      </c>
      <c r="L26" s="193">
        <v>0</v>
      </c>
      <c r="M26" s="197">
        <f>IF(ISBLANK(L26),"", L26*L9)</f>
        <v>0</v>
      </c>
      <c r="N26" s="194">
        <f>SUM(C26,E26,G26,I26,K26,M26)</f>
        <v>94557</v>
      </c>
      <c r="O26" s="193">
        <v>0</v>
      </c>
      <c r="P26" s="197">
        <f>IF(ISBLANK(O26),"", O26*O9)</f>
        <v>0</v>
      </c>
      <c r="Q26" s="198">
        <v>0</v>
      </c>
      <c r="R26" s="197">
        <f>IF(ISBLANK(Q26),"", Q26*Q9)</f>
        <v>0</v>
      </c>
      <c r="S26" s="198"/>
      <c r="T26" s="197" t="str">
        <f>IF(ISBLANK(S26),"", S26*S9)</f>
        <v/>
      </c>
      <c r="U26" s="198">
        <v>88</v>
      </c>
      <c r="V26" s="197">
        <f>IF(ISBLANK(U26),"", U26*U9)</f>
        <v>263296</v>
      </c>
      <c r="W26" s="194">
        <f>SUM(P26,R26,T26,V26)</f>
        <v>263296</v>
      </c>
      <c r="X26" s="198"/>
      <c r="Y26" s="197" t="str">
        <f>IF(ISBLANK(X26),"", X26*X9)</f>
        <v/>
      </c>
      <c r="Z26" s="198"/>
      <c r="AA26" s="197" t="str">
        <f>IF(ISBLANK(Z26),"", Z26*Z9)</f>
        <v/>
      </c>
      <c r="AB26" s="198"/>
      <c r="AC26" s="197" t="str">
        <f>IF(ISBLANK(AB26),"", AB26*AB9)</f>
        <v/>
      </c>
      <c r="AD26" s="198">
        <v>20</v>
      </c>
      <c r="AE26" s="197">
        <f>IF(ISBLANK(AD26),"", AD26*AD9)</f>
        <v>47860</v>
      </c>
      <c r="AF26" s="198">
        <v>2</v>
      </c>
      <c r="AG26" s="197">
        <f>IF(ISBLANK(AF26),"", AF26*AF9)</f>
        <v>2394</v>
      </c>
      <c r="AH26" s="193"/>
      <c r="AI26" s="197" t="str">
        <f>IF(ISBLANK(AH26),"", AH26*AH9)</f>
        <v/>
      </c>
      <c r="AJ26" s="193"/>
      <c r="AK26" s="197" t="str">
        <f>IF(ISBLANK(AJ26),"", AJ26*AJ9)</f>
        <v/>
      </c>
      <c r="AL26" s="193"/>
      <c r="AM26" s="197" t="str">
        <f>IF(ISBLANK(AL26),"", AL26*AL9)</f>
        <v/>
      </c>
      <c r="AN26" s="193"/>
      <c r="AO26" s="197" t="str">
        <f>IF(ISBLANK(AN26),"", AN26*AN9)</f>
        <v/>
      </c>
      <c r="AP26" s="194">
        <f>SUM(AO26,AM26,AK26,AI26,AG26,AE26,AC26,AA26,Y26)</f>
        <v>50254</v>
      </c>
      <c r="AQ26" s="193"/>
      <c r="AR26" s="197" t="str">
        <f>IF(ISBLANK(AQ26),"", AQ26*AQ9)</f>
        <v/>
      </c>
      <c r="AS26" s="198"/>
      <c r="AT26" s="197" t="str">
        <f>IF(ISBLANK(AS26),"", AS26*AS9)</f>
        <v/>
      </c>
      <c r="AU26" s="198">
        <v>0</v>
      </c>
      <c r="AV26" s="197">
        <f>IF(ISBLANK(AU26),"", AU26*AU9)</f>
        <v>0</v>
      </c>
      <c r="AW26" s="198"/>
      <c r="AX26" s="197" t="str">
        <f>IF(ISBLANK(AW26),"", AW26*AW9)</f>
        <v/>
      </c>
      <c r="AY26" s="193">
        <v>73</v>
      </c>
      <c r="AZ26" s="197">
        <f>IF(ISBLANK(AY26),"", AY26*AY9)</f>
        <v>17447</v>
      </c>
      <c r="BA26" s="193">
        <v>130</v>
      </c>
      <c r="BB26" s="197">
        <f>IF(ISBLANK(BA26),"", BA26*BA9)</f>
        <v>62270</v>
      </c>
      <c r="BC26" s="194">
        <f>SUM(AR26,AT26,AV26,AX26,AZ26,BB26)</f>
        <v>79717</v>
      </c>
      <c r="BD26" s="198"/>
      <c r="BE26" s="197" t="str">
        <f>IF(ISBLANK(BD26),"", BD26*BD9)</f>
        <v/>
      </c>
      <c r="BF26" s="198">
        <v>177</v>
      </c>
      <c r="BG26" s="197">
        <f>IF(ISBLANK(BF26),"", BF26*BF9)</f>
        <v>1058991</v>
      </c>
      <c r="BH26" s="194">
        <f>SUM(BE26,BG26)</f>
        <v>1058991</v>
      </c>
      <c r="BI26" s="195">
        <f>SUM(N26,W26,AP26,BC26,BH26)</f>
        <v>1546815</v>
      </c>
      <c r="BJ26" s="196">
        <f>BI26/BI29</f>
        <v>6.1583134633966502E-2</v>
      </c>
    </row>
    <row r="27" spans="1:62" hidden="1" x14ac:dyDescent="0.25">
      <c r="A27" s="120" t="s">
        <v>74</v>
      </c>
      <c r="B27" s="193">
        <v>32</v>
      </c>
      <c r="C27" s="197">
        <f>IF(ISBLANK(B27),"", B27*B9)</f>
        <v>14368</v>
      </c>
      <c r="D27" s="193">
        <v>228</v>
      </c>
      <c r="E27" s="197">
        <f>IF(ISBLANK(D27),"", D27*D9)</f>
        <v>136344</v>
      </c>
      <c r="F27" s="198">
        <v>13</v>
      </c>
      <c r="G27" s="197">
        <f>IF(ISBLANK(F27),"", F27*F9)</f>
        <v>15561</v>
      </c>
      <c r="H27" s="198">
        <v>29</v>
      </c>
      <c r="I27" s="197">
        <f>IF(ISBLANK(H27),"", H27*H9)</f>
        <v>69397</v>
      </c>
      <c r="J27" s="198"/>
      <c r="K27" s="197" t="str">
        <f>IF(ISBLANK(J27),"", J27*J9)</f>
        <v/>
      </c>
      <c r="L27" s="193"/>
      <c r="M27" s="197" t="str">
        <f>IF(ISBLANK(L27),"", L27*L9)</f>
        <v/>
      </c>
      <c r="N27" s="194">
        <f>SUM(C27,E27,G27,I27,K27,M27)</f>
        <v>235670</v>
      </c>
      <c r="O27" s="193">
        <v>0</v>
      </c>
      <c r="P27" s="197">
        <f>IF(ISBLANK(O27),"", O27*O9)</f>
        <v>0</v>
      </c>
      <c r="Q27" s="198">
        <v>120</v>
      </c>
      <c r="R27" s="197">
        <f>IF(ISBLANK(Q27),"", Q27*Q9)</f>
        <v>89760</v>
      </c>
      <c r="S27" s="198">
        <v>48</v>
      </c>
      <c r="T27" s="197">
        <f>IF(ISBLANK(S27),"", S27*S9)</f>
        <v>71808</v>
      </c>
      <c r="U27" s="198">
        <v>17</v>
      </c>
      <c r="V27" s="197">
        <f>IF(ISBLANK(U27),"", U27*U9)</f>
        <v>50864</v>
      </c>
      <c r="W27" s="194">
        <f>SUM(P27,R27,T27,V27)</f>
        <v>212432</v>
      </c>
      <c r="X27" s="198">
        <v>26</v>
      </c>
      <c r="Y27" s="197">
        <f>IF(ISBLANK(X27),"", X27*X9)</f>
        <v>11674</v>
      </c>
      <c r="Z27" s="198">
        <v>40</v>
      </c>
      <c r="AA27" s="197">
        <f>IF(ISBLANK(Z27),"", Z27*Z9)</f>
        <v>23920</v>
      </c>
      <c r="AB27" s="198">
        <v>61</v>
      </c>
      <c r="AC27" s="197">
        <f>IF(ISBLANK(AB27),"", AB27*AB9)</f>
        <v>73017</v>
      </c>
      <c r="AD27" s="198"/>
      <c r="AE27" s="197" t="str">
        <f>IF(ISBLANK(AD27),"", AD27*AD9)</f>
        <v/>
      </c>
      <c r="AF27" s="198"/>
      <c r="AG27" s="197" t="str">
        <f>IF(ISBLANK(AF27),"", AF27*AF9)</f>
        <v/>
      </c>
      <c r="AH27" s="193"/>
      <c r="AI27" s="197" t="str">
        <f>IF(ISBLANK(AH27),"", AH27*AH9)</f>
        <v/>
      </c>
      <c r="AJ27" s="193"/>
      <c r="AK27" s="197" t="str">
        <f>IF(ISBLANK(AJ27),"", AJ27*AJ9)</f>
        <v/>
      </c>
      <c r="AL27" s="193"/>
      <c r="AM27" s="197" t="str">
        <f>IF(ISBLANK(AL27),"", AL27*AL9)</f>
        <v/>
      </c>
      <c r="AN27" s="193"/>
      <c r="AO27" s="197" t="str">
        <f>IF(ISBLANK(AN27),"", AN27*AN9)</f>
        <v/>
      </c>
      <c r="AP27" s="194">
        <f>SUM(AO27,AM27,AK27,AI27,AG27,AE27,AC27,AA27,Y27)</f>
        <v>108611</v>
      </c>
      <c r="AQ27" s="193">
        <v>0</v>
      </c>
      <c r="AR27" s="197">
        <f>IF(ISBLANK(AQ27),"", AQ27*AQ9)</f>
        <v>0</v>
      </c>
      <c r="AS27" s="198">
        <v>0</v>
      </c>
      <c r="AT27" s="197">
        <f>IF(ISBLANK(AS27),"", AS27*AS9)</f>
        <v>0</v>
      </c>
      <c r="AU27" s="198"/>
      <c r="AV27" s="197" t="str">
        <f>IF(ISBLANK(AU27),"", AU27*AU9)</f>
        <v/>
      </c>
      <c r="AW27" s="198">
        <v>27</v>
      </c>
      <c r="AX27" s="197">
        <f>IF(ISBLANK(AW27),"", AW27*AW9)</f>
        <v>6453</v>
      </c>
      <c r="AY27" s="193"/>
      <c r="AZ27" s="197" t="str">
        <f>IF(ISBLANK(AY27),"", AY27*AY9)</f>
        <v/>
      </c>
      <c r="BA27" s="193"/>
      <c r="BB27" s="197" t="str">
        <f>IF(ISBLANK(BA27),"", BA27*BA9)</f>
        <v/>
      </c>
      <c r="BC27" s="194">
        <f>SUM(AR27,AT27,AV27,AX27,AZ27,BB27)</f>
        <v>6453</v>
      </c>
      <c r="BD27" s="198">
        <v>87</v>
      </c>
      <c r="BE27" s="197">
        <f>IF(ISBLANK(BD27),"", BD27*BD9)</f>
        <v>260304</v>
      </c>
      <c r="BF27" s="198">
        <v>16</v>
      </c>
      <c r="BG27" s="197">
        <f>IF(ISBLANK(BF27),"", BF27*BF9)</f>
        <v>95728</v>
      </c>
      <c r="BH27" s="194">
        <f>SUM(BE27,BG27)</f>
        <v>356032</v>
      </c>
      <c r="BI27" s="195">
        <f>SUM(N27,W27,AP27,BC27,BH27)</f>
        <v>919198</v>
      </c>
      <c r="BJ27" s="196">
        <f>BI27/BI29</f>
        <v>3.6595904609971294E-2</v>
      </c>
    </row>
    <row r="28" spans="1:62" ht="15.75" hidden="1" customHeight="1" thickBot="1" x14ac:dyDescent="0.3">
      <c r="A28" s="134" t="s">
        <v>75</v>
      </c>
      <c r="B28" s="193">
        <v>1050</v>
      </c>
      <c r="C28" s="197">
        <f>IF(ISBLANK(B28),"", B28*B9)</f>
        <v>471450</v>
      </c>
      <c r="D28" s="193">
        <v>3249</v>
      </c>
      <c r="E28" s="197">
        <f>IF(ISBLANK(D28),"", D28*D9)</f>
        <v>1942902</v>
      </c>
      <c r="F28" s="198">
        <v>0</v>
      </c>
      <c r="G28" s="197">
        <f>IF(ISBLANK(F28),"", F28*F9)</f>
        <v>0</v>
      </c>
      <c r="H28" s="198"/>
      <c r="I28" s="197" t="str">
        <f>IF(ISBLANK(H28),"", H28*H9)</f>
        <v/>
      </c>
      <c r="J28" s="198"/>
      <c r="K28" s="197" t="str">
        <f>IF(ISBLANK(J28),"", J28*J9)</f>
        <v/>
      </c>
      <c r="L28" s="193"/>
      <c r="M28" s="197" t="str">
        <f>IF(ISBLANK(L28),"", L28*L9)</f>
        <v/>
      </c>
      <c r="N28" s="194">
        <f>SUM(C28,E28,G28,I28,K28,M28)</f>
        <v>2414352</v>
      </c>
      <c r="O28" s="193">
        <v>143</v>
      </c>
      <c r="P28" s="197">
        <f>IF(ISBLANK(O28),"", O28*O9)</f>
        <v>80223</v>
      </c>
      <c r="Q28" s="198">
        <v>1017</v>
      </c>
      <c r="R28" s="197">
        <f>IF(ISBLANK(Q28),"", Q28*Q9)</f>
        <v>760716</v>
      </c>
      <c r="S28" s="198">
        <v>161</v>
      </c>
      <c r="T28" s="197">
        <f>IF(ISBLANK(S28),"", S28*S9)</f>
        <v>240856</v>
      </c>
      <c r="U28" s="198"/>
      <c r="V28" s="197" t="str">
        <f>IF(ISBLANK(U28),"", U28*U9)</f>
        <v/>
      </c>
      <c r="W28" s="194">
        <f>SUM(P28,R28,T28,V28)</f>
        <v>1081795</v>
      </c>
      <c r="X28" s="198">
        <v>295</v>
      </c>
      <c r="Y28" s="197">
        <f>IF(ISBLANK(X28),"", X28*X9)</f>
        <v>132455</v>
      </c>
      <c r="Z28" s="198">
        <v>685</v>
      </c>
      <c r="AA28" s="197">
        <f>IF(ISBLANK(Z28),"", Z28*Z9)</f>
        <v>409630</v>
      </c>
      <c r="AB28" s="198">
        <v>0</v>
      </c>
      <c r="AC28" s="197">
        <f>IF(ISBLANK(AB28),"", AB28*AB9)</f>
        <v>0</v>
      </c>
      <c r="AD28" s="198"/>
      <c r="AE28" s="197" t="str">
        <f>IF(ISBLANK(AD28),"", AD28*AD9)</f>
        <v/>
      </c>
      <c r="AF28" s="198"/>
      <c r="AG28" s="197" t="str">
        <f>IF(ISBLANK(AF28),"", AF28*AF9)</f>
        <v/>
      </c>
      <c r="AH28" s="193"/>
      <c r="AI28" s="197" t="str">
        <f>IF(ISBLANK(AH28),"", AH28*AH9)</f>
        <v/>
      </c>
      <c r="AJ28" s="193"/>
      <c r="AK28" s="197" t="str">
        <f>IF(ISBLANK(AJ28),"", AJ28*AJ9)</f>
        <v/>
      </c>
      <c r="AL28" s="193"/>
      <c r="AM28" s="197" t="str">
        <f>IF(ISBLANK(AL28),"", AL28*AL9)</f>
        <v/>
      </c>
      <c r="AN28" s="193"/>
      <c r="AO28" s="197" t="str">
        <f>IF(ISBLANK(AN28),"", AN28*AN9)</f>
        <v/>
      </c>
      <c r="AP28" s="194">
        <f>SUM(AO28,AM28,AK28,AI28,AG28,AE28,AC28,AA28,Y28)</f>
        <v>542085</v>
      </c>
      <c r="AQ28" s="193">
        <v>86</v>
      </c>
      <c r="AR28" s="197">
        <f>IF(ISBLANK(AQ28),"", AQ28*AQ9)</f>
        <v>5160</v>
      </c>
      <c r="AS28" s="198">
        <v>383</v>
      </c>
      <c r="AT28" s="197">
        <f>IF(ISBLANK(AS28),"", AS28*AS9)</f>
        <v>45960</v>
      </c>
      <c r="AU28" s="198"/>
      <c r="AV28" s="197" t="str">
        <f>IF(ISBLANK(AU28),"", AU28*AU9)</f>
        <v/>
      </c>
      <c r="AW28" s="198">
        <v>215</v>
      </c>
      <c r="AX28" s="197">
        <f>IF(ISBLANK(AW28),"", AW28*AW9)</f>
        <v>51385</v>
      </c>
      <c r="AY28" s="193"/>
      <c r="AZ28" s="197" t="str">
        <f>IF(ISBLANK(AY28),"", AY28*AY9)</f>
        <v/>
      </c>
      <c r="BA28" s="193"/>
      <c r="BB28" s="197" t="str">
        <f>IF(ISBLANK(BA28),"", BA28*BA9)</f>
        <v/>
      </c>
      <c r="BC28" s="194">
        <f>SUM(AR28,AT28,AV28,AX28,AZ28,BB28)</f>
        <v>102505</v>
      </c>
      <c r="BD28" s="198">
        <v>276</v>
      </c>
      <c r="BE28" s="197">
        <f>IF(ISBLANK(BD28),"", BD28*BD9)</f>
        <v>825792</v>
      </c>
      <c r="BF28" s="198"/>
      <c r="BG28" s="197" t="str">
        <f>IF(ISBLANK(BF28),"", BF28*BF9)</f>
        <v/>
      </c>
      <c r="BH28" s="194">
        <f>SUM(BE28,BG28)</f>
        <v>825792</v>
      </c>
      <c r="BI28" s="199">
        <f>SUM(N28,W28,AP28,BC28,BH28)</f>
        <v>4966529</v>
      </c>
      <c r="BJ28" s="196">
        <f>BI28/BI29</f>
        <v>0.19773174172121361</v>
      </c>
    </row>
    <row r="29" spans="1:62" hidden="1" x14ac:dyDescent="0.25">
      <c r="A29" s="221" t="s">
        <v>46</v>
      </c>
      <c r="B29" s="222">
        <f t="shared" ref="B29:AO29" si="14">SUM(B17,B22,B24:B28)</f>
        <v>1082</v>
      </c>
      <c r="C29" s="223">
        <f t="shared" si="14"/>
        <v>485818</v>
      </c>
      <c r="D29" s="224">
        <f t="shared" si="14"/>
        <v>3477</v>
      </c>
      <c r="E29" s="223">
        <f t="shared" si="14"/>
        <v>2079246</v>
      </c>
      <c r="F29" s="225">
        <f t="shared" si="14"/>
        <v>13</v>
      </c>
      <c r="G29" s="223">
        <f t="shared" si="14"/>
        <v>15561</v>
      </c>
      <c r="H29" s="225">
        <f t="shared" si="14"/>
        <v>685</v>
      </c>
      <c r="I29" s="223">
        <f t="shared" si="14"/>
        <v>1639205</v>
      </c>
      <c r="J29" s="225">
        <f t="shared" si="14"/>
        <v>288</v>
      </c>
      <c r="K29" s="223">
        <f t="shared" si="14"/>
        <v>344736</v>
      </c>
      <c r="L29" s="225">
        <f t="shared" si="14"/>
        <v>39</v>
      </c>
      <c r="M29" s="223">
        <f t="shared" si="14"/>
        <v>23322</v>
      </c>
      <c r="N29" s="226">
        <f t="shared" si="14"/>
        <v>4587888</v>
      </c>
      <c r="O29" s="222">
        <f t="shared" si="14"/>
        <v>143</v>
      </c>
      <c r="P29" s="223">
        <f t="shared" si="14"/>
        <v>80223</v>
      </c>
      <c r="Q29" s="225">
        <f t="shared" si="14"/>
        <v>1137</v>
      </c>
      <c r="R29" s="223">
        <f t="shared" si="14"/>
        <v>850476</v>
      </c>
      <c r="S29" s="225">
        <f t="shared" si="14"/>
        <v>209</v>
      </c>
      <c r="T29" s="223">
        <f t="shared" si="14"/>
        <v>312664</v>
      </c>
      <c r="U29" s="225">
        <f t="shared" si="14"/>
        <v>894</v>
      </c>
      <c r="V29" s="223">
        <f t="shared" si="14"/>
        <v>2674848</v>
      </c>
      <c r="W29" s="226">
        <f t="shared" si="14"/>
        <v>3918211</v>
      </c>
      <c r="X29" s="225">
        <f t="shared" si="14"/>
        <v>321</v>
      </c>
      <c r="Y29" s="223">
        <f t="shared" si="14"/>
        <v>144129</v>
      </c>
      <c r="Z29" s="225">
        <f t="shared" si="14"/>
        <v>725</v>
      </c>
      <c r="AA29" s="223">
        <f t="shared" si="14"/>
        <v>433550</v>
      </c>
      <c r="AB29" s="225">
        <f t="shared" si="14"/>
        <v>61</v>
      </c>
      <c r="AC29" s="223">
        <f t="shared" si="14"/>
        <v>73017</v>
      </c>
      <c r="AD29" s="225">
        <f t="shared" si="14"/>
        <v>115</v>
      </c>
      <c r="AE29" s="223">
        <f t="shared" si="14"/>
        <v>275195</v>
      </c>
      <c r="AF29" s="225">
        <f t="shared" si="14"/>
        <v>5</v>
      </c>
      <c r="AG29" s="223">
        <f t="shared" si="14"/>
        <v>5985</v>
      </c>
      <c r="AH29" s="225">
        <f t="shared" si="14"/>
        <v>1</v>
      </c>
      <c r="AI29" s="223">
        <f t="shared" si="14"/>
        <v>598</v>
      </c>
      <c r="AJ29" s="225">
        <f t="shared" si="14"/>
        <v>319</v>
      </c>
      <c r="AK29" s="223">
        <f t="shared" si="14"/>
        <v>1908577</v>
      </c>
      <c r="AL29" s="225">
        <f t="shared" si="14"/>
        <v>34</v>
      </c>
      <c r="AM29" s="223">
        <f t="shared" si="14"/>
        <v>101728</v>
      </c>
      <c r="AN29" s="225">
        <f t="shared" si="14"/>
        <v>5</v>
      </c>
      <c r="AO29" s="223">
        <f t="shared" si="14"/>
        <v>7480</v>
      </c>
      <c r="AP29" s="226">
        <f>SUM(Y29,AA29,AC29,AE29,AG29,AI29,AK29,AM29,AO29)</f>
        <v>2950259</v>
      </c>
      <c r="AQ29" s="222">
        <f t="shared" ref="AQ29:BB29" si="15">SUM(AQ17,AQ22,AQ24:AQ28)</f>
        <v>86</v>
      </c>
      <c r="AR29" s="223">
        <f t="shared" si="15"/>
        <v>5160</v>
      </c>
      <c r="AS29" s="225">
        <f t="shared" si="15"/>
        <v>383</v>
      </c>
      <c r="AT29" s="223">
        <f t="shared" si="15"/>
        <v>45960</v>
      </c>
      <c r="AU29" s="225">
        <f t="shared" si="15"/>
        <v>180</v>
      </c>
      <c r="AV29" s="223">
        <f t="shared" si="15"/>
        <v>21600</v>
      </c>
      <c r="AW29" s="225">
        <f t="shared" si="15"/>
        <v>242</v>
      </c>
      <c r="AX29" s="223">
        <f t="shared" si="15"/>
        <v>57838</v>
      </c>
      <c r="AY29" s="225">
        <f t="shared" si="15"/>
        <v>552</v>
      </c>
      <c r="AZ29" s="223">
        <f t="shared" si="15"/>
        <v>131928</v>
      </c>
      <c r="BA29" s="225">
        <f t="shared" si="15"/>
        <v>761</v>
      </c>
      <c r="BB29" s="223">
        <f t="shared" si="15"/>
        <v>364519</v>
      </c>
      <c r="BC29" s="226">
        <f>SUM(AR29,AT29,AV29,AX29,AZ29,BB29,)</f>
        <v>627005</v>
      </c>
      <c r="BD29" s="225">
        <f t="shared" ref="BD29:BI29" si="16">SUM(BD17,BD22,BD24:BD28)</f>
        <v>363</v>
      </c>
      <c r="BE29" s="223">
        <f t="shared" si="16"/>
        <v>1086096</v>
      </c>
      <c r="BF29" s="225">
        <f t="shared" si="16"/>
        <v>1997</v>
      </c>
      <c r="BG29" s="223">
        <f t="shared" si="16"/>
        <v>11948051</v>
      </c>
      <c r="BH29" s="226">
        <f t="shared" si="16"/>
        <v>13034147</v>
      </c>
      <c r="BI29" s="227">
        <f t="shared" si="16"/>
        <v>25117510</v>
      </c>
      <c r="BJ29" s="228"/>
    </row>
    <row r="30" spans="1:62" ht="33" hidden="1" customHeight="1" thickBot="1" x14ac:dyDescent="0.3">
      <c r="A30" s="229" t="s">
        <v>129</v>
      </c>
      <c r="B30" s="524">
        <f>C29/BI29</f>
        <v>1.9341805776129879E-2</v>
      </c>
      <c r="C30" s="505"/>
      <c r="D30" s="505">
        <f>E29/BI29</f>
        <v>8.2780737421822459E-2</v>
      </c>
      <c r="E30" s="505"/>
      <c r="F30" s="505">
        <f>G29/BI29</f>
        <v>6.1952797072639763E-4</v>
      </c>
      <c r="G30" s="505"/>
      <c r="H30" s="505">
        <f>I29/BI29</f>
        <v>6.5261445103435817E-2</v>
      </c>
      <c r="I30" s="505"/>
      <c r="J30" s="505">
        <f>K29/BI29</f>
        <v>1.3724927351477116E-2</v>
      </c>
      <c r="K30" s="505"/>
      <c r="L30" s="505">
        <f>M29/BI29</f>
        <v>9.2851560524908716E-4</v>
      </c>
      <c r="M30" s="505"/>
      <c r="N30" s="230">
        <f>N29/BI29</f>
        <v>0.18265695922884076</v>
      </c>
      <c r="O30" s="524">
        <f>P29/BI29</f>
        <v>3.1939073578551376E-3</v>
      </c>
      <c r="P30" s="505"/>
      <c r="Q30" s="505">
        <f>R29/BI29</f>
        <v>3.3859884996562159E-2</v>
      </c>
      <c r="R30" s="505"/>
      <c r="S30" s="505">
        <f>T29/BI29</f>
        <v>1.2448049189589255E-2</v>
      </c>
      <c r="T30" s="505"/>
      <c r="U30" s="505">
        <f>V29/BI29</f>
        <v>0.10649335861715592</v>
      </c>
      <c r="V30" s="505"/>
      <c r="W30" s="230">
        <f>W29/BI29</f>
        <v>0.15599520016116247</v>
      </c>
      <c r="X30" s="505">
        <f>Y29/BI29</f>
        <v>5.738188220090288E-3</v>
      </c>
      <c r="Y30" s="505"/>
      <c r="Z30" s="505">
        <f>AA29/BI29</f>
        <v>1.7260867020656108E-2</v>
      </c>
      <c r="AA30" s="505"/>
      <c r="AB30" s="505">
        <f>AC29/BI29</f>
        <v>2.9070158626392506E-3</v>
      </c>
      <c r="AC30" s="505"/>
      <c r="AD30" s="566">
        <f>AE29/BI29</f>
        <v>1.0956301002766596E-2</v>
      </c>
      <c r="AE30" s="567"/>
      <c r="AF30" s="505">
        <f>AG29/BI29</f>
        <v>2.3827998874092216E-4</v>
      </c>
      <c r="AG30" s="505"/>
      <c r="AH30" s="505">
        <f>AI29/BI29</f>
        <v>2.3808092442284286E-5</v>
      </c>
      <c r="AI30" s="505"/>
      <c r="AJ30" s="505">
        <f>AK29/BI29</f>
        <v>7.5985915801367251E-2</v>
      </c>
      <c r="AK30" s="505"/>
      <c r="AL30" s="505">
        <f>AM29/BI29</f>
        <v>4.050082989914207E-3</v>
      </c>
      <c r="AM30" s="505"/>
      <c r="AN30" s="505">
        <f>AO29/BI29</f>
        <v>2.978002198466329E-4</v>
      </c>
      <c r="AO30" s="505"/>
      <c r="AP30" s="230">
        <f>AP29/BI29</f>
        <v>0.11745825919846355</v>
      </c>
      <c r="AQ30" s="524">
        <f>AR29/BI29</f>
        <v>2.0543437625783766E-4</v>
      </c>
      <c r="AR30" s="505"/>
      <c r="AS30" s="505">
        <f>AT29/BI29</f>
        <v>1.8297992117849262E-3</v>
      </c>
      <c r="AT30" s="505"/>
      <c r="AU30" s="505">
        <f>AV29/BI29</f>
        <v>8.5995785410257627E-4</v>
      </c>
      <c r="AV30" s="505"/>
      <c r="AW30" s="505">
        <f>AX29/BI29</f>
        <v>2.3026964058141114E-3</v>
      </c>
      <c r="AX30" s="505"/>
      <c r="AY30" s="505">
        <f>AZ29/BI29</f>
        <v>5.2524314711131798E-3</v>
      </c>
      <c r="AZ30" s="505"/>
      <c r="BA30" s="505">
        <f>BB29/BI29</f>
        <v>1.4512545232389675E-2</v>
      </c>
      <c r="BB30" s="505"/>
      <c r="BC30" s="230">
        <f>BC29/BI29</f>
        <v>2.4962864551462308E-2</v>
      </c>
      <c r="BD30" s="505">
        <f>BE29/BI29</f>
        <v>4.3240591921731096E-2</v>
      </c>
      <c r="BE30" s="505"/>
      <c r="BF30" s="505">
        <f>BG29/BI29</f>
        <v>0.47568612493833984</v>
      </c>
      <c r="BG30" s="505"/>
      <c r="BH30" s="230">
        <f>BH29/BI29</f>
        <v>0.51892671686007097</v>
      </c>
      <c r="BI30" s="231"/>
      <c r="BJ30" s="232"/>
    </row>
    <row r="31" spans="1:62" x14ac:dyDescent="0.25">
      <c r="B31" s="193"/>
    </row>
    <row r="32" spans="1:62" x14ac:dyDescent="0.25">
      <c r="B32" s="193"/>
    </row>
    <row r="33" spans="1:62" ht="15.75" customHeight="1" thickBot="1" x14ac:dyDescent="0.3">
      <c r="B33" s="193"/>
    </row>
    <row r="34" spans="1:62" ht="15.75" customHeight="1" x14ac:dyDescent="0.25">
      <c r="A34" s="493" t="s">
        <v>4</v>
      </c>
      <c r="B34" s="489" t="s">
        <v>83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90"/>
      <c r="O34" s="456" t="s">
        <v>124</v>
      </c>
      <c r="P34" s="456"/>
      <c r="Q34" s="456"/>
      <c r="R34" s="456"/>
      <c r="S34" s="456"/>
      <c r="T34" s="456"/>
      <c r="U34" s="456"/>
      <c r="V34" s="456"/>
      <c r="W34" s="457"/>
      <c r="X34" s="560" t="s">
        <v>85</v>
      </c>
      <c r="Y34" s="561"/>
      <c r="Z34" s="561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2"/>
      <c r="AQ34" s="532" t="s">
        <v>86</v>
      </c>
      <c r="AR34" s="532"/>
      <c r="AS34" s="532"/>
      <c r="AT34" s="532"/>
      <c r="AU34" s="532"/>
      <c r="AV34" s="532"/>
      <c r="AW34" s="532"/>
      <c r="AX34" s="532"/>
      <c r="AY34" s="532"/>
      <c r="AZ34" s="532"/>
      <c r="BA34" s="532"/>
      <c r="BB34" s="532"/>
      <c r="BC34" s="533"/>
      <c r="BD34" s="550" t="s">
        <v>87</v>
      </c>
      <c r="BE34" s="550"/>
      <c r="BF34" s="550"/>
      <c r="BG34" s="550"/>
      <c r="BH34" s="551"/>
      <c r="BI34" s="546" t="s">
        <v>128</v>
      </c>
      <c r="BJ34" s="548" t="s">
        <v>129</v>
      </c>
    </row>
    <row r="35" spans="1:62" ht="15" customHeight="1" x14ac:dyDescent="0.25">
      <c r="A35" s="494"/>
      <c r="B35" s="491" t="s">
        <v>89</v>
      </c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2"/>
      <c r="O35" s="495" t="s">
        <v>89</v>
      </c>
      <c r="P35" s="495"/>
      <c r="Q35" s="495"/>
      <c r="R35" s="495"/>
      <c r="S35" s="495"/>
      <c r="T35" s="495"/>
      <c r="U35" s="495"/>
      <c r="V35" s="495"/>
      <c r="W35" s="496"/>
      <c r="X35" s="563" t="s">
        <v>89</v>
      </c>
      <c r="Y35" s="564"/>
      <c r="Z35" s="564"/>
      <c r="AA35" s="564"/>
      <c r="AB35" s="564"/>
      <c r="AC35" s="564"/>
      <c r="AD35" s="564"/>
      <c r="AE35" s="564"/>
      <c r="AF35" s="564"/>
      <c r="AG35" s="564"/>
      <c r="AH35" s="564"/>
      <c r="AI35" s="564"/>
      <c r="AJ35" s="564"/>
      <c r="AK35" s="564"/>
      <c r="AL35" s="564"/>
      <c r="AM35" s="564"/>
      <c r="AN35" s="564"/>
      <c r="AO35" s="564"/>
      <c r="AP35" s="565"/>
      <c r="AQ35" s="534" t="s">
        <v>89</v>
      </c>
      <c r="AR35" s="534"/>
      <c r="AS35" s="534"/>
      <c r="AT35" s="534"/>
      <c r="AU35" s="534"/>
      <c r="AV35" s="534"/>
      <c r="AW35" s="534"/>
      <c r="AX35" s="534"/>
      <c r="AY35" s="534"/>
      <c r="AZ35" s="534"/>
      <c r="BA35" s="534"/>
      <c r="BB35" s="534"/>
      <c r="BC35" s="535"/>
      <c r="BD35" s="552" t="s">
        <v>89</v>
      </c>
      <c r="BE35" s="552"/>
      <c r="BF35" s="552"/>
      <c r="BG35" s="552"/>
      <c r="BH35" s="553"/>
      <c r="BI35" s="547"/>
      <c r="BJ35" s="549"/>
    </row>
    <row r="36" spans="1:62" s="11" customFormat="1" ht="62.25" customHeight="1" x14ac:dyDescent="0.25">
      <c r="A36" s="494"/>
      <c r="B36" s="513" t="s">
        <v>92</v>
      </c>
      <c r="C36" s="509"/>
      <c r="D36" s="513" t="s">
        <v>93</v>
      </c>
      <c r="E36" s="509"/>
      <c r="F36" s="508" t="s">
        <v>94</v>
      </c>
      <c r="G36" s="509"/>
      <c r="H36" s="508" t="s">
        <v>95</v>
      </c>
      <c r="I36" s="509"/>
      <c r="J36" s="508" t="s">
        <v>96</v>
      </c>
      <c r="K36" s="509"/>
      <c r="L36" s="508" t="s">
        <v>97</v>
      </c>
      <c r="M36" s="509"/>
      <c r="N36" s="487" t="s">
        <v>130</v>
      </c>
      <c r="O36" s="497" t="s">
        <v>92</v>
      </c>
      <c r="P36" s="498"/>
      <c r="Q36" s="499" t="s">
        <v>93</v>
      </c>
      <c r="R36" s="498"/>
      <c r="S36" s="499" t="s">
        <v>94</v>
      </c>
      <c r="T36" s="498"/>
      <c r="U36" s="499" t="s">
        <v>95</v>
      </c>
      <c r="V36" s="498"/>
      <c r="W36" s="500" t="s">
        <v>130</v>
      </c>
      <c r="X36" s="530" t="s">
        <v>92</v>
      </c>
      <c r="Y36" s="531"/>
      <c r="Z36" s="530" t="s">
        <v>93</v>
      </c>
      <c r="AA36" s="531"/>
      <c r="AB36" s="530" t="s">
        <v>94</v>
      </c>
      <c r="AC36" s="531"/>
      <c r="AD36" s="520" t="str">
        <f>AD8</f>
        <v>Non-Research Institution Bachelor</v>
      </c>
      <c r="AE36" s="521"/>
      <c r="AF36" s="520" t="str">
        <f>AF8</f>
        <v>Non-Research Institution Master</v>
      </c>
      <c r="AG36" s="521"/>
      <c r="AH36" s="520" t="str">
        <f>AH8</f>
        <v>Non-Research Institution Doctoral</v>
      </c>
      <c r="AI36" s="521"/>
      <c r="AJ36" s="520" t="str">
        <f>AJ8</f>
        <v>Research Institution Bachelor</v>
      </c>
      <c r="AK36" s="521"/>
      <c r="AL36" s="520" t="str">
        <f>AL8</f>
        <v>Research Institution Master</v>
      </c>
      <c r="AM36" s="521"/>
      <c r="AN36" s="520" t="str">
        <f>AN8</f>
        <v>Research Institution Doctoral</v>
      </c>
      <c r="AO36" s="521"/>
      <c r="AP36" s="525" t="s">
        <v>130</v>
      </c>
      <c r="AQ36" s="536" t="s">
        <v>104</v>
      </c>
      <c r="AR36" s="537"/>
      <c r="AS36" s="538" t="s">
        <v>105</v>
      </c>
      <c r="AT36" s="537"/>
      <c r="AU36" s="538" t="s">
        <v>106</v>
      </c>
      <c r="AV36" s="537"/>
      <c r="AW36" s="538" t="s">
        <v>107</v>
      </c>
      <c r="AX36" s="537"/>
      <c r="AY36" s="538" t="s">
        <v>108</v>
      </c>
      <c r="AZ36" s="537"/>
      <c r="BA36" s="538" t="s">
        <v>109</v>
      </c>
      <c r="BB36" s="537"/>
      <c r="BC36" s="539" t="s">
        <v>130</v>
      </c>
      <c r="BD36" s="554" t="s">
        <v>110</v>
      </c>
      <c r="BE36" s="555"/>
      <c r="BF36" s="554" t="s">
        <v>111</v>
      </c>
      <c r="BG36" s="555"/>
      <c r="BH36" s="556" t="s">
        <v>130</v>
      </c>
      <c r="BI36" s="547"/>
      <c r="BJ36" s="549"/>
    </row>
    <row r="37" spans="1:62" ht="16.5" customHeight="1" thickBot="1" x14ac:dyDescent="0.3">
      <c r="A37" s="494"/>
      <c r="B37" s="512">
        <v>1539</v>
      </c>
      <c r="C37" s="507"/>
      <c r="D37" s="512">
        <v>2052</v>
      </c>
      <c r="E37" s="507"/>
      <c r="F37" s="506">
        <v>4105</v>
      </c>
      <c r="G37" s="507"/>
      <c r="H37" s="506">
        <v>8209</v>
      </c>
      <c r="I37" s="507"/>
      <c r="J37" s="506">
        <v>4105</v>
      </c>
      <c r="K37" s="507"/>
      <c r="L37" s="510">
        <v>2052</v>
      </c>
      <c r="M37" s="511"/>
      <c r="N37" s="488"/>
      <c r="O37" s="502">
        <v>1924</v>
      </c>
      <c r="P37" s="503"/>
      <c r="Q37" s="504">
        <v>2565</v>
      </c>
      <c r="R37" s="503"/>
      <c r="S37" s="504">
        <v>5131</v>
      </c>
      <c r="T37" s="503"/>
      <c r="U37" s="504">
        <v>10262</v>
      </c>
      <c r="V37" s="503"/>
      <c r="W37" s="501"/>
      <c r="X37" s="528">
        <v>1539</v>
      </c>
      <c r="Y37" s="529"/>
      <c r="Z37" s="528">
        <v>2052</v>
      </c>
      <c r="AA37" s="529"/>
      <c r="AB37" s="528">
        <v>4105</v>
      </c>
      <c r="AC37" s="529"/>
      <c r="AD37" s="527">
        <v>8209</v>
      </c>
      <c r="AE37" s="523"/>
      <c r="AF37" s="528">
        <v>4105</v>
      </c>
      <c r="AG37" s="529"/>
      <c r="AH37" s="522">
        <v>2052</v>
      </c>
      <c r="AI37" s="523"/>
      <c r="AJ37" s="522">
        <v>20524</v>
      </c>
      <c r="AK37" s="523"/>
      <c r="AL37" s="522">
        <v>10262</v>
      </c>
      <c r="AM37" s="523"/>
      <c r="AN37" s="522">
        <v>5131</v>
      </c>
      <c r="AO37" s="523"/>
      <c r="AP37" s="526"/>
      <c r="AQ37" s="541">
        <v>205</v>
      </c>
      <c r="AR37" s="542"/>
      <c r="AS37" s="543">
        <v>410</v>
      </c>
      <c r="AT37" s="542"/>
      <c r="AU37" s="543">
        <v>410</v>
      </c>
      <c r="AV37" s="542"/>
      <c r="AW37" s="543">
        <v>821</v>
      </c>
      <c r="AX37" s="542"/>
      <c r="AY37" s="544">
        <v>821</v>
      </c>
      <c r="AZ37" s="545"/>
      <c r="BA37" s="544">
        <v>1642</v>
      </c>
      <c r="BB37" s="545"/>
      <c r="BC37" s="540"/>
      <c r="BD37" s="558">
        <v>10262</v>
      </c>
      <c r="BE37" s="559"/>
      <c r="BF37" s="558">
        <v>20524</v>
      </c>
      <c r="BG37" s="559"/>
      <c r="BH37" s="557"/>
      <c r="BI37" s="547"/>
      <c r="BJ37" s="549"/>
    </row>
    <row r="38" spans="1:62" x14ac:dyDescent="0.25">
      <c r="A38" s="189" t="s">
        <v>50</v>
      </c>
      <c r="B38" s="190"/>
      <c r="C38" s="191" t="str">
        <f>IF(ISBLANK(B38),"", B38*B37)</f>
        <v/>
      </c>
      <c r="D38" s="190"/>
      <c r="E38" s="191" t="str">
        <f>IF(ISBLANK(D38),"", D38*D37)</f>
        <v/>
      </c>
      <c r="F38" s="192"/>
      <c r="G38" s="191" t="str">
        <f>IF(ISBLANK(F38),"", F38*F37)</f>
        <v/>
      </c>
      <c r="H38" s="192">
        <v>0</v>
      </c>
      <c r="I38" s="191">
        <f>IF(ISBLANK(H38),"", H38*H37)</f>
        <v>0</v>
      </c>
      <c r="J38" s="192">
        <v>51</v>
      </c>
      <c r="K38" s="191">
        <f>IF(ISBLANK(J38),"", J38*J37)</f>
        <v>209355</v>
      </c>
      <c r="L38" s="193">
        <v>0</v>
      </c>
      <c r="M38" s="191">
        <f>IF(ISBLANK(L38),"", L38*L37)</f>
        <v>0</v>
      </c>
      <c r="N38" s="194">
        <f t="shared" ref="N38:N44" si="17">SUM(C38,E38,G38,I38,K38,M38)</f>
        <v>209355</v>
      </c>
      <c r="O38" s="190">
        <v>0</v>
      </c>
      <c r="P38" s="191">
        <f>IF(ISBLANK(O38),"", O38*O37)</f>
        <v>0</v>
      </c>
      <c r="Q38" s="192">
        <v>0</v>
      </c>
      <c r="R38" s="191">
        <f>IF(ISBLANK(Q38),"", Q38*Q37)</f>
        <v>0</v>
      </c>
      <c r="S38" s="192"/>
      <c r="T38" s="191" t="str">
        <f>IF(ISBLANK(S38),"", S38*S37)</f>
        <v/>
      </c>
      <c r="U38" s="192">
        <v>74</v>
      </c>
      <c r="V38" s="191">
        <f>IF(ISBLANK(U38),"", U38*U37)</f>
        <v>759388</v>
      </c>
      <c r="W38" s="194">
        <f t="shared" ref="W38:W44" si="18">SUM(P38,R38,T38,V38)</f>
        <v>759388</v>
      </c>
      <c r="X38" s="192"/>
      <c r="Y38" s="191" t="str">
        <f>IF(ISBLANK(X38),"", X38*X37)</f>
        <v/>
      </c>
      <c r="Z38" s="192"/>
      <c r="AA38" s="191" t="str">
        <f>IF(ISBLANK(Z38),"", Z38*Z37)</f>
        <v/>
      </c>
      <c r="AB38" s="192"/>
      <c r="AC38" s="191" t="str">
        <f>IF(ISBLANK(AB38),"", AB38*AB37)</f>
        <v/>
      </c>
      <c r="AD38" s="192"/>
      <c r="AE38" s="191" t="str">
        <f>IF(ISBLANK(AD38),"", AD38*AD37)</f>
        <v/>
      </c>
      <c r="AF38" s="192"/>
      <c r="AG38" s="191" t="str">
        <f>IF(ISBLANK(AF38),"", AF38*AF37)</f>
        <v/>
      </c>
      <c r="AH38" s="193"/>
      <c r="AI38" s="191" t="str">
        <f>IF(ISBLANK(AH38),"", AH38*AH37)</f>
        <v/>
      </c>
      <c r="AJ38" s="193">
        <v>8</v>
      </c>
      <c r="AK38" s="191">
        <f>IF(ISBLANK(AJ38),"", AJ38*AJ37)</f>
        <v>164192</v>
      </c>
      <c r="AL38" s="193">
        <v>4</v>
      </c>
      <c r="AM38" s="191">
        <f>IF(ISBLANK(AL38),"", AL38*AL37)</f>
        <v>41048</v>
      </c>
      <c r="AN38" s="193">
        <v>0</v>
      </c>
      <c r="AO38" s="191">
        <f>IF(ISBLANK(AN38),"", AN38*AN37)</f>
        <v>0</v>
      </c>
      <c r="AP38" s="194">
        <f t="shared" ref="AP38:AP44" si="19">SUM(AO38,AM38,AK38,AI38,AG38,AE38,AC38,AA38,Y38)</f>
        <v>205240</v>
      </c>
      <c r="AQ38" s="190"/>
      <c r="AR38" s="191" t="str">
        <f>IF(ISBLANK(AQ38),"", AQ38*AQ37)</f>
        <v/>
      </c>
      <c r="AS38" s="192"/>
      <c r="AT38" s="191" t="str">
        <f>IF(ISBLANK(AS38),"", AS38*AS37)</f>
        <v/>
      </c>
      <c r="AU38" s="192"/>
      <c r="AV38" s="191" t="str">
        <f>IF(ISBLANK(AU38),"", AU38*AU37)</f>
        <v/>
      </c>
      <c r="AW38" s="192"/>
      <c r="AX38" s="191" t="str">
        <f>IF(ISBLANK(AW38),"", AW38*AW37)</f>
        <v/>
      </c>
      <c r="AY38" s="193"/>
      <c r="AZ38" s="191" t="str">
        <f>IF(ISBLANK(AY38),"", AY38*AY37)</f>
        <v/>
      </c>
      <c r="BA38" s="193"/>
      <c r="BB38" s="191" t="str">
        <f>IF(ISBLANK(BA38),"", BA38*BA37)</f>
        <v/>
      </c>
      <c r="BC38" s="194">
        <f t="shared" ref="BC38:BC44" si="20">SUM(AR38,AT38,AV38,AX38,AZ38,BB38)</f>
        <v>0</v>
      </c>
      <c r="BD38" s="192"/>
      <c r="BE38" s="191" t="str">
        <f>IF(ISBLANK(BD38),"", BD38*BD37)</f>
        <v/>
      </c>
      <c r="BF38" s="192">
        <v>262</v>
      </c>
      <c r="BG38" s="191">
        <f>IF(ISBLANK(BF38),"", BF38*BF37)</f>
        <v>5377288</v>
      </c>
      <c r="BH38" s="194">
        <f t="shared" ref="BH38:BH44" si="21">SUM(BE38,BG38)</f>
        <v>5377288</v>
      </c>
      <c r="BI38" s="195">
        <f t="shared" ref="BI38:BI45" si="22">SUM(N38,W38,AP38,BC38,BH38)</f>
        <v>6551271</v>
      </c>
      <c r="BJ38" s="196">
        <f>BI38/BI57</f>
        <v>7.6037140662624375E-2</v>
      </c>
    </row>
    <row r="39" spans="1:62" x14ac:dyDescent="0.25">
      <c r="A39" s="120" t="s">
        <v>54</v>
      </c>
      <c r="B39" s="193"/>
      <c r="C39" s="197" t="str">
        <f>IF(ISBLANK(B39),"", B39*B37)</f>
        <v/>
      </c>
      <c r="D39" s="193"/>
      <c r="E39" s="197" t="str">
        <f>IF(ISBLANK(D39),"", D39*D37)</f>
        <v/>
      </c>
      <c r="F39" s="198"/>
      <c r="G39" s="197" t="str">
        <f>IF(ISBLANK(F39),"", F39*F37)</f>
        <v/>
      </c>
      <c r="H39" s="198">
        <v>76</v>
      </c>
      <c r="I39" s="197">
        <f>IF(ISBLANK(H39),"", H39*H37)</f>
        <v>623884</v>
      </c>
      <c r="J39" s="198">
        <v>1</v>
      </c>
      <c r="K39" s="197">
        <f>IF(ISBLANK(J39),"", J39*J37)</f>
        <v>4105</v>
      </c>
      <c r="L39" s="193">
        <v>0</v>
      </c>
      <c r="M39" s="197">
        <f>IF(ISBLANK(L39),"", L39*L37)</f>
        <v>0</v>
      </c>
      <c r="N39" s="194">
        <f t="shared" si="17"/>
        <v>627989</v>
      </c>
      <c r="O39" s="193">
        <v>0</v>
      </c>
      <c r="P39" s="197">
        <f>IF(ISBLANK(O39),"", O39*O37)</f>
        <v>0</v>
      </c>
      <c r="Q39" s="198">
        <v>0</v>
      </c>
      <c r="R39" s="197">
        <f>IF(ISBLANK(Q39),"", Q39*Q37)</f>
        <v>0</v>
      </c>
      <c r="S39" s="198"/>
      <c r="T39" s="197" t="str">
        <f>IF(ISBLANK(S39),"", S39*S37)</f>
        <v/>
      </c>
      <c r="U39" s="198">
        <v>22</v>
      </c>
      <c r="V39" s="197">
        <f>IF(ISBLANK(U39),"", U39*U37)</f>
        <v>225764</v>
      </c>
      <c r="W39" s="194">
        <f t="shared" si="18"/>
        <v>225764</v>
      </c>
      <c r="X39" s="198"/>
      <c r="Y39" s="197" t="str">
        <f>IF(ISBLANK(X39),"", X39*X37)</f>
        <v/>
      </c>
      <c r="Z39" s="198"/>
      <c r="AA39" s="197" t="str">
        <f>IF(ISBLANK(Z39),"", Z39*Z37)</f>
        <v/>
      </c>
      <c r="AB39" s="198"/>
      <c r="AC39" s="197" t="str">
        <f>IF(ISBLANK(AB39),"", AB39*AB37)</f>
        <v/>
      </c>
      <c r="AD39" s="198">
        <v>6</v>
      </c>
      <c r="AE39" s="197">
        <f>IF(ISBLANK(AD39),"", AD39*AD37)</f>
        <v>49254</v>
      </c>
      <c r="AF39" s="198"/>
      <c r="AG39" s="197" t="str">
        <f>IF(ISBLANK(AF39),"", AF39*AF37)</f>
        <v/>
      </c>
      <c r="AH39" s="193"/>
      <c r="AI39" s="197" t="str">
        <f>IF(ISBLANK(AH39),"", AH39*AH37)</f>
        <v/>
      </c>
      <c r="AJ39" s="193"/>
      <c r="AK39" s="197" t="str">
        <f>IF(ISBLANK(AJ39),"", AJ39*AJ37)</f>
        <v/>
      </c>
      <c r="AL39" s="193"/>
      <c r="AM39" s="197" t="str">
        <f>IF(ISBLANK(AL39),"", AL39*AL37)</f>
        <v/>
      </c>
      <c r="AN39" s="193"/>
      <c r="AO39" s="197" t="str">
        <f>IF(ISBLANK(AN39),"", AN39*AN37)</f>
        <v/>
      </c>
      <c r="AP39" s="194">
        <f t="shared" si="19"/>
        <v>49254</v>
      </c>
      <c r="AQ39" s="193"/>
      <c r="AR39" s="197" t="str">
        <f>IF(ISBLANK(AQ39),"", AQ39*AQ37)</f>
        <v/>
      </c>
      <c r="AS39" s="198"/>
      <c r="AT39" s="197" t="str">
        <f>IF(ISBLANK(AS39),"", AS39*AS37)</f>
        <v/>
      </c>
      <c r="AU39" s="198">
        <v>0</v>
      </c>
      <c r="AV39" s="197">
        <f>IF(ISBLANK(AU39),"", AU39*AU37)</f>
        <v>0</v>
      </c>
      <c r="AW39" s="198"/>
      <c r="AX39" s="197" t="str">
        <f>IF(ISBLANK(AW39),"", AW39*AW37)</f>
        <v/>
      </c>
      <c r="AY39" s="193">
        <v>30</v>
      </c>
      <c r="AZ39" s="197">
        <f>IF(ISBLANK(AY39),"", AY39*AY37)</f>
        <v>24630</v>
      </c>
      <c r="BA39" s="193">
        <v>31</v>
      </c>
      <c r="BB39" s="197">
        <f>IF(ISBLANK(BA39),"", BA39*BA37)</f>
        <v>50902</v>
      </c>
      <c r="BC39" s="194">
        <f t="shared" si="20"/>
        <v>75532</v>
      </c>
      <c r="BD39" s="198"/>
      <c r="BE39" s="197" t="str">
        <f>IF(ISBLANK(BD39),"", BD39*BD37)</f>
        <v/>
      </c>
      <c r="BF39" s="198">
        <v>36</v>
      </c>
      <c r="BG39" s="197">
        <f>IF(ISBLANK(BF39),"", BF39*BF37)</f>
        <v>738864</v>
      </c>
      <c r="BH39" s="194">
        <f t="shared" si="21"/>
        <v>738864</v>
      </c>
      <c r="BI39" s="195">
        <f t="shared" si="22"/>
        <v>1717403</v>
      </c>
      <c r="BJ39" s="196">
        <f>BI39/BI57</f>
        <v>1.9932989107825504E-2</v>
      </c>
    </row>
    <row r="40" spans="1:62" x14ac:dyDescent="0.25">
      <c r="A40" s="120" t="s">
        <v>55</v>
      </c>
      <c r="B40" s="193"/>
      <c r="C40" s="197" t="str">
        <f>IF(ISBLANK(B40),"", B40*B37)</f>
        <v/>
      </c>
      <c r="D40" s="193"/>
      <c r="E40" s="197" t="str">
        <f>IF(ISBLANK(D40),"", D40*D37)</f>
        <v/>
      </c>
      <c r="F40" s="198"/>
      <c r="G40" s="197" t="str">
        <f>IF(ISBLANK(F40),"", F40*F37)</f>
        <v/>
      </c>
      <c r="H40" s="198">
        <v>44</v>
      </c>
      <c r="I40" s="197">
        <f>IF(ISBLANK(H40),"", H40*H37)</f>
        <v>361196</v>
      </c>
      <c r="J40" s="198">
        <v>0</v>
      </c>
      <c r="K40" s="197">
        <f>IF(ISBLANK(J40),"", J40*J37)</f>
        <v>0</v>
      </c>
      <c r="L40" s="193">
        <v>0</v>
      </c>
      <c r="M40" s="197">
        <f>IF(ISBLANK(L40),"", L40*L37)</f>
        <v>0</v>
      </c>
      <c r="N40" s="194">
        <f t="shared" si="17"/>
        <v>361196</v>
      </c>
      <c r="O40" s="193">
        <v>0</v>
      </c>
      <c r="P40" s="197">
        <f>IF(ISBLANK(O40),"", O40*O37)</f>
        <v>0</v>
      </c>
      <c r="Q40" s="198">
        <v>0</v>
      </c>
      <c r="R40" s="197">
        <f>IF(ISBLANK(Q40),"", Q40*Q37)</f>
        <v>0</v>
      </c>
      <c r="S40" s="198"/>
      <c r="T40" s="197" t="str">
        <f>IF(ISBLANK(S40),"", S40*S37)</f>
        <v/>
      </c>
      <c r="U40" s="198">
        <v>11</v>
      </c>
      <c r="V40" s="197">
        <f>IF(ISBLANK(U40),"", U40*U37)</f>
        <v>112882</v>
      </c>
      <c r="W40" s="194">
        <f t="shared" si="18"/>
        <v>112882</v>
      </c>
      <c r="X40" s="198"/>
      <c r="Y40" s="197" t="str">
        <f>IF(ISBLANK(X40),"", X40*X37)</f>
        <v/>
      </c>
      <c r="Z40" s="198"/>
      <c r="AA40" s="197" t="str">
        <f>IF(ISBLANK(Z40),"", Z40*Z37)</f>
        <v/>
      </c>
      <c r="AB40" s="198"/>
      <c r="AC40" s="197" t="str">
        <f>IF(ISBLANK(AB40),"", AB40*AB37)</f>
        <v/>
      </c>
      <c r="AD40" s="198">
        <v>0</v>
      </c>
      <c r="AE40" s="197">
        <f>IF(ISBLANK(AD40),"", AD40*AD37)</f>
        <v>0</v>
      </c>
      <c r="AF40" s="198"/>
      <c r="AG40" s="197" t="str">
        <f>IF(ISBLANK(AF40),"", AF40*AF37)</f>
        <v/>
      </c>
      <c r="AH40" s="193"/>
      <c r="AI40" s="197" t="str">
        <f>IF(ISBLANK(AH40),"", AH40*AH37)</f>
        <v/>
      </c>
      <c r="AJ40" s="193"/>
      <c r="AK40" s="197" t="str">
        <f>IF(ISBLANK(AJ40),"", AJ40*AJ37)</f>
        <v/>
      </c>
      <c r="AL40" s="193"/>
      <c r="AM40" s="197" t="str">
        <f>IF(ISBLANK(AL40),"", AL40*AL37)</f>
        <v/>
      </c>
      <c r="AN40" s="193"/>
      <c r="AO40" s="197" t="str">
        <f>IF(ISBLANK(AN40),"", AN40*AN37)</f>
        <v/>
      </c>
      <c r="AP40" s="194">
        <f t="shared" si="19"/>
        <v>0</v>
      </c>
      <c r="AQ40" s="193"/>
      <c r="AR40" s="197" t="str">
        <f>IF(ISBLANK(AQ40),"", AQ40*AQ37)</f>
        <v/>
      </c>
      <c r="AS40" s="198"/>
      <c r="AT40" s="197" t="str">
        <f>IF(ISBLANK(AS40),"", AS40*AS37)</f>
        <v/>
      </c>
      <c r="AU40" s="198">
        <v>23</v>
      </c>
      <c r="AV40" s="197">
        <f>IF(ISBLANK(AU40),"", AU40*AU37)</f>
        <v>9430</v>
      </c>
      <c r="AW40" s="198"/>
      <c r="AX40" s="197" t="str">
        <f>IF(ISBLANK(AW40),"", AW40*AW37)</f>
        <v/>
      </c>
      <c r="AY40" s="193">
        <v>32</v>
      </c>
      <c r="AZ40" s="197">
        <f>IF(ISBLANK(AY40),"", AY40*AY37)</f>
        <v>26272</v>
      </c>
      <c r="BA40" s="193">
        <v>39</v>
      </c>
      <c r="BB40" s="197">
        <f>IF(ISBLANK(BA40),"", BA40*BA37)</f>
        <v>64038</v>
      </c>
      <c r="BC40" s="194">
        <f t="shared" si="20"/>
        <v>99740</v>
      </c>
      <c r="BD40" s="198"/>
      <c r="BE40" s="197" t="str">
        <f>IF(ISBLANK(BD40),"", BD40*BD37)</f>
        <v/>
      </c>
      <c r="BF40" s="198">
        <v>35</v>
      </c>
      <c r="BG40" s="197">
        <f>IF(ISBLANK(BF40),"", BF40*BF37)</f>
        <v>718340</v>
      </c>
      <c r="BH40" s="194">
        <f t="shared" si="21"/>
        <v>718340</v>
      </c>
      <c r="BI40" s="195">
        <f t="shared" si="22"/>
        <v>1292158</v>
      </c>
      <c r="BJ40" s="196">
        <f>BI40/BI57</f>
        <v>1.4997395101551346E-2</v>
      </c>
    </row>
    <row r="41" spans="1:62" x14ac:dyDescent="0.25">
      <c r="A41" s="120" t="s">
        <v>56</v>
      </c>
      <c r="B41" s="193"/>
      <c r="C41" s="197" t="str">
        <f>IF(ISBLANK(B41),"", B41*B37)</f>
        <v/>
      </c>
      <c r="D41" s="193"/>
      <c r="E41" s="197" t="str">
        <f>IF(ISBLANK(D41),"", D41*D37)</f>
        <v/>
      </c>
      <c r="F41" s="198"/>
      <c r="G41" s="197" t="str">
        <f>IF(ISBLANK(F41),"", F41*F37)</f>
        <v/>
      </c>
      <c r="H41" s="198">
        <v>31</v>
      </c>
      <c r="I41" s="197">
        <f>IF(ISBLANK(H41),"", H41*H37)</f>
        <v>254479</v>
      </c>
      <c r="J41" s="198">
        <v>0</v>
      </c>
      <c r="K41" s="197">
        <f>IF(ISBLANK(J41),"", J41*J37)</f>
        <v>0</v>
      </c>
      <c r="L41" s="193">
        <v>0</v>
      </c>
      <c r="M41" s="197">
        <f>IF(ISBLANK(L41),"", L41*L37)</f>
        <v>0</v>
      </c>
      <c r="N41" s="194">
        <f t="shared" si="17"/>
        <v>254479</v>
      </c>
      <c r="O41" s="193">
        <v>0</v>
      </c>
      <c r="P41" s="197">
        <f>IF(ISBLANK(O41),"", O41*O37)</f>
        <v>0</v>
      </c>
      <c r="Q41" s="198">
        <v>0</v>
      </c>
      <c r="R41" s="197">
        <f>IF(ISBLANK(Q41),"", Q41*Q37)</f>
        <v>0</v>
      </c>
      <c r="S41" s="198"/>
      <c r="T41" s="197" t="str">
        <f>IF(ISBLANK(S41),"", S41*S37)</f>
        <v/>
      </c>
      <c r="U41" s="198">
        <v>30</v>
      </c>
      <c r="V41" s="197">
        <f>IF(ISBLANK(U41),"", U41*U37)</f>
        <v>307860</v>
      </c>
      <c r="W41" s="194">
        <f t="shared" si="18"/>
        <v>307860</v>
      </c>
      <c r="X41" s="198"/>
      <c r="Y41" s="197" t="str">
        <f>IF(ISBLANK(X41),"", X41*X37)</f>
        <v/>
      </c>
      <c r="Z41" s="198"/>
      <c r="AA41" s="197" t="str">
        <f>IF(ISBLANK(Z41),"", Z41*Z37)</f>
        <v/>
      </c>
      <c r="AB41" s="198"/>
      <c r="AC41" s="197" t="str">
        <f>IF(ISBLANK(AB41),"", AB41*AB37)</f>
        <v/>
      </c>
      <c r="AD41" s="198"/>
      <c r="AE41" s="197" t="str">
        <f>IF(ISBLANK(AD41),"", AD41*AD37)</f>
        <v/>
      </c>
      <c r="AF41" s="198"/>
      <c r="AG41" s="197" t="str">
        <f>IF(ISBLANK(AF41),"", AF41*AF37)</f>
        <v/>
      </c>
      <c r="AH41" s="193"/>
      <c r="AI41" s="197" t="str">
        <f>IF(ISBLANK(AH41),"", AH41*AH37)</f>
        <v/>
      </c>
      <c r="AJ41" s="193"/>
      <c r="AK41" s="197" t="str">
        <f>IF(ISBLANK(AJ41),"", AJ41*AJ37)</f>
        <v/>
      </c>
      <c r="AL41" s="193"/>
      <c r="AM41" s="197" t="str">
        <f>IF(ISBLANK(AL41),"", AL41*AL37)</f>
        <v/>
      </c>
      <c r="AN41" s="193"/>
      <c r="AO41" s="197" t="str">
        <f>IF(ISBLANK(AN41),"", AN41*AN37)</f>
        <v/>
      </c>
      <c r="AP41" s="194">
        <f t="shared" si="19"/>
        <v>0</v>
      </c>
      <c r="AQ41" s="193"/>
      <c r="AR41" s="197" t="str">
        <f>IF(ISBLANK(AQ41),"", AQ41*AQ37)</f>
        <v/>
      </c>
      <c r="AS41" s="198"/>
      <c r="AT41" s="197" t="str">
        <f>IF(ISBLANK(AS41),"", AS41*AS37)</f>
        <v/>
      </c>
      <c r="AU41" s="198">
        <v>42</v>
      </c>
      <c r="AV41" s="197">
        <f>IF(ISBLANK(AU41),"", AU41*AU37)</f>
        <v>17220</v>
      </c>
      <c r="AW41" s="198"/>
      <c r="AX41" s="197" t="str">
        <f>IF(ISBLANK(AW41),"", AW41*AW37)</f>
        <v/>
      </c>
      <c r="AY41" s="193">
        <v>43</v>
      </c>
      <c r="AZ41" s="197">
        <f>IF(ISBLANK(AY41),"", AY41*AY37)</f>
        <v>35303</v>
      </c>
      <c r="BA41" s="193">
        <v>53</v>
      </c>
      <c r="BB41" s="197">
        <f>IF(ISBLANK(BA41),"", BA41*BA37)</f>
        <v>87026</v>
      </c>
      <c r="BC41" s="194">
        <f t="shared" si="20"/>
        <v>139549</v>
      </c>
      <c r="BD41" s="198"/>
      <c r="BE41" s="197" t="str">
        <f>IF(ISBLANK(BD41),"", BD41*BD37)</f>
        <v/>
      </c>
      <c r="BF41" s="198">
        <v>49</v>
      </c>
      <c r="BG41" s="197">
        <f>IF(ISBLANK(BF41),"", BF41*BF37)</f>
        <v>1005676</v>
      </c>
      <c r="BH41" s="194">
        <f t="shared" si="21"/>
        <v>1005676</v>
      </c>
      <c r="BI41" s="195">
        <f t="shared" si="22"/>
        <v>1707564</v>
      </c>
      <c r="BJ41" s="196">
        <f>BI41/BI57</f>
        <v>1.9818793033967535E-2</v>
      </c>
    </row>
    <row r="42" spans="1:62" x14ac:dyDescent="0.25">
      <c r="A42" s="120" t="s">
        <v>57</v>
      </c>
      <c r="B42" s="193"/>
      <c r="C42" s="197" t="str">
        <f>IF(ISBLANK(B42),"", B42*B37)</f>
        <v/>
      </c>
      <c r="D42" s="193"/>
      <c r="E42" s="197" t="str">
        <f>IF(ISBLANK(D42),"", D42*D37)</f>
        <v/>
      </c>
      <c r="F42" s="198"/>
      <c r="G42" s="197" t="str">
        <f>IF(ISBLANK(F42),"", F42*F37)</f>
        <v/>
      </c>
      <c r="H42" s="198">
        <v>329</v>
      </c>
      <c r="I42" s="197">
        <f>IF(ISBLANK(H42),"", H42*H37)</f>
        <v>2700761</v>
      </c>
      <c r="J42" s="198">
        <v>6</v>
      </c>
      <c r="K42" s="197">
        <f>IF(ISBLANK(J42),"", J42*J37)</f>
        <v>24630</v>
      </c>
      <c r="L42" s="193">
        <v>0</v>
      </c>
      <c r="M42" s="197">
        <f>IF(ISBLANK(L42),"", L42*L37)</f>
        <v>0</v>
      </c>
      <c r="N42" s="194">
        <f t="shared" si="17"/>
        <v>2725391</v>
      </c>
      <c r="O42" s="193">
        <v>0</v>
      </c>
      <c r="P42" s="197">
        <f>IF(ISBLANK(O42),"", O42*O37)</f>
        <v>0</v>
      </c>
      <c r="Q42" s="198">
        <v>0</v>
      </c>
      <c r="R42" s="197">
        <f>IF(ISBLANK(Q42),"", Q42*Q37)</f>
        <v>0</v>
      </c>
      <c r="S42" s="198"/>
      <c r="T42" s="197" t="str">
        <f>IF(ISBLANK(S42),"", S42*S37)</f>
        <v/>
      </c>
      <c r="U42" s="198">
        <v>159</v>
      </c>
      <c r="V42" s="197">
        <f>IF(ISBLANK(U42),"", U42*U37)</f>
        <v>1631658</v>
      </c>
      <c r="W42" s="194">
        <f t="shared" si="18"/>
        <v>1631658</v>
      </c>
      <c r="X42" s="198"/>
      <c r="Y42" s="197" t="str">
        <f>IF(ISBLANK(X42),"", X42*X37)</f>
        <v/>
      </c>
      <c r="Z42" s="198"/>
      <c r="AA42" s="197" t="str">
        <f>IF(ISBLANK(Z42),"", Z42*Z37)</f>
        <v/>
      </c>
      <c r="AB42" s="198"/>
      <c r="AC42" s="197" t="str">
        <f>IF(ISBLANK(AB42),"", AB42*AB37)</f>
        <v/>
      </c>
      <c r="AD42" s="198"/>
      <c r="AE42" s="197" t="str">
        <f>IF(ISBLANK(AD42),"", AD42*AD37)</f>
        <v/>
      </c>
      <c r="AF42" s="198"/>
      <c r="AG42" s="197" t="str">
        <f>IF(ISBLANK(AF42),"", AF42*AF37)</f>
        <v/>
      </c>
      <c r="AH42" s="193"/>
      <c r="AI42" s="197" t="str">
        <f>IF(ISBLANK(AH42),"", AH42*AH37)</f>
        <v/>
      </c>
      <c r="AJ42" s="193">
        <v>206</v>
      </c>
      <c r="AK42" s="197">
        <f>IF(ISBLANK(AJ42),"", AJ42*AJ37)</f>
        <v>4227944</v>
      </c>
      <c r="AL42" s="193">
        <v>4</v>
      </c>
      <c r="AM42" s="197">
        <f>IF(ISBLANK(AL42),"", AL42*AL37)</f>
        <v>41048</v>
      </c>
      <c r="AN42" s="193">
        <v>5</v>
      </c>
      <c r="AO42" s="197">
        <f>IF(ISBLANK(AN42),"", AN42*AN37)</f>
        <v>25655</v>
      </c>
      <c r="AP42" s="194">
        <f t="shared" si="19"/>
        <v>4294647</v>
      </c>
      <c r="AQ42" s="193"/>
      <c r="AR42" s="197" t="str">
        <f>IF(ISBLANK(AQ42),"", AQ42*AQ37)</f>
        <v/>
      </c>
      <c r="AS42" s="198"/>
      <c r="AT42" s="197" t="str">
        <f>IF(ISBLANK(AS42),"", AS42*AS37)</f>
        <v/>
      </c>
      <c r="AU42" s="198"/>
      <c r="AV42" s="197" t="str">
        <f>IF(ISBLANK(AU42),"", AU42*AU37)</f>
        <v/>
      </c>
      <c r="AW42" s="198"/>
      <c r="AX42" s="197" t="str">
        <f>IF(ISBLANK(AW42),"", AW42*AW37)</f>
        <v/>
      </c>
      <c r="AY42" s="193"/>
      <c r="AZ42" s="197" t="str">
        <f>IF(ISBLANK(AY42),"", AY42*AY37)</f>
        <v/>
      </c>
      <c r="BA42" s="193"/>
      <c r="BB42" s="197" t="str">
        <f>IF(ISBLANK(BA42),"", BA42*BA37)</f>
        <v/>
      </c>
      <c r="BC42" s="194">
        <f t="shared" si="20"/>
        <v>0</v>
      </c>
      <c r="BD42" s="198"/>
      <c r="BE42" s="197" t="str">
        <f>IF(ISBLANK(BD42),"", BD42*BD37)</f>
        <v/>
      </c>
      <c r="BF42" s="198">
        <v>393</v>
      </c>
      <c r="BG42" s="197">
        <f>IF(ISBLANK(BF42),"", BF42*BF37)</f>
        <v>8065932</v>
      </c>
      <c r="BH42" s="194">
        <f t="shared" si="21"/>
        <v>8065932</v>
      </c>
      <c r="BI42" s="195">
        <f t="shared" si="22"/>
        <v>16717628</v>
      </c>
      <c r="BJ42" s="196">
        <f>BI42/BI57</f>
        <v>0.1940326742370187</v>
      </c>
    </row>
    <row r="43" spans="1:62" x14ac:dyDescent="0.25">
      <c r="A43" s="120" t="s">
        <v>58</v>
      </c>
      <c r="B43" s="193"/>
      <c r="C43" s="197" t="str">
        <f>IF(ISBLANK(B43),"", B43*B37)</f>
        <v/>
      </c>
      <c r="D43" s="193"/>
      <c r="E43" s="197" t="str">
        <f>IF(ISBLANK(D43),"", D43*D37)</f>
        <v/>
      </c>
      <c r="F43" s="198"/>
      <c r="G43" s="197" t="str">
        <f>IF(ISBLANK(F43),"", F43*F37)</f>
        <v/>
      </c>
      <c r="H43" s="198">
        <v>1</v>
      </c>
      <c r="I43" s="197">
        <f>IF(ISBLANK(H43),"", H43*H37)</f>
        <v>8209</v>
      </c>
      <c r="J43" s="198">
        <v>14</v>
      </c>
      <c r="K43" s="197">
        <f>IF(ISBLANK(J43),"", J43*J37)</f>
        <v>57470</v>
      </c>
      <c r="L43" s="193">
        <v>0</v>
      </c>
      <c r="M43" s="197">
        <f>IF(ISBLANK(L43),"", L43*L37)</f>
        <v>0</v>
      </c>
      <c r="N43" s="194">
        <f t="shared" si="17"/>
        <v>65679</v>
      </c>
      <c r="O43" s="193">
        <v>0</v>
      </c>
      <c r="P43" s="197">
        <f>IF(ISBLANK(O43),"", O43*O37)</f>
        <v>0</v>
      </c>
      <c r="Q43" s="198">
        <v>0</v>
      </c>
      <c r="R43" s="197">
        <f>IF(ISBLANK(Q43),"", Q43*Q37)</f>
        <v>0</v>
      </c>
      <c r="S43" s="198"/>
      <c r="T43" s="197" t="str">
        <f>IF(ISBLANK(S43),"", S43*S37)</f>
        <v/>
      </c>
      <c r="U43" s="198">
        <v>23</v>
      </c>
      <c r="V43" s="197">
        <f>IF(ISBLANK(U43),"", U43*U37)</f>
        <v>236026</v>
      </c>
      <c r="W43" s="194">
        <f t="shared" si="18"/>
        <v>236026</v>
      </c>
      <c r="X43" s="198"/>
      <c r="Y43" s="197" t="str">
        <f>IF(ISBLANK(X43),"", X43*X37)</f>
        <v/>
      </c>
      <c r="Z43" s="198"/>
      <c r="AA43" s="197" t="str">
        <f>IF(ISBLANK(Z43),"", Z43*Z37)</f>
        <v/>
      </c>
      <c r="AB43" s="198"/>
      <c r="AC43" s="197" t="str">
        <f>IF(ISBLANK(AB43),"", AB43*AB37)</f>
        <v/>
      </c>
      <c r="AD43" s="198">
        <v>0</v>
      </c>
      <c r="AE43" s="197">
        <f>IF(ISBLANK(AD43),"", AD43*AD37)</f>
        <v>0</v>
      </c>
      <c r="AF43" s="198">
        <v>0</v>
      </c>
      <c r="AG43" s="197">
        <f>IF(ISBLANK(AF43),"", AF43*AF37)</f>
        <v>0</v>
      </c>
      <c r="AH43" s="193"/>
      <c r="AI43" s="197" t="str">
        <f>IF(ISBLANK(AH43),"", AH43*AH37)</f>
        <v/>
      </c>
      <c r="AJ43" s="193"/>
      <c r="AK43" s="197" t="str">
        <f>IF(ISBLANK(AJ43),"", AJ43*AJ37)</f>
        <v/>
      </c>
      <c r="AL43" s="193"/>
      <c r="AM43" s="197" t="str">
        <f>IF(ISBLANK(AL43),"", AL43*AL37)</f>
        <v/>
      </c>
      <c r="AN43" s="193"/>
      <c r="AO43" s="197" t="str">
        <f>IF(ISBLANK(AN43),"", AN43*AN37)</f>
        <v/>
      </c>
      <c r="AP43" s="194">
        <f t="shared" si="19"/>
        <v>0</v>
      </c>
      <c r="AQ43" s="193"/>
      <c r="AR43" s="197" t="str">
        <f>IF(ISBLANK(AQ43),"", AQ43*AQ37)</f>
        <v/>
      </c>
      <c r="AS43" s="198"/>
      <c r="AT43" s="197" t="str">
        <f>IF(ISBLANK(AS43),"", AS43*AS37)</f>
        <v/>
      </c>
      <c r="AU43" s="198">
        <v>25</v>
      </c>
      <c r="AV43" s="197">
        <f>IF(ISBLANK(AU43),"", AU43*AU37)</f>
        <v>10250</v>
      </c>
      <c r="AW43" s="198"/>
      <c r="AX43" s="197" t="str">
        <f>IF(ISBLANK(AW43),"", AW43*AW37)</f>
        <v/>
      </c>
      <c r="AY43" s="193">
        <v>76</v>
      </c>
      <c r="AZ43" s="197">
        <f>IF(ISBLANK(AY43),"", AY43*AY37)</f>
        <v>62396</v>
      </c>
      <c r="BA43" s="193">
        <v>65</v>
      </c>
      <c r="BB43" s="197">
        <f>IF(ISBLANK(BA43),"", BA43*BA37)</f>
        <v>106730</v>
      </c>
      <c r="BC43" s="194">
        <f t="shared" si="20"/>
        <v>179376</v>
      </c>
      <c r="BD43" s="198"/>
      <c r="BE43" s="197" t="str">
        <f>IF(ISBLANK(BD43),"", BD43*BD37)</f>
        <v/>
      </c>
      <c r="BF43" s="198">
        <v>58</v>
      </c>
      <c r="BG43" s="197">
        <f>IF(ISBLANK(BF43),"", BF43*BF37)</f>
        <v>1190392</v>
      </c>
      <c r="BH43" s="194">
        <f t="shared" si="21"/>
        <v>1190392</v>
      </c>
      <c r="BI43" s="195">
        <f t="shared" si="22"/>
        <v>1671473</v>
      </c>
      <c r="BJ43" s="196">
        <f>BI43/BI57</f>
        <v>1.9399903868238505E-2</v>
      </c>
    </row>
    <row r="44" spans="1:62" ht="15.75" customHeight="1" thickBot="1" x14ac:dyDescent="0.3">
      <c r="A44" s="120" t="s">
        <v>59</v>
      </c>
      <c r="B44" s="193"/>
      <c r="C44" s="197" t="str">
        <f>IF(ISBLANK(B44),"", B44*B37)</f>
        <v/>
      </c>
      <c r="D44" s="193"/>
      <c r="E44" s="197" t="str">
        <f>IF(ISBLANK(D44),"", D44*D37)</f>
        <v/>
      </c>
      <c r="F44" s="198"/>
      <c r="G44" s="197" t="str">
        <f>IF(ISBLANK(F44),"", F44*F37)</f>
        <v/>
      </c>
      <c r="H44" s="198">
        <v>5</v>
      </c>
      <c r="I44" s="197">
        <f>IF(ISBLANK(H44),"", H44*H37)</f>
        <v>41045</v>
      </c>
      <c r="J44" s="198">
        <v>0</v>
      </c>
      <c r="K44" s="197">
        <f>IF(ISBLANK(J44),"", J44*J37)</f>
        <v>0</v>
      </c>
      <c r="L44" s="193">
        <v>0</v>
      </c>
      <c r="M44" s="197">
        <f>IF(ISBLANK(L44),"", L44*L37)</f>
        <v>0</v>
      </c>
      <c r="N44" s="194">
        <f t="shared" si="17"/>
        <v>41045</v>
      </c>
      <c r="O44" s="193">
        <v>0</v>
      </c>
      <c r="P44" s="197">
        <f>IF(ISBLANK(O44),"", O44*O37)</f>
        <v>0</v>
      </c>
      <c r="Q44" s="198">
        <v>0</v>
      </c>
      <c r="R44" s="197">
        <f>IF(ISBLANK(Q44),"", Q44*Q37)</f>
        <v>0</v>
      </c>
      <c r="S44" s="198"/>
      <c r="T44" s="197" t="str">
        <f>IF(ISBLANK(S44),"", S44*S37)</f>
        <v/>
      </c>
      <c r="U44" s="198">
        <v>19</v>
      </c>
      <c r="V44" s="197">
        <f>IF(ISBLANK(U44),"", U44*U37)</f>
        <v>194978</v>
      </c>
      <c r="W44" s="194">
        <f t="shared" si="18"/>
        <v>194978</v>
      </c>
      <c r="X44" s="198"/>
      <c r="Y44" s="197" t="str">
        <f>IF(ISBLANK(X44),"", X44*X37)</f>
        <v/>
      </c>
      <c r="Z44" s="198"/>
      <c r="AA44" s="197" t="str">
        <f>IF(ISBLANK(Z44),"", Z44*Z37)</f>
        <v/>
      </c>
      <c r="AB44" s="198"/>
      <c r="AC44" s="197" t="str">
        <f>IF(ISBLANK(AB44),"", AB44*AB37)</f>
        <v/>
      </c>
      <c r="AD44" s="198">
        <v>1</v>
      </c>
      <c r="AE44" s="197">
        <f>IF(ISBLANK(AD44),"", AD44*AD37)</f>
        <v>8209</v>
      </c>
      <c r="AF44" s="198"/>
      <c r="AG44" s="197" t="str">
        <f>IF(ISBLANK(AF44),"", AF44*AF37)</f>
        <v/>
      </c>
      <c r="AH44" s="193"/>
      <c r="AI44" s="197" t="str">
        <f>IF(ISBLANK(AH44),"", AH44*AH37)</f>
        <v/>
      </c>
      <c r="AJ44" s="193"/>
      <c r="AK44" s="197" t="str">
        <f>IF(ISBLANK(AJ44),"", AJ44*AJ37)</f>
        <v/>
      </c>
      <c r="AL44" s="193"/>
      <c r="AM44" s="197" t="str">
        <f>IF(ISBLANK(AL44),"", AL44*AL37)</f>
        <v/>
      </c>
      <c r="AN44" s="193"/>
      <c r="AO44" s="197" t="str">
        <f>IF(ISBLANK(AN44),"", AN44*AN37)</f>
        <v/>
      </c>
      <c r="AP44" s="194">
        <f t="shared" si="19"/>
        <v>8209</v>
      </c>
      <c r="AQ44" s="193"/>
      <c r="AR44" s="197" t="str">
        <f>IF(ISBLANK(AQ44),"", AQ44*AQ37)</f>
        <v/>
      </c>
      <c r="AS44" s="198"/>
      <c r="AT44" s="197" t="str">
        <f>IF(ISBLANK(AS44),"", AS44*AS37)</f>
        <v/>
      </c>
      <c r="AU44" s="198">
        <v>0</v>
      </c>
      <c r="AV44" s="197">
        <f>IF(ISBLANK(AU44),"", AU44*AU37)</f>
        <v>0</v>
      </c>
      <c r="AW44" s="198"/>
      <c r="AX44" s="197" t="str">
        <f>IF(ISBLANK(AW44),"", AW44*AW37)</f>
        <v/>
      </c>
      <c r="AY44" s="193">
        <v>68</v>
      </c>
      <c r="AZ44" s="197">
        <f>IF(ISBLANK(AY44),"", AY44*AY37)</f>
        <v>55828</v>
      </c>
      <c r="BA44" s="193">
        <v>61</v>
      </c>
      <c r="BB44" s="197">
        <f>IF(ISBLANK(BA44),"", BA44*BA37)</f>
        <v>100162</v>
      </c>
      <c r="BC44" s="194">
        <f t="shared" si="20"/>
        <v>155990</v>
      </c>
      <c r="BD44" s="198"/>
      <c r="BE44" s="197" t="str">
        <f>IF(ISBLANK(BD44),"", BD44*BD37)</f>
        <v/>
      </c>
      <c r="BF44" s="198">
        <v>47</v>
      </c>
      <c r="BG44" s="197">
        <f>IF(ISBLANK(BF44),"", BF44*BF37)</f>
        <v>964628</v>
      </c>
      <c r="BH44" s="194">
        <f t="shared" si="21"/>
        <v>964628</v>
      </c>
      <c r="BI44" s="199">
        <f t="shared" si="22"/>
        <v>1364850</v>
      </c>
      <c r="BJ44" s="200">
        <f>BI44/BI57</f>
        <v>1.5841092733514285E-2</v>
      </c>
    </row>
    <row r="45" spans="1:62" ht="15.75" customHeight="1" thickTop="1" x14ac:dyDescent="0.25">
      <c r="A45" s="201" t="s">
        <v>131</v>
      </c>
      <c r="B45" s="202" t="str">
        <f t="shared" ref="B45:M45" si="23">IF(COUNT(B38:B44) = 0, "", SUM(B38:B44))</f>
        <v/>
      </c>
      <c r="C45" s="203" t="str">
        <f t="shared" si="23"/>
        <v/>
      </c>
      <c r="D45" s="202" t="str">
        <f t="shared" si="23"/>
        <v/>
      </c>
      <c r="E45" s="203" t="str">
        <f t="shared" si="23"/>
        <v/>
      </c>
      <c r="F45" s="204" t="str">
        <f t="shared" si="23"/>
        <v/>
      </c>
      <c r="G45" s="203" t="str">
        <f t="shared" si="23"/>
        <v/>
      </c>
      <c r="H45" s="204">
        <f t="shared" si="23"/>
        <v>486</v>
      </c>
      <c r="I45" s="203">
        <f t="shared" si="23"/>
        <v>3989574</v>
      </c>
      <c r="J45" s="204">
        <f t="shared" si="23"/>
        <v>72</v>
      </c>
      <c r="K45" s="203">
        <f t="shared" si="23"/>
        <v>295560</v>
      </c>
      <c r="L45" s="202">
        <f t="shared" si="23"/>
        <v>0</v>
      </c>
      <c r="M45" s="203">
        <f t="shared" si="23"/>
        <v>0</v>
      </c>
      <c r="N45" s="205">
        <f>SUM(N38:N44)</f>
        <v>4285134</v>
      </c>
      <c r="O45" s="202">
        <f t="shared" ref="O45:V45" si="24">IF(COUNT(O38:O44) = 0, "", SUM(O38:O44))</f>
        <v>0</v>
      </c>
      <c r="P45" s="203">
        <f t="shared" si="24"/>
        <v>0</v>
      </c>
      <c r="Q45" s="204">
        <f t="shared" si="24"/>
        <v>0</v>
      </c>
      <c r="R45" s="203">
        <f t="shared" si="24"/>
        <v>0</v>
      </c>
      <c r="S45" s="204" t="str">
        <f t="shared" si="24"/>
        <v/>
      </c>
      <c r="T45" s="203" t="str">
        <f t="shared" si="24"/>
        <v/>
      </c>
      <c r="U45" s="204">
        <f t="shared" si="24"/>
        <v>338</v>
      </c>
      <c r="V45" s="203">
        <f t="shared" si="24"/>
        <v>3468556</v>
      </c>
      <c r="W45" s="205">
        <f>SUM(W38:W44)</f>
        <v>3468556</v>
      </c>
      <c r="X45" s="204" t="str">
        <f t="shared" ref="X45:AO45" si="25">IF(COUNT(X38:X44) = 0, "", SUM(X38:X44))</f>
        <v/>
      </c>
      <c r="Y45" s="203" t="str">
        <f t="shared" si="25"/>
        <v/>
      </c>
      <c r="Z45" s="204" t="str">
        <f t="shared" si="25"/>
        <v/>
      </c>
      <c r="AA45" s="203" t="str">
        <f t="shared" si="25"/>
        <v/>
      </c>
      <c r="AB45" s="204" t="str">
        <f t="shared" si="25"/>
        <v/>
      </c>
      <c r="AC45" s="203" t="str">
        <f t="shared" si="25"/>
        <v/>
      </c>
      <c r="AD45" s="204">
        <f t="shared" si="25"/>
        <v>7</v>
      </c>
      <c r="AE45" s="203">
        <f t="shared" si="25"/>
        <v>57463</v>
      </c>
      <c r="AF45" s="204">
        <f t="shared" si="25"/>
        <v>0</v>
      </c>
      <c r="AG45" s="203">
        <f t="shared" si="25"/>
        <v>0</v>
      </c>
      <c r="AH45" s="202" t="str">
        <f t="shared" si="25"/>
        <v/>
      </c>
      <c r="AI45" s="203" t="str">
        <f t="shared" si="25"/>
        <v/>
      </c>
      <c r="AJ45" s="202">
        <f t="shared" si="25"/>
        <v>214</v>
      </c>
      <c r="AK45" s="203">
        <f t="shared" si="25"/>
        <v>4392136</v>
      </c>
      <c r="AL45" s="202">
        <f t="shared" si="25"/>
        <v>8</v>
      </c>
      <c r="AM45" s="203">
        <f t="shared" si="25"/>
        <v>82096</v>
      </c>
      <c r="AN45" s="202">
        <f t="shared" si="25"/>
        <v>5</v>
      </c>
      <c r="AO45" s="203">
        <f t="shared" si="25"/>
        <v>25655</v>
      </c>
      <c r="AP45" s="205">
        <f>SUM(AP38:AP44)</f>
        <v>4557350</v>
      </c>
      <c r="AQ45" s="202" t="str">
        <f t="shared" ref="AQ45:BB45" si="26">IF(COUNT(AQ38:AQ44) = 0, "", SUM(AQ38:AQ44))</f>
        <v/>
      </c>
      <c r="AR45" s="203" t="str">
        <f t="shared" si="26"/>
        <v/>
      </c>
      <c r="AS45" s="204" t="str">
        <f t="shared" si="26"/>
        <v/>
      </c>
      <c r="AT45" s="203" t="str">
        <f t="shared" si="26"/>
        <v/>
      </c>
      <c r="AU45" s="204">
        <f t="shared" si="26"/>
        <v>90</v>
      </c>
      <c r="AV45" s="203">
        <f t="shared" si="26"/>
        <v>36900</v>
      </c>
      <c r="AW45" s="204" t="str">
        <f t="shared" si="26"/>
        <v/>
      </c>
      <c r="AX45" s="203" t="str">
        <f t="shared" si="26"/>
        <v/>
      </c>
      <c r="AY45" s="202">
        <f t="shared" si="26"/>
        <v>249</v>
      </c>
      <c r="AZ45" s="203">
        <f t="shared" si="26"/>
        <v>204429</v>
      </c>
      <c r="BA45" s="202">
        <f t="shared" si="26"/>
        <v>249</v>
      </c>
      <c r="BB45" s="203">
        <f t="shared" si="26"/>
        <v>408858</v>
      </c>
      <c r="BC45" s="205">
        <f>SUM(BC38:BC44)</f>
        <v>650187</v>
      </c>
      <c r="BD45" s="204" t="str">
        <f>IF(COUNT(BD38:BD44) = 0, "", SUM(BD38:BD44))</f>
        <v/>
      </c>
      <c r="BE45" s="203" t="str">
        <f>IF(COUNT(BE38:BE44) = 0, "", SUM(BE38:BE44))</f>
        <v/>
      </c>
      <c r="BF45" s="204">
        <f>IF(COUNT(BF38:BF44) = 0, "", SUM(BF38:BF44))</f>
        <v>880</v>
      </c>
      <c r="BG45" s="203">
        <f>IF(COUNT(BG38:BG44) = 0, "", SUM(BG38:BG44))</f>
        <v>18061120</v>
      </c>
      <c r="BH45" s="205">
        <f>SUM(BH38:BH44)</f>
        <v>18061120</v>
      </c>
      <c r="BI45" s="206">
        <f t="shared" si="22"/>
        <v>31022347</v>
      </c>
      <c r="BJ45" s="207">
        <f>BI45/BI57</f>
        <v>0.36005998874474027</v>
      </c>
    </row>
    <row r="46" spans="1:62" x14ac:dyDescent="0.25">
      <c r="A46" s="208"/>
      <c r="B46" s="209"/>
      <c r="C46" s="210"/>
      <c r="D46" s="211">
        <v>0</v>
      </c>
      <c r="E46" s="211"/>
      <c r="F46" s="212"/>
      <c r="G46" s="210"/>
      <c r="H46" s="212"/>
      <c r="I46" s="210"/>
      <c r="J46" s="212"/>
      <c r="K46" s="210"/>
      <c r="L46" s="209"/>
      <c r="M46" s="210"/>
      <c r="N46" s="213"/>
      <c r="O46" s="209"/>
      <c r="P46" s="210"/>
      <c r="Q46" s="211"/>
      <c r="R46" s="211"/>
      <c r="S46" s="212"/>
      <c r="T46" s="210"/>
      <c r="U46" s="212"/>
      <c r="V46" s="210"/>
      <c r="W46" s="213"/>
      <c r="X46" s="212"/>
      <c r="Y46" s="210"/>
      <c r="Z46" s="212"/>
      <c r="AA46" s="210"/>
      <c r="AB46" s="212"/>
      <c r="AC46" s="210"/>
      <c r="AD46" s="212"/>
      <c r="AE46" s="210"/>
      <c r="AF46" s="212"/>
      <c r="AG46" s="210"/>
      <c r="AH46" s="209"/>
      <c r="AI46" s="210"/>
      <c r="AJ46" s="209"/>
      <c r="AK46" s="210"/>
      <c r="AL46" s="209"/>
      <c r="AM46" s="210"/>
      <c r="AN46" s="209"/>
      <c r="AO46" s="210"/>
      <c r="AP46" s="213"/>
      <c r="AQ46" s="209"/>
      <c r="AR46" s="210"/>
      <c r="AS46" s="212"/>
      <c r="AT46" s="210"/>
      <c r="AU46" s="212"/>
      <c r="AV46" s="210"/>
      <c r="AW46" s="212"/>
      <c r="AX46" s="210"/>
      <c r="AY46" s="209"/>
      <c r="AZ46" s="210"/>
      <c r="BA46" s="209"/>
      <c r="BB46" s="210"/>
      <c r="BC46" s="213"/>
      <c r="BD46" s="212"/>
      <c r="BE46" s="210"/>
      <c r="BF46" s="212"/>
      <c r="BG46" s="210"/>
      <c r="BH46" s="213"/>
      <c r="BI46" s="214"/>
      <c r="BJ46" s="215"/>
    </row>
    <row r="47" spans="1:62" x14ac:dyDescent="0.25">
      <c r="A47" s="120" t="s">
        <v>65</v>
      </c>
      <c r="B47" s="193"/>
      <c r="C47" s="197" t="str">
        <f>IF(ISBLANK(B47),"", B47*B37)</f>
        <v/>
      </c>
      <c r="D47" s="193"/>
      <c r="E47" s="197" t="str">
        <f>IF(ISBLANK(D47),"", D47*D37)</f>
        <v/>
      </c>
      <c r="F47" s="198"/>
      <c r="G47" s="197" t="str">
        <f>IF(ISBLANK(F47),"", F47*F37)</f>
        <v/>
      </c>
      <c r="H47" s="198">
        <v>0</v>
      </c>
      <c r="I47" s="197">
        <f>IF(ISBLANK(H47),"", H47*H37)</f>
        <v>0</v>
      </c>
      <c r="J47" s="198">
        <v>77</v>
      </c>
      <c r="K47" s="197">
        <f>IF(ISBLANK(J47),"", J47*J37)</f>
        <v>316085</v>
      </c>
      <c r="L47" s="193">
        <v>0</v>
      </c>
      <c r="M47" s="197">
        <f>IF(ISBLANK(L47),"", L47*L37)</f>
        <v>0</v>
      </c>
      <c r="N47" s="194">
        <f>SUM(C47,E47,G47,I47,K47,M47)</f>
        <v>316085</v>
      </c>
      <c r="O47" s="193">
        <v>0</v>
      </c>
      <c r="P47" s="197">
        <f>IF(ISBLANK(O47),"", O47*O37)</f>
        <v>0</v>
      </c>
      <c r="Q47" s="198">
        <v>0</v>
      </c>
      <c r="R47" s="197">
        <f>IF(ISBLANK(Q47),"", Q47*Q37)</f>
        <v>0</v>
      </c>
      <c r="S47" s="198"/>
      <c r="T47" s="197" t="str">
        <f>IF(ISBLANK(S47),"", S47*S37)</f>
        <v/>
      </c>
      <c r="U47" s="198">
        <v>95</v>
      </c>
      <c r="V47" s="197">
        <f>IF(ISBLANK(U47),"", U47*U37)</f>
        <v>974890</v>
      </c>
      <c r="W47" s="194">
        <f>SUM(P47,R47,T47,V47)</f>
        <v>974890</v>
      </c>
      <c r="X47" s="198"/>
      <c r="Y47" s="197" t="str">
        <f>IF(ISBLANK(X47),"", X47*X37)</f>
        <v/>
      </c>
      <c r="Z47" s="198"/>
      <c r="AA47" s="197" t="str">
        <f>IF(ISBLANK(Z47),"", Z47*Z37)</f>
        <v/>
      </c>
      <c r="AB47" s="198"/>
      <c r="AC47" s="197" t="str">
        <f>IF(ISBLANK(AB47),"", AB47*AB37)</f>
        <v/>
      </c>
      <c r="AD47" s="198"/>
      <c r="AE47" s="197" t="str">
        <f>IF(ISBLANK(AD47),"", AD47*AD37)</f>
        <v/>
      </c>
      <c r="AF47" s="198"/>
      <c r="AG47" s="197" t="str">
        <f>IF(ISBLANK(AF47),"", AF47*AF37)</f>
        <v/>
      </c>
      <c r="AH47" s="193"/>
      <c r="AI47" s="197" t="str">
        <f>IF(ISBLANK(AH47),"", AH47*AH37)</f>
        <v/>
      </c>
      <c r="AJ47" s="193">
        <v>105</v>
      </c>
      <c r="AK47" s="197">
        <f>IF(ISBLANK(AJ47),"", AJ47*AJ37)</f>
        <v>2155020</v>
      </c>
      <c r="AL47" s="193">
        <v>17</v>
      </c>
      <c r="AM47" s="197">
        <f>IF(ISBLANK(AL47),"", AL47*AL37)</f>
        <v>174454</v>
      </c>
      <c r="AN47" s="193">
        <v>0</v>
      </c>
      <c r="AO47" s="197">
        <f>IF(ISBLANK(AN47),"", AN47*AN37)</f>
        <v>0</v>
      </c>
      <c r="AP47" s="194">
        <f>SUM(AO47,AM47,AK47,AI47,AG47,AE47,AC47,AA47,Y47)</f>
        <v>2329474</v>
      </c>
      <c r="AQ47" s="193"/>
      <c r="AR47" s="197" t="str">
        <f>IF(ISBLANK(AQ47),"", AQ47*AQ37)</f>
        <v/>
      </c>
      <c r="AS47" s="198"/>
      <c r="AT47" s="197" t="str">
        <f>IF(ISBLANK(AS47),"", AS47*AS37)</f>
        <v/>
      </c>
      <c r="AU47" s="198"/>
      <c r="AV47" s="197" t="str">
        <f>IF(ISBLANK(AU47),"", AU47*AU37)</f>
        <v/>
      </c>
      <c r="AW47" s="198"/>
      <c r="AX47" s="197" t="str">
        <f>IF(ISBLANK(AW47),"", AW47*AW37)</f>
        <v/>
      </c>
      <c r="AY47" s="193"/>
      <c r="AZ47" s="197" t="str">
        <f>IF(ISBLANK(AY47),"", AY47*AY37)</f>
        <v/>
      </c>
      <c r="BA47" s="193"/>
      <c r="BB47" s="197" t="str">
        <f>IF(ISBLANK(BA47),"", BA47*BA37)</f>
        <v/>
      </c>
      <c r="BC47" s="194">
        <f>SUM(AR47,AT47,AV47,AX47,AZ47,BB47)</f>
        <v>0</v>
      </c>
      <c r="BD47" s="198"/>
      <c r="BE47" s="197" t="str">
        <f>IF(ISBLANK(BD47),"", BD47*BD37)</f>
        <v/>
      </c>
      <c r="BF47" s="198">
        <v>330</v>
      </c>
      <c r="BG47" s="197">
        <f>IF(ISBLANK(BF47),"", BF47*BF37)</f>
        <v>6772920</v>
      </c>
      <c r="BH47" s="194">
        <f>SUM(BE47,BG47)</f>
        <v>6772920</v>
      </c>
      <c r="BI47" s="195">
        <f>SUM(N47,W47,AP47,BC47,BH47)</f>
        <v>10393369</v>
      </c>
      <c r="BJ47" s="196">
        <f>BI47/BI57</f>
        <v>0.120630341900306</v>
      </c>
    </row>
    <row r="48" spans="1:62" x14ac:dyDescent="0.25">
      <c r="A48" s="120" t="s">
        <v>66</v>
      </c>
      <c r="B48" s="193"/>
      <c r="C48" s="197" t="str">
        <f>IF(ISBLANK(B48),"", B48*B37)</f>
        <v/>
      </c>
      <c r="D48" s="193"/>
      <c r="E48" s="197" t="str">
        <f>IF(ISBLANK(D48),"", D48*D37)</f>
        <v/>
      </c>
      <c r="F48" s="198"/>
      <c r="G48" s="197" t="str">
        <f>IF(ISBLANK(F48),"", F48*F37)</f>
        <v/>
      </c>
      <c r="H48" s="198">
        <v>0</v>
      </c>
      <c r="I48" s="197">
        <f>IF(ISBLANK(H48),"", H48*H37)</f>
        <v>0</v>
      </c>
      <c r="J48" s="198">
        <v>0</v>
      </c>
      <c r="K48" s="197">
        <f>IF(ISBLANK(J48),"", J48*J37)</f>
        <v>0</v>
      </c>
      <c r="L48" s="193">
        <v>1</v>
      </c>
      <c r="M48" s="197">
        <f>IF(ISBLANK(L48),"", L48*L37)</f>
        <v>2052</v>
      </c>
      <c r="N48" s="194">
        <f>SUM(C48,E48,G48,I48,K48,M48)</f>
        <v>2052</v>
      </c>
      <c r="O48" s="193">
        <v>0</v>
      </c>
      <c r="P48" s="197">
        <f>IF(ISBLANK(O48),"", O48*O37)</f>
        <v>0</v>
      </c>
      <c r="Q48" s="198">
        <v>0</v>
      </c>
      <c r="R48" s="197">
        <f>IF(ISBLANK(Q48),"", Q48*Q37)</f>
        <v>0</v>
      </c>
      <c r="S48" s="198"/>
      <c r="T48" s="197" t="str">
        <f>IF(ISBLANK(S48),"", S48*S37)</f>
        <v/>
      </c>
      <c r="U48" s="198">
        <v>57</v>
      </c>
      <c r="V48" s="197">
        <f>IF(ISBLANK(U48),"", U48*U37)</f>
        <v>584934</v>
      </c>
      <c r="W48" s="194">
        <f>SUM(P48,R48,T48,V48)</f>
        <v>584934</v>
      </c>
      <c r="X48" s="198"/>
      <c r="Y48" s="197" t="str">
        <f>IF(ISBLANK(X48),"", X48*X37)</f>
        <v/>
      </c>
      <c r="Z48" s="198"/>
      <c r="AA48" s="197" t="str">
        <f>IF(ISBLANK(Z48),"", Z48*Z37)</f>
        <v/>
      </c>
      <c r="AB48" s="198"/>
      <c r="AC48" s="197" t="str">
        <f>IF(ISBLANK(AB48),"", AB48*AB37)</f>
        <v/>
      </c>
      <c r="AD48" s="198">
        <v>38</v>
      </c>
      <c r="AE48" s="197">
        <f>IF(ISBLANK(AD48),"", AD48*AD37)</f>
        <v>311942</v>
      </c>
      <c r="AF48" s="198">
        <v>0</v>
      </c>
      <c r="AG48" s="197">
        <f>IF(ISBLANK(AF48),"", AF48*AF37)</f>
        <v>0</v>
      </c>
      <c r="AH48" s="193"/>
      <c r="AI48" s="197" t="str">
        <f>IF(ISBLANK(AH48),"", AH48*AH37)</f>
        <v/>
      </c>
      <c r="AJ48" s="193"/>
      <c r="AK48" s="197" t="str">
        <f>IF(ISBLANK(AJ48),"", AJ48*AJ37)</f>
        <v/>
      </c>
      <c r="AL48" s="193"/>
      <c r="AM48" s="197" t="str">
        <f>IF(ISBLANK(AL48),"", AL48*AL37)</f>
        <v/>
      </c>
      <c r="AN48" s="193"/>
      <c r="AO48" s="197" t="str">
        <f>IF(ISBLANK(AN48),"", AN48*AN37)</f>
        <v/>
      </c>
      <c r="AP48" s="194">
        <f>SUM(AO48,AM48,AK48,AI48,AG48,AE48,AC48,AA48,Y48)</f>
        <v>311942</v>
      </c>
      <c r="AQ48" s="193"/>
      <c r="AR48" s="197" t="str">
        <f>IF(ISBLANK(AQ48),"", AQ48*AQ37)</f>
        <v/>
      </c>
      <c r="AS48" s="198"/>
      <c r="AT48" s="197" t="str">
        <f>IF(ISBLANK(AS48),"", AS48*AS37)</f>
        <v/>
      </c>
      <c r="AU48" s="198">
        <v>86</v>
      </c>
      <c r="AV48" s="197">
        <f>IF(ISBLANK(AU48),"", AU48*AU37)</f>
        <v>35260</v>
      </c>
      <c r="AW48" s="198"/>
      <c r="AX48" s="197" t="str">
        <f>IF(ISBLANK(AW48),"", AW48*AW37)</f>
        <v/>
      </c>
      <c r="AY48" s="193">
        <v>109</v>
      </c>
      <c r="AZ48" s="197">
        <f>IF(ISBLANK(AY48),"", AY48*AY37)</f>
        <v>89489</v>
      </c>
      <c r="BA48" s="193">
        <v>144</v>
      </c>
      <c r="BB48" s="197">
        <f>IF(ISBLANK(BA48),"", BA48*BA37)</f>
        <v>236448</v>
      </c>
      <c r="BC48" s="194">
        <f>SUM(AR48,AT48,AV48,AX48,AZ48,BB48)</f>
        <v>361197</v>
      </c>
      <c r="BD48" s="198"/>
      <c r="BE48" s="197" t="str">
        <f>IF(ISBLANK(BD48),"", BD48*BD37)</f>
        <v/>
      </c>
      <c r="BF48" s="198">
        <v>132</v>
      </c>
      <c r="BG48" s="197">
        <f>IF(ISBLANK(BF48),"", BF48*BF37)</f>
        <v>2709168</v>
      </c>
      <c r="BH48" s="194">
        <f>SUM(BE48,BG48)</f>
        <v>2709168</v>
      </c>
      <c r="BI48" s="195">
        <f>SUM(N48,W48,AP48,BC48,BH48)</f>
        <v>3969293</v>
      </c>
      <c r="BJ48" s="196">
        <f>BI48/BI57</f>
        <v>4.606948639007153E-2</v>
      </c>
    </row>
    <row r="49" spans="1:62" ht="15.75" customHeight="1" thickBot="1" x14ac:dyDescent="0.3">
      <c r="A49" s="120" t="s">
        <v>68</v>
      </c>
      <c r="B49" s="193"/>
      <c r="C49" s="197" t="str">
        <f>IF(ISBLANK(B49),"", B49*B37)</f>
        <v/>
      </c>
      <c r="D49" s="193"/>
      <c r="E49" s="197" t="str">
        <f>IF(ISBLANK(D49),"", D49*D37)</f>
        <v/>
      </c>
      <c r="F49" s="198"/>
      <c r="G49" s="197" t="str">
        <f>IF(ISBLANK(F49),"", F49*F37)</f>
        <v/>
      </c>
      <c r="H49" s="198">
        <v>41</v>
      </c>
      <c r="I49" s="197">
        <f>IF(ISBLANK(H49),"", H49*H37)</f>
        <v>336569</v>
      </c>
      <c r="J49" s="198">
        <v>0</v>
      </c>
      <c r="K49" s="197">
        <f>IF(ISBLANK(J49),"", J49*J37)</f>
        <v>0</v>
      </c>
      <c r="L49" s="193"/>
      <c r="M49" s="197" t="str">
        <f>IF(ISBLANK(L49),"", L49*L37)</f>
        <v/>
      </c>
      <c r="N49" s="194">
        <f>SUM(C49,E49,G49,I49,K49,M49)</f>
        <v>336569</v>
      </c>
      <c r="O49" s="193">
        <v>0</v>
      </c>
      <c r="P49" s="197">
        <f>IF(ISBLANK(O49),"", O49*O37)</f>
        <v>0</v>
      </c>
      <c r="Q49" s="198">
        <v>0</v>
      </c>
      <c r="R49" s="197">
        <f>IF(ISBLANK(Q49),"", Q49*Q37)</f>
        <v>0</v>
      </c>
      <c r="S49" s="198"/>
      <c r="T49" s="197" t="str">
        <f>IF(ISBLANK(S49),"", S49*S37)</f>
        <v/>
      </c>
      <c r="U49" s="198">
        <v>42</v>
      </c>
      <c r="V49" s="197">
        <f>IF(ISBLANK(U49),"", U49*U37)</f>
        <v>431004</v>
      </c>
      <c r="W49" s="194">
        <f>SUM(P49,R49,T49,V49)</f>
        <v>431004</v>
      </c>
      <c r="X49" s="198"/>
      <c r="Y49" s="197" t="str">
        <f>IF(ISBLANK(X49),"", X49*X37)</f>
        <v/>
      </c>
      <c r="Z49" s="198"/>
      <c r="AA49" s="197" t="str">
        <f>IF(ISBLANK(Z49),"", Z49*Z37)</f>
        <v/>
      </c>
      <c r="AB49" s="198"/>
      <c r="AC49" s="197" t="str">
        <f>IF(ISBLANK(AB49),"", AB49*AB37)</f>
        <v/>
      </c>
      <c r="AD49" s="198">
        <v>42</v>
      </c>
      <c r="AE49" s="197">
        <f>IF(ISBLANK(AD49),"", AD49*AD37)</f>
        <v>344778</v>
      </c>
      <c r="AF49" s="198">
        <v>0</v>
      </c>
      <c r="AG49" s="197">
        <f>IF(ISBLANK(AF49),"", AF49*AF37)</f>
        <v>0</v>
      </c>
      <c r="AH49" s="193"/>
      <c r="AI49" s="197" t="str">
        <f>IF(ISBLANK(AH49),"", AH49*AH37)</f>
        <v/>
      </c>
      <c r="AJ49" s="193"/>
      <c r="AK49" s="197" t="str">
        <f>IF(ISBLANK(AJ49),"", AJ49*AJ37)</f>
        <v/>
      </c>
      <c r="AL49" s="193"/>
      <c r="AM49" s="197" t="str">
        <f>IF(ISBLANK(AL49),"", AL49*AL37)</f>
        <v/>
      </c>
      <c r="AN49" s="193"/>
      <c r="AO49" s="197" t="str">
        <f>IF(ISBLANK(AN49),"", AN49*AN37)</f>
        <v/>
      </c>
      <c r="AP49" s="194">
        <f>SUM(AO49,AM49,AK49,AI49,AG49,AE49,AC49,AA49,Y49)</f>
        <v>344778</v>
      </c>
      <c r="AQ49" s="193"/>
      <c r="AR49" s="197" t="str">
        <f>IF(ISBLANK(AQ49),"", AQ49*AQ37)</f>
        <v/>
      </c>
      <c r="AS49" s="198"/>
      <c r="AT49" s="197" t="str">
        <f>IF(ISBLANK(AS49),"", AS49*AS37)</f>
        <v/>
      </c>
      <c r="AU49" s="198">
        <v>4</v>
      </c>
      <c r="AV49" s="197">
        <f>IF(ISBLANK(AU49),"", AU49*AU37)</f>
        <v>1640</v>
      </c>
      <c r="AW49" s="198"/>
      <c r="AX49" s="197" t="str">
        <f>IF(ISBLANK(AW49),"", AW49*AW37)</f>
        <v/>
      </c>
      <c r="AY49" s="193">
        <v>74</v>
      </c>
      <c r="AZ49" s="197">
        <f>IF(ISBLANK(AY49),"", AY49*AY37)</f>
        <v>60754</v>
      </c>
      <c r="BA49" s="193">
        <v>120</v>
      </c>
      <c r="BB49" s="197">
        <f>IF(ISBLANK(BA49),"", BA49*BA37)</f>
        <v>197040</v>
      </c>
      <c r="BC49" s="194">
        <f>SUM(AR49,AT49,AV49,AX49,AZ49,BB49)</f>
        <v>259434</v>
      </c>
      <c r="BD49" s="198"/>
      <c r="BE49" s="197" t="str">
        <f>IF(ISBLANK(BD49),"", BD49*BD37)</f>
        <v/>
      </c>
      <c r="BF49" s="198">
        <v>110</v>
      </c>
      <c r="BG49" s="197">
        <f>IF(ISBLANK(BF49),"", BF49*BF37)</f>
        <v>2257640</v>
      </c>
      <c r="BH49" s="194">
        <f>SUM(BE49,BG49)</f>
        <v>2257640</v>
      </c>
      <c r="BI49" s="199">
        <f>SUM(N49,W49,AP49,BC49,BH49)</f>
        <v>3629425</v>
      </c>
      <c r="BJ49" s="200">
        <f>BI49/BI57</f>
        <v>4.2124818107729854E-2</v>
      </c>
    </row>
    <row r="50" spans="1:62" ht="15.75" customHeight="1" thickTop="1" x14ac:dyDescent="0.25">
      <c r="A50" s="201" t="s">
        <v>132</v>
      </c>
      <c r="B50" s="202" t="str">
        <f t="shared" ref="B50:M50" si="27">IF(COUNT(B47:B49) = 0, "", SUM(B47:B49))</f>
        <v/>
      </c>
      <c r="C50" s="203" t="str">
        <f t="shared" si="27"/>
        <v/>
      </c>
      <c r="D50" s="202" t="str">
        <f t="shared" si="27"/>
        <v/>
      </c>
      <c r="E50" s="203" t="str">
        <f t="shared" si="27"/>
        <v/>
      </c>
      <c r="F50" s="204" t="str">
        <f t="shared" si="27"/>
        <v/>
      </c>
      <c r="G50" s="203" t="str">
        <f t="shared" si="27"/>
        <v/>
      </c>
      <c r="H50" s="204">
        <f t="shared" si="27"/>
        <v>41</v>
      </c>
      <c r="I50" s="203">
        <f t="shared" si="27"/>
        <v>336569</v>
      </c>
      <c r="J50" s="204">
        <f t="shared" si="27"/>
        <v>77</v>
      </c>
      <c r="K50" s="203">
        <f t="shared" si="27"/>
        <v>316085</v>
      </c>
      <c r="L50" s="202">
        <f t="shared" si="27"/>
        <v>1</v>
      </c>
      <c r="M50" s="203">
        <f t="shared" si="27"/>
        <v>2052</v>
      </c>
      <c r="N50" s="205">
        <f>SUM(N47:N49)</f>
        <v>654706</v>
      </c>
      <c r="O50" s="202">
        <f t="shared" ref="O50:V50" si="28">IF(COUNT(O47:O49) = 0, "", SUM(O47:O49))</f>
        <v>0</v>
      </c>
      <c r="P50" s="203">
        <f t="shared" si="28"/>
        <v>0</v>
      </c>
      <c r="Q50" s="204">
        <f t="shared" si="28"/>
        <v>0</v>
      </c>
      <c r="R50" s="203">
        <f t="shared" si="28"/>
        <v>0</v>
      </c>
      <c r="S50" s="204" t="str">
        <f t="shared" si="28"/>
        <v/>
      </c>
      <c r="T50" s="203" t="str">
        <f t="shared" si="28"/>
        <v/>
      </c>
      <c r="U50" s="204">
        <f t="shared" si="28"/>
        <v>194</v>
      </c>
      <c r="V50" s="203">
        <f t="shared" si="28"/>
        <v>1990828</v>
      </c>
      <c r="W50" s="205">
        <f>SUM(W47:W49)</f>
        <v>1990828</v>
      </c>
      <c r="X50" s="204" t="str">
        <f t="shared" ref="X50:AO50" si="29">IF(COUNT(X47:X49) = 0, "", SUM(X47:X49))</f>
        <v/>
      </c>
      <c r="Y50" s="203" t="str">
        <f t="shared" si="29"/>
        <v/>
      </c>
      <c r="Z50" s="204" t="str">
        <f t="shared" si="29"/>
        <v/>
      </c>
      <c r="AA50" s="203" t="str">
        <f t="shared" si="29"/>
        <v/>
      </c>
      <c r="AB50" s="204" t="str">
        <f t="shared" si="29"/>
        <v/>
      </c>
      <c r="AC50" s="203" t="str">
        <f t="shared" si="29"/>
        <v/>
      </c>
      <c r="AD50" s="204">
        <f t="shared" si="29"/>
        <v>80</v>
      </c>
      <c r="AE50" s="203">
        <f t="shared" si="29"/>
        <v>656720</v>
      </c>
      <c r="AF50" s="204">
        <f t="shared" si="29"/>
        <v>0</v>
      </c>
      <c r="AG50" s="203">
        <f t="shared" si="29"/>
        <v>0</v>
      </c>
      <c r="AH50" s="202" t="str">
        <f t="shared" si="29"/>
        <v/>
      </c>
      <c r="AI50" s="203" t="str">
        <f t="shared" si="29"/>
        <v/>
      </c>
      <c r="AJ50" s="202">
        <f t="shared" si="29"/>
        <v>105</v>
      </c>
      <c r="AK50" s="203">
        <f t="shared" si="29"/>
        <v>2155020</v>
      </c>
      <c r="AL50" s="202">
        <f t="shared" si="29"/>
        <v>17</v>
      </c>
      <c r="AM50" s="203">
        <f t="shared" si="29"/>
        <v>174454</v>
      </c>
      <c r="AN50" s="202">
        <f t="shared" si="29"/>
        <v>0</v>
      </c>
      <c r="AO50" s="203">
        <f t="shared" si="29"/>
        <v>0</v>
      </c>
      <c r="AP50" s="205">
        <f>SUM(AP47:AP49)</f>
        <v>2986194</v>
      </c>
      <c r="AQ50" s="202" t="str">
        <f t="shared" ref="AQ50:BB50" si="30">IF(COUNT(AQ47:AQ49) = 0, "", SUM(AQ47:AQ49))</f>
        <v/>
      </c>
      <c r="AR50" s="203" t="str">
        <f t="shared" si="30"/>
        <v/>
      </c>
      <c r="AS50" s="204" t="str">
        <f t="shared" si="30"/>
        <v/>
      </c>
      <c r="AT50" s="203" t="str">
        <f t="shared" si="30"/>
        <v/>
      </c>
      <c r="AU50" s="204">
        <f t="shared" si="30"/>
        <v>90</v>
      </c>
      <c r="AV50" s="203">
        <f t="shared" si="30"/>
        <v>36900</v>
      </c>
      <c r="AW50" s="204" t="str">
        <f t="shared" si="30"/>
        <v/>
      </c>
      <c r="AX50" s="203" t="str">
        <f t="shared" si="30"/>
        <v/>
      </c>
      <c r="AY50" s="202">
        <f t="shared" si="30"/>
        <v>183</v>
      </c>
      <c r="AZ50" s="203">
        <f t="shared" si="30"/>
        <v>150243</v>
      </c>
      <c r="BA50" s="202">
        <f t="shared" si="30"/>
        <v>264</v>
      </c>
      <c r="BB50" s="203">
        <f t="shared" si="30"/>
        <v>433488</v>
      </c>
      <c r="BC50" s="205">
        <f>SUM(BC47:BC49)</f>
        <v>620631</v>
      </c>
      <c r="BD50" s="204" t="str">
        <f>IF(COUNT(BD47:BD49) = 0, "", SUM(BD47:BD49))</f>
        <v/>
      </c>
      <c r="BE50" s="203" t="str">
        <f>IF(COUNT(BE47:BE49) = 0, "", SUM(BE47:BE49))</f>
        <v/>
      </c>
      <c r="BF50" s="204">
        <f>IF(COUNT(BF47:BF49) = 0, "", SUM(BF47:BF49))</f>
        <v>572</v>
      </c>
      <c r="BG50" s="203">
        <f>IF(COUNT(BG47:BG49) = 0, "", SUM(BG47:BG49))</f>
        <v>11739728</v>
      </c>
      <c r="BH50" s="205">
        <f>SUM(BH47:BH49)</f>
        <v>11739728</v>
      </c>
      <c r="BI50" s="206">
        <f>SUM(N50,W50,AP50,BC50,BH50)</f>
        <v>17992087</v>
      </c>
      <c r="BJ50" s="207">
        <f>BI50/BI57</f>
        <v>0.20882464639810738</v>
      </c>
    </row>
    <row r="51" spans="1:62" x14ac:dyDescent="0.25">
      <c r="A51" s="208"/>
      <c r="B51" s="216"/>
      <c r="C51" s="217"/>
      <c r="D51" s="218"/>
      <c r="E51" s="218"/>
      <c r="F51" s="219"/>
      <c r="G51" s="217"/>
      <c r="H51" s="219"/>
      <c r="I51" s="217"/>
      <c r="J51" s="219"/>
      <c r="K51" s="217"/>
      <c r="L51" s="216"/>
      <c r="M51" s="217"/>
      <c r="N51" s="220"/>
      <c r="O51" s="216"/>
      <c r="P51" s="217"/>
      <c r="Q51" s="218"/>
      <c r="R51" s="218"/>
      <c r="S51" s="219"/>
      <c r="T51" s="217"/>
      <c r="U51" s="219"/>
      <c r="V51" s="217"/>
      <c r="W51" s="220"/>
      <c r="X51" s="219"/>
      <c r="Y51" s="217"/>
      <c r="Z51" s="219"/>
      <c r="AA51" s="217"/>
      <c r="AB51" s="219"/>
      <c r="AC51" s="217"/>
      <c r="AD51" s="219"/>
      <c r="AE51" s="217"/>
      <c r="AF51" s="219"/>
      <c r="AG51" s="217"/>
      <c r="AH51" s="216"/>
      <c r="AI51" s="217"/>
      <c r="AJ51" s="216"/>
      <c r="AK51" s="217"/>
      <c r="AL51" s="216"/>
      <c r="AM51" s="217"/>
      <c r="AN51" s="216"/>
      <c r="AO51" s="217"/>
      <c r="AP51" s="220"/>
      <c r="AQ51" s="216"/>
      <c r="AR51" s="217"/>
      <c r="AS51" s="219"/>
      <c r="AT51" s="217"/>
      <c r="AU51" s="219"/>
      <c r="AV51" s="217"/>
      <c r="AW51" s="219"/>
      <c r="AX51" s="217"/>
      <c r="AY51" s="216"/>
      <c r="AZ51" s="217"/>
      <c r="BA51" s="216"/>
      <c r="BB51" s="217"/>
      <c r="BC51" s="220"/>
      <c r="BD51" s="219"/>
      <c r="BE51" s="217"/>
      <c r="BF51" s="219"/>
      <c r="BG51" s="217"/>
      <c r="BH51" s="220"/>
      <c r="BI51" s="214"/>
      <c r="BJ51" s="215"/>
    </row>
    <row r="52" spans="1:62" x14ac:dyDescent="0.25">
      <c r="A52" s="120" t="s">
        <v>71</v>
      </c>
      <c r="B52" s="193"/>
      <c r="C52" s="197" t="str">
        <f>IF(ISBLANK(B52),"", B52*B37)</f>
        <v/>
      </c>
      <c r="D52" s="193"/>
      <c r="E52" s="197" t="str">
        <f>IF(ISBLANK(D52),"", D52*D37)</f>
        <v/>
      </c>
      <c r="F52" s="198"/>
      <c r="G52" s="197" t="str">
        <f>IF(ISBLANK(F52),"", F52*F37)</f>
        <v/>
      </c>
      <c r="H52" s="198">
        <v>0</v>
      </c>
      <c r="I52" s="197">
        <f>IF(ISBLANK(H52),"", H52*H37)</f>
        <v>0</v>
      </c>
      <c r="J52" s="198">
        <v>0</v>
      </c>
      <c r="K52" s="197">
        <f>IF(ISBLANK(J52),"", J52*J37)</f>
        <v>0</v>
      </c>
      <c r="L52" s="193">
        <v>0</v>
      </c>
      <c r="M52" s="197">
        <f>IF(ISBLANK(L52),"", L52*L37)</f>
        <v>0</v>
      </c>
      <c r="N52" s="194">
        <f>SUM(C52,E52,G52,I52,K52,M52)</f>
        <v>0</v>
      </c>
      <c r="O52" s="193">
        <v>0</v>
      </c>
      <c r="P52" s="197">
        <f>IF(ISBLANK(O52),"", O52*O37)</f>
        <v>0</v>
      </c>
      <c r="Q52" s="198">
        <v>0</v>
      </c>
      <c r="R52" s="197">
        <f>IF(ISBLANK(Q52),"", Q52*Q37)</f>
        <v>0</v>
      </c>
      <c r="S52" s="198"/>
      <c r="T52" s="197" t="str">
        <f>IF(ISBLANK(S52),"", S52*S37)</f>
        <v/>
      </c>
      <c r="U52" s="198">
        <v>88</v>
      </c>
      <c r="V52" s="197">
        <f>IF(ISBLANK(U52),"", U52*U37)</f>
        <v>903056</v>
      </c>
      <c r="W52" s="194">
        <f>SUM(P52,R52,T52,V52)</f>
        <v>903056</v>
      </c>
      <c r="X52" s="198"/>
      <c r="Y52" s="197" t="str">
        <f>IF(ISBLANK(X52),"", X52*X37)</f>
        <v/>
      </c>
      <c r="Z52" s="198"/>
      <c r="AA52" s="197" t="str">
        <f>IF(ISBLANK(Z52),"", Z52*Z37)</f>
        <v/>
      </c>
      <c r="AB52" s="198"/>
      <c r="AC52" s="197" t="str">
        <f>IF(ISBLANK(AB52),"", AB52*AB37)</f>
        <v/>
      </c>
      <c r="AD52" s="198"/>
      <c r="AE52" s="197" t="str">
        <f>IF(ISBLANK(AD52),"", AD52*AD37)</f>
        <v/>
      </c>
      <c r="AF52" s="198"/>
      <c r="AG52" s="197" t="str">
        <f>IF(ISBLANK(AF52),"", AF52*AF37)</f>
        <v/>
      </c>
      <c r="AH52" s="193"/>
      <c r="AI52" s="197" t="str">
        <f>IF(ISBLANK(AH52),"", AH52*AH37)</f>
        <v/>
      </c>
      <c r="AJ52" s="193">
        <v>0</v>
      </c>
      <c r="AK52" s="197">
        <f>IF(ISBLANK(AJ52),"", AJ52*AJ37)</f>
        <v>0</v>
      </c>
      <c r="AL52" s="193">
        <v>9</v>
      </c>
      <c r="AM52" s="197">
        <f>IF(ISBLANK(AL52),"", AL52*AL37)</f>
        <v>92358</v>
      </c>
      <c r="AN52" s="193">
        <v>0</v>
      </c>
      <c r="AO52" s="197">
        <f>IF(ISBLANK(AN52),"", AN52*AN37)</f>
        <v>0</v>
      </c>
      <c r="AP52" s="194">
        <f>SUM(AO52,AM52,AK52,AI52,AG52,AE52,AC52,AA52,Y52)</f>
        <v>92358</v>
      </c>
      <c r="AQ52" s="193"/>
      <c r="AR52" s="197" t="str">
        <f>IF(ISBLANK(AQ52),"", AQ52*AQ37)</f>
        <v/>
      </c>
      <c r="AS52" s="198"/>
      <c r="AT52" s="197" t="str">
        <f>IF(ISBLANK(AS52),"", AS52*AS37)</f>
        <v/>
      </c>
      <c r="AU52" s="198"/>
      <c r="AV52" s="197" t="str">
        <f>IF(ISBLANK(AU52),"", AU52*AU37)</f>
        <v/>
      </c>
      <c r="AW52" s="198"/>
      <c r="AX52" s="197" t="str">
        <f>IF(ISBLANK(AW52),"", AW52*AW37)</f>
        <v/>
      </c>
      <c r="AY52" s="193"/>
      <c r="AZ52" s="197" t="str">
        <f>IF(ISBLANK(AY52),"", AY52*AY37)</f>
        <v/>
      </c>
      <c r="BA52" s="193"/>
      <c r="BB52" s="197" t="str">
        <f>IF(ISBLANK(BA52),"", BA52*BA37)</f>
        <v/>
      </c>
      <c r="BC52" s="194">
        <f>SUM(AR52,AT52,AV52,AX52,AZ52,BB52)</f>
        <v>0</v>
      </c>
      <c r="BD52" s="198"/>
      <c r="BE52" s="197" t="str">
        <f>IF(ISBLANK(BD52),"", BD52*BD37)</f>
        <v/>
      </c>
      <c r="BF52" s="198">
        <v>220</v>
      </c>
      <c r="BG52" s="197">
        <f>IF(ISBLANK(BF52),"", BF52*BF37)</f>
        <v>4515280</v>
      </c>
      <c r="BH52" s="194">
        <f>SUM(BE52,BG52)</f>
        <v>4515280</v>
      </c>
      <c r="BI52" s="195">
        <f>SUM(N52,W52,AP52,BC52,BH52)</f>
        <v>5510694</v>
      </c>
      <c r="BJ52" s="196">
        <f>BI52/BI57</f>
        <v>6.3959713287189635E-2</v>
      </c>
    </row>
    <row r="53" spans="1:62" x14ac:dyDescent="0.25">
      <c r="A53" s="120" t="s">
        <v>72</v>
      </c>
      <c r="B53" s="193"/>
      <c r="C53" s="197" t="str">
        <f>IF(ISBLANK(B53),"", B53*B37)</f>
        <v/>
      </c>
      <c r="D53" s="193"/>
      <c r="E53" s="197" t="str">
        <f>IF(ISBLANK(D53),"", D53*D37)</f>
        <v/>
      </c>
      <c r="F53" s="198"/>
      <c r="G53" s="197" t="str">
        <f>IF(ISBLANK(F53),"", F53*F37)</f>
        <v/>
      </c>
      <c r="H53" s="198">
        <v>123</v>
      </c>
      <c r="I53" s="197">
        <f>IF(ISBLANK(H53),"", H53*H37)</f>
        <v>1009707</v>
      </c>
      <c r="J53" s="198">
        <v>72</v>
      </c>
      <c r="K53" s="197">
        <f>IF(ISBLANK(J53),"", J53*J37)</f>
        <v>295560</v>
      </c>
      <c r="L53" s="193">
        <v>38</v>
      </c>
      <c r="M53" s="197">
        <f>IF(ISBLANK(L53),"", L53*L37)</f>
        <v>77976</v>
      </c>
      <c r="N53" s="194">
        <f>SUM(C53,E53,G53,I53,K53,M53)</f>
        <v>1383243</v>
      </c>
      <c r="O53" s="193">
        <v>0</v>
      </c>
      <c r="P53" s="197">
        <f>IF(ISBLANK(O53),"", O53*O37)</f>
        <v>0</v>
      </c>
      <c r="Q53" s="198">
        <v>0</v>
      </c>
      <c r="R53" s="197">
        <f>IF(ISBLANK(Q53),"", Q53*Q37)</f>
        <v>0</v>
      </c>
      <c r="S53" s="198"/>
      <c r="T53" s="197" t="str">
        <f>IF(ISBLANK(S53),"", S53*S37)</f>
        <v/>
      </c>
      <c r="U53" s="198">
        <v>169</v>
      </c>
      <c r="V53" s="197">
        <f>IF(ISBLANK(U53),"", U53*U37)</f>
        <v>1734278</v>
      </c>
      <c r="W53" s="194">
        <f>SUM(P53,R53,T53,V53)</f>
        <v>1734278</v>
      </c>
      <c r="X53" s="198"/>
      <c r="Y53" s="197" t="str">
        <f>IF(ISBLANK(X53),"", X53*X37)</f>
        <v/>
      </c>
      <c r="Z53" s="198"/>
      <c r="AA53" s="197" t="str">
        <f>IF(ISBLANK(Z53),"", Z53*Z37)</f>
        <v/>
      </c>
      <c r="AB53" s="198"/>
      <c r="AC53" s="197" t="str">
        <f>IF(ISBLANK(AB53),"", AB53*AB37)</f>
        <v/>
      </c>
      <c r="AD53" s="198">
        <v>8</v>
      </c>
      <c r="AE53" s="197">
        <f>IF(ISBLANK(AD53),"", AD53*AD37)</f>
        <v>65672</v>
      </c>
      <c r="AF53" s="198">
        <v>3</v>
      </c>
      <c r="AG53" s="197">
        <f>IF(ISBLANK(AF53),"", AF53*AF37)</f>
        <v>12315</v>
      </c>
      <c r="AH53" s="193">
        <v>1</v>
      </c>
      <c r="AI53" s="197">
        <f>IF(ISBLANK(AH53),"", AH53*AH37)</f>
        <v>2052</v>
      </c>
      <c r="AJ53" s="193"/>
      <c r="AK53" s="197" t="str">
        <f>IF(ISBLANK(AJ53),"", AJ53*AJ37)</f>
        <v/>
      </c>
      <c r="AL53" s="193"/>
      <c r="AM53" s="197" t="str">
        <f>IF(ISBLANK(AL53),"", AL53*AL37)</f>
        <v/>
      </c>
      <c r="AN53" s="193"/>
      <c r="AO53" s="197" t="str">
        <f>IF(ISBLANK(AN53),"", AN53*AN37)</f>
        <v/>
      </c>
      <c r="AP53" s="194">
        <f>SUM(AO53,AM53,AK53,AI53,AG53,AE53,AC53,AA53,Y53)</f>
        <v>80039</v>
      </c>
      <c r="AQ53" s="193"/>
      <c r="AR53" s="197" t="str">
        <f>IF(ISBLANK(AQ53),"", AQ53*AQ37)</f>
        <v/>
      </c>
      <c r="AS53" s="198"/>
      <c r="AT53" s="197" t="str">
        <f>IF(ISBLANK(AS53),"", AS53*AS37)</f>
        <v/>
      </c>
      <c r="AU53" s="198">
        <v>0</v>
      </c>
      <c r="AV53" s="197">
        <f>IF(ISBLANK(AU53),"", AU53*AU37)</f>
        <v>0</v>
      </c>
      <c r="AW53" s="198"/>
      <c r="AX53" s="197" t="str">
        <f>IF(ISBLANK(AW53),"", AW53*AW37)</f>
        <v/>
      </c>
      <c r="AY53" s="193">
        <v>47</v>
      </c>
      <c r="AZ53" s="197">
        <f>IF(ISBLANK(AY53),"", AY53*AY37)</f>
        <v>38587</v>
      </c>
      <c r="BA53" s="193">
        <v>118</v>
      </c>
      <c r="BB53" s="197">
        <f>IF(ISBLANK(BA53),"", BA53*BA37)</f>
        <v>193756</v>
      </c>
      <c r="BC53" s="194">
        <f>SUM(AR53,AT53,AV53,AX53,AZ53,BB53)</f>
        <v>232343</v>
      </c>
      <c r="BD53" s="198"/>
      <c r="BE53" s="197" t="str">
        <f>IF(ISBLANK(BD53),"", BD53*BD37)</f>
        <v/>
      </c>
      <c r="BF53" s="198">
        <v>132</v>
      </c>
      <c r="BG53" s="197">
        <f>IF(ISBLANK(BF53),"", BF53*BF37)</f>
        <v>2709168</v>
      </c>
      <c r="BH53" s="194">
        <f>SUM(BE53,BG53)</f>
        <v>2709168</v>
      </c>
      <c r="BI53" s="195">
        <f>SUM(N53,W53,AP53,BC53,,BH53)</f>
        <v>6139071</v>
      </c>
      <c r="BJ53" s="196">
        <f>BI53/BI57</f>
        <v>7.1252953078087905E-2</v>
      </c>
    </row>
    <row r="54" spans="1:62" x14ac:dyDescent="0.25">
      <c r="A54" s="120" t="s">
        <v>73</v>
      </c>
      <c r="B54" s="193"/>
      <c r="C54" s="197" t="str">
        <f>IF(ISBLANK(B54),"", B54*B37)</f>
        <v/>
      </c>
      <c r="D54" s="193"/>
      <c r="E54" s="197" t="str">
        <f>IF(ISBLANK(D54),"", D54*D37)</f>
        <v/>
      </c>
      <c r="F54" s="198"/>
      <c r="G54" s="197" t="str">
        <f>IF(ISBLANK(F54),"", F54*F37)</f>
        <v/>
      </c>
      <c r="H54" s="198">
        <v>6</v>
      </c>
      <c r="I54" s="197">
        <f>IF(ISBLANK(H54),"", H54*H37)</f>
        <v>49254</v>
      </c>
      <c r="J54" s="198">
        <v>67</v>
      </c>
      <c r="K54" s="197">
        <f>IF(ISBLANK(J54),"", J54*J37)</f>
        <v>275035</v>
      </c>
      <c r="L54" s="193">
        <v>0</v>
      </c>
      <c r="M54" s="197">
        <f>IF(ISBLANK(L54),"", L54*L37)</f>
        <v>0</v>
      </c>
      <c r="N54" s="194">
        <f>SUM(C54,E54,G54,I54,K54,M54)</f>
        <v>324289</v>
      </c>
      <c r="O54" s="193">
        <v>0</v>
      </c>
      <c r="P54" s="197">
        <f>IF(ISBLANK(O54),"", O54*O37)</f>
        <v>0</v>
      </c>
      <c r="Q54" s="198">
        <v>0</v>
      </c>
      <c r="R54" s="197">
        <f>IF(ISBLANK(Q54),"", Q54*Q37)</f>
        <v>0</v>
      </c>
      <c r="S54" s="198"/>
      <c r="T54" s="197" t="str">
        <f>IF(ISBLANK(S54),"", S54*S37)</f>
        <v/>
      </c>
      <c r="U54" s="198">
        <v>88</v>
      </c>
      <c r="V54" s="197">
        <f>IF(ISBLANK(U54),"", U54*U37)</f>
        <v>903056</v>
      </c>
      <c r="W54" s="194">
        <f>SUM(P54,R54,T54,V54)</f>
        <v>903056</v>
      </c>
      <c r="X54" s="198"/>
      <c r="Y54" s="197" t="str">
        <f>IF(ISBLANK(X54),"", X54*X37)</f>
        <v/>
      </c>
      <c r="Z54" s="198"/>
      <c r="AA54" s="197" t="str">
        <f>IF(ISBLANK(Z54),"", Z54*Z37)</f>
        <v/>
      </c>
      <c r="AB54" s="198"/>
      <c r="AC54" s="197" t="str">
        <f>IF(ISBLANK(AB54),"", AB54*AB37)</f>
        <v/>
      </c>
      <c r="AD54" s="198">
        <v>20</v>
      </c>
      <c r="AE54" s="197">
        <f>IF(ISBLANK(AD54),"", AD54*AD37)</f>
        <v>164180</v>
      </c>
      <c r="AF54" s="198">
        <v>2</v>
      </c>
      <c r="AG54" s="197">
        <f>IF(ISBLANK(AF54),"", AF54*AF37)</f>
        <v>8210</v>
      </c>
      <c r="AH54" s="193"/>
      <c r="AI54" s="197" t="str">
        <f>IF(ISBLANK(AH54),"", AH54*AH37)</f>
        <v/>
      </c>
      <c r="AJ54" s="193"/>
      <c r="AK54" s="197" t="str">
        <f>IF(ISBLANK(AJ54),"", AJ54*AJ37)</f>
        <v/>
      </c>
      <c r="AL54" s="193"/>
      <c r="AM54" s="197" t="str">
        <f>IF(ISBLANK(AL54),"", AL54*AL37)</f>
        <v/>
      </c>
      <c r="AN54" s="193"/>
      <c r="AO54" s="197" t="str">
        <f>IF(ISBLANK(AN54),"", AN54*AN37)</f>
        <v/>
      </c>
      <c r="AP54" s="194">
        <f>SUM(AO54,AM54,AK54,AI54,AG54,AE54,AC54,AA54,Y54)</f>
        <v>172390</v>
      </c>
      <c r="AQ54" s="193"/>
      <c r="AR54" s="197" t="str">
        <f>IF(ISBLANK(AQ54),"", AQ54*AQ37)</f>
        <v/>
      </c>
      <c r="AS54" s="198"/>
      <c r="AT54" s="197" t="str">
        <f>IF(ISBLANK(AS54),"", AS54*AS37)</f>
        <v/>
      </c>
      <c r="AU54" s="198">
        <v>0</v>
      </c>
      <c r="AV54" s="197">
        <f>IF(ISBLANK(AU54),"", AU54*AU37)</f>
        <v>0</v>
      </c>
      <c r="AW54" s="198"/>
      <c r="AX54" s="197" t="str">
        <f>IF(ISBLANK(AW54),"", AW54*AW37)</f>
        <v/>
      </c>
      <c r="AY54" s="193">
        <v>73</v>
      </c>
      <c r="AZ54" s="197">
        <f>IF(ISBLANK(AY54),"", AY54*AY37)</f>
        <v>59933</v>
      </c>
      <c r="BA54" s="193">
        <v>130</v>
      </c>
      <c r="BB54" s="197">
        <f>IF(ISBLANK(BA54),"", BA54*BA37)</f>
        <v>213460</v>
      </c>
      <c r="BC54" s="194">
        <f>SUM(AR54,AT54,AV54,AX54,AZ54,BB54)</f>
        <v>273393</v>
      </c>
      <c r="BD54" s="198"/>
      <c r="BE54" s="197" t="str">
        <f>IF(ISBLANK(BD54),"", BD54*BD37)</f>
        <v/>
      </c>
      <c r="BF54" s="198">
        <v>177</v>
      </c>
      <c r="BG54" s="197">
        <f>IF(ISBLANK(BF54),"", BF54*BF37)</f>
        <v>3632748</v>
      </c>
      <c r="BH54" s="194">
        <f>SUM(BE54,BG54)</f>
        <v>3632748</v>
      </c>
      <c r="BI54" s="195">
        <f>SUM(N54,W54,AP54,BC54,,BH54)</f>
        <v>5305876</v>
      </c>
      <c r="BJ54" s="196">
        <f>BI54/BI57</f>
        <v>6.1582498991484672E-2</v>
      </c>
    </row>
    <row r="55" spans="1:62" x14ac:dyDescent="0.25">
      <c r="A55" s="120" t="s">
        <v>74</v>
      </c>
      <c r="B55" s="193">
        <v>32</v>
      </c>
      <c r="C55" s="197">
        <f>IF(ISBLANK(B55),"", B55*B37)</f>
        <v>49248</v>
      </c>
      <c r="D55" s="193">
        <v>228</v>
      </c>
      <c r="E55" s="197">
        <f>IF(ISBLANK(D55),"", D55*D37)</f>
        <v>467856</v>
      </c>
      <c r="F55" s="198">
        <v>13</v>
      </c>
      <c r="G55" s="197">
        <f>IF(ISBLANK(F55),"", F55*F37)</f>
        <v>53365</v>
      </c>
      <c r="H55" s="198">
        <v>29</v>
      </c>
      <c r="I55" s="197">
        <f>IF(ISBLANK(H55),"", H55*H37)</f>
        <v>238061</v>
      </c>
      <c r="J55" s="198"/>
      <c r="K55" s="197" t="str">
        <f>IF(ISBLANK(J55),"", J55*J37)</f>
        <v/>
      </c>
      <c r="L55" s="193"/>
      <c r="M55" s="197" t="str">
        <f>IF(ISBLANK(L55),"", L55*L37)</f>
        <v/>
      </c>
      <c r="N55" s="194">
        <f>SUM(C55,E55,G55,I55,K55,M55)</f>
        <v>808530</v>
      </c>
      <c r="O55" s="193">
        <v>0</v>
      </c>
      <c r="P55" s="197">
        <f>IF(ISBLANK(O55),"", O55*O37)</f>
        <v>0</v>
      </c>
      <c r="Q55" s="198">
        <v>120</v>
      </c>
      <c r="R55" s="197">
        <f>IF(ISBLANK(Q55),"", Q55*Q37)</f>
        <v>307800</v>
      </c>
      <c r="S55" s="198">
        <v>48</v>
      </c>
      <c r="T55" s="197">
        <f>IF(ISBLANK(S55),"", S55*S37)</f>
        <v>246288</v>
      </c>
      <c r="U55" s="198">
        <v>17</v>
      </c>
      <c r="V55" s="197">
        <f>IF(ISBLANK(U55),"", U55*U37)</f>
        <v>174454</v>
      </c>
      <c r="W55" s="194">
        <f>SUM(P55,R55,T55,V55)</f>
        <v>728542</v>
      </c>
      <c r="X55" s="198">
        <v>26</v>
      </c>
      <c r="Y55" s="197">
        <f>IF(ISBLANK(X55),"", X55*X37)</f>
        <v>40014</v>
      </c>
      <c r="Z55" s="198">
        <v>40</v>
      </c>
      <c r="AA55" s="197">
        <f>IF(ISBLANK(Z55),"", Z55*Z37)</f>
        <v>82080</v>
      </c>
      <c r="AB55" s="198">
        <v>61</v>
      </c>
      <c r="AC55" s="197">
        <f>IF(ISBLANK(AB55),"", AB55*AB37)</f>
        <v>250405</v>
      </c>
      <c r="AD55" s="198"/>
      <c r="AE55" s="197" t="str">
        <f>IF(ISBLANK(AD55),"", AD55*AD37)</f>
        <v/>
      </c>
      <c r="AF55" s="198"/>
      <c r="AG55" s="197" t="str">
        <f>IF(ISBLANK(AF55),"", AF55*AF37)</f>
        <v/>
      </c>
      <c r="AH55" s="193"/>
      <c r="AI55" s="197" t="str">
        <f>IF(ISBLANK(AH55),"", AH55*AH37)</f>
        <v/>
      </c>
      <c r="AJ55" s="193"/>
      <c r="AK55" s="197" t="str">
        <f>IF(ISBLANK(AJ55),"", AJ55*AJ37)</f>
        <v/>
      </c>
      <c r="AL55" s="193"/>
      <c r="AM55" s="197" t="str">
        <f>IF(ISBLANK(AL55),"", AL55*AL37)</f>
        <v/>
      </c>
      <c r="AN55" s="193"/>
      <c r="AO55" s="197" t="str">
        <f>IF(ISBLANK(AN55),"", AN55*AN37)</f>
        <v/>
      </c>
      <c r="AP55" s="194">
        <f>SUM(AO55,AM55,AK55,AI55,AG55,AE55,AC55,AA55,Y55)</f>
        <v>372499</v>
      </c>
      <c r="AQ55" s="193">
        <v>0</v>
      </c>
      <c r="AR55" s="197">
        <f>IF(ISBLANK(AQ55),"", AQ55*AQ37)</f>
        <v>0</v>
      </c>
      <c r="AS55" s="198">
        <v>0</v>
      </c>
      <c r="AT55" s="197">
        <f>IF(ISBLANK(AS55),"", AS55*AS37)</f>
        <v>0</v>
      </c>
      <c r="AU55" s="198"/>
      <c r="AV55" s="197" t="str">
        <f>IF(ISBLANK(AU55),"", AU55*AU37)</f>
        <v/>
      </c>
      <c r="AW55" s="198">
        <v>27</v>
      </c>
      <c r="AX55" s="197">
        <f>IF(ISBLANK(AW55),"", AW55*AW37)</f>
        <v>22167</v>
      </c>
      <c r="AY55" s="193"/>
      <c r="AZ55" s="197" t="str">
        <f>IF(ISBLANK(AY55),"", AY55*AY37)</f>
        <v/>
      </c>
      <c r="BA55" s="193"/>
      <c r="BB55" s="197" t="str">
        <f>IF(ISBLANK(BA55),"", BA55*BA37)</f>
        <v/>
      </c>
      <c r="BC55" s="194">
        <f>SUM(AR55,AT55,AV55,AX55,AZ55,BB55)</f>
        <v>22167</v>
      </c>
      <c r="BD55" s="198">
        <v>87</v>
      </c>
      <c r="BE55" s="197">
        <f>IF(ISBLANK(BD55),"", BD55*BD37)</f>
        <v>892794</v>
      </c>
      <c r="BF55" s="198">
        <v>16</v>
      </c>
      <c r="BG55" s="197">
        <f>IF(ISBLANK(BF55),"", BF55*BF37)</f>
        <v>328384</v>
      </c>
      <c r="BH55" s="194">
        <f>SUM(BE55,BG55)</f>
        <v>1221178</v>
      </c>
      <c r="BI55" s="195">
        <f>SUM(N55,W55,AP55,BC55,BH55)</f>
        <v>3152916</v>
      </c>
      <c r="BJ55" s="196">
        <f>BI55/BI57</f>
        <v>3.6594229942470552E-2</v>
      </c>
    </row>
    <row r="56" spans="1:62" ht="15.75" customHeight="1" thickBot="1" x14ac:dyDescent="0.3">
      <c r="A56" s="134" t="s">
        <v>75</v>
      </c>
      <c r="B56" s="193">
        <v>1050</v>
      </c>
      <c r="C56" s="197">
        <f>IF(ISBLANK(B56),"", B56*B37)</f>
        <v>1615950</v>
      </c>
      <c r="D56" s="193">
        <v>3249</v>
      </c>
      <c r="E56" s="197">
        <f>IF(ISBLANK(D56),"", D56*D37)</f>
        <v>6666948</v>
      </c>
      <c r="F56" s="198">
        <v>0</v>
      </c>
      <c r="G56" s="197">
        <f>IF(ISBLANK(F56),"", F56*F37)</f>
        <v>0</v>
      </c>
      <c r="H56" s="198"/>
      <c r="I56" s="197" t="str">
        <f>IF(ISBLANK(H56),"", H56*H37)</f>
        <v/>
      </c>
      <c r="J56" s="198"/>
      <c r="K56" s="197" t="str">
        <f>IF(ISBLANK(J56),"", J56*J37)</f>
        <v/>
      </c>
      <c r="L56" s="193"/>
      <c r="M56" s="197" t="str">
        <f>IF(ISBLANK(L56),"", L56*L37)</f>
        <v/>
      </c>
      <c r="N56" s="194">
        <f>SUM(C56,E56,G56,I56,K56,M56)</f>
        <v>8282898</v>
      </c>
      <c r="O56" s="193">
        <v>143</v>
      </c>
      <c r="P56" s="197">
        <f>IF(ISBLANK(O56),"", O56*O37)</f>
        <v>275132</v>
      </c>
      <c r="Q56" s="198">
        <v>1017</v>
      </c>
      <c r="R56" s="197">
        <f>IF(ISBLANK(Q56),"", Q56*Q37)</f>
        <v>2608605</v>
      </c>
      <c r="S56" s="198">
        <v>161</v>
      </c>
      <c r="T56" s="197">
        <f>IF(ISBLANK(S56),"", S56*S37)</f>
        <v>826091</v>
      </c>
      <c r="U56" s="198"/>
      <c r="V56" s="197" t="str">
        <f>IF(ISBLANK(U56),"", U56*U37)</f>
        <v/>
      </c>
      <c r="W56" s="194">
        <f>SUM(P56,R56,T56,V56)</f>
        <v>3709828</v>
      </c>
      <c r="X56" s="198">
        <v>295</v>
      </c>
      <c r="Y56" s="197">
        <f>IF(ISBLANK(X56),"", X56*X37)</f>
        <v>454005</v>
      </c>
      <c r="Z56" s="198">
        <v>685</v>
      </c>
      <c r="AA56" s="197">
        <f>IF(ISBLANK(Z56),"", Z56*Z37)</f>
        <v>1405620</v>
      </c>
      <c r="AB56" s="198">
        <v>0</v>
      </c>
      <c r="AC56" s="197">
        <f>IF(ISBLANK(AB56),"", AB56*AB37)</f>
        <v>0</v>
      </c>
      <c r="AD56" s="198"/>
      <c r="AE56" s="197" t="str">
        <f>IF(ISBLANK(AD56),"", AD56*AD37)</f>
        <v/>
      </c>
      <c r="AF56" s="198"/>
      <c r="AG56" s="197" t="str">
        <f>IF(ISBLANK(AF56),"", AF56*AF37)</f>
        <v/>
      </c>
      <c r="AH56" s="193"/>
      <c r="AI56" s="197" t="str">
        <f>IF(ISBLANK(AH56),"", AH56*AH37)</f>
        <v/>
      </c>
      <c r="AJ56" s="193"/>
      <c r="AK56" s="197" t="str">
        <f>IF(ISBLANK(AJ56),"", AJ56*AJ37)</f>
        <v/>
      </c>
      <c r="AL56" s="193"/>
      <c r="AM56" s="197" t="str">
        <f>IF(ISBLANK(AL56),"", AL56*AL37)</f>
        <v/>
      </c>
      <c r="AN56" s="193"/>
      <c r="AO56" s="197" t="str">
        <f>IF(ISBLANK(AN56),"", AN56*AN37)</f>
        <v/>
      </c>
      <c r="AP56" s="194">
        <f>SUM(AO56,AM56,AK56,AI56,AG56,AE56,AC56,AA56,Y56)</f>
        <v>1859625</v>
      </c>
      <c r="AQ56" s="193">
        <v>86</v>
      </c>
      <c r="AR56" s="197">
        <f>IF(ISBLANK(AQ56),"", AQ56*AQ37)</f>
        <v>17630</v>
      </c>
      <c r="AS56" s="198">
        <v>383</v>
      </c>
      <c r="AT56" s="197">
        <f>IF(ISBLANK(AS56),"", AS56*AS37)</f>
        <v>157030</v>
      </c>
      <c r="AU56" s="198"/>
      <c r="AV56" s="197" t="str">
        <f>IF(ISBLANK(AU56),"", AU56*AU37)</f>
        <v/>
      </c>
      <c r="AW56" s="198">
        <v>215</v>
      </c>
      <c r="AX56" s="197">
        <f>IF(ISBLANK(AW56),"", AW56*AW37)</f>
        <v>176515</v>
      </c>
      <c r="AY56" s="193"/>
      <c r="AZ56" s="197" t="str">
        <f>IF(ISBLANK(AY56),"", AY56*AY37)</f>
        <v/>
      </c>
      <c r="BA56" s="193"/>
      <c r="BB56" s="197" t="str">
        <f>IF(ISBLANK(BA56),"", BA56*BA37)</f>
        <v/>
      </c>
      <c r="BC56" s="194">
        <f>SUM(AR56,AT56,AV56,AX56,AZ56,BB56)</f>
        <v>351175</v>
      </c>
      <c r="BD56" s="198">
        <v>276</v>
      </c>
      <c r="BE56" s="197">
        <f>IF(ISBLANK(BD56),"", BD56*BD37)</f>
        <v>2832312</v>
      </c>
      <c r="BF56" s="198"/>
      <c r="BG56" s="197" t="str">
        <f>IF(ISBLANK(BF56),"", BF56*BF37)</f>
        <v/>
      </c>
      <c r="BH56" s="194">
        <f>SUM(BE56,BG56)</f>
        <v>2832312</v>
      </c>
      <c r="BI56" s="199">
        <f>SUM(N56,W56,AP56,BC56,BH56)</f>
        <v>17035838</v>
      </c>
      <c r="BJ56" s="196">
        <f>BI56/BI57</f>
        <v>0.1977259695579196</v>
      </c>
    </row>
    <row r="57" spans="1:62" x14ac:dyDescent="0.25">
      <c r="A57" s="221" t="s">
        <v>46</v>
      </c>
      <c r="B57" s="222">
        <f t="shared" ref="B57:AO57" si="31">SUM(B45,B50,B52:B56)</f>
        <v>1082</v>
      </c>
      <c r="C57" s="223">
        <f t="shared" si="31"/>
        <v>1665198</v>
      </c>
      <c r="D57" s="224">
        <f t="shared" si="31"/>
        <v>3477</v>
      </c>
      <c r="E57" s="223">
        <f t="shared" si="31"/>
        <v>7134804</v>
      </c>
      <c r="F57" s="225">
        <f t="shared" si="31"/>
        <v>13</v>
      </c>
      <c r="G57" s="223">
        <f t="shared" si="31"/>
        <v>53365</v>
      </c>
      <c r="H57" s="225">
        <f t="shared" si="31"/>
        <v>685</v>
      </c>
      <c r="I57" s="223">
        <f t="shared" si="31"/>
        <v>5623165</v>
      </c>
      <c r="J57" s="225">
        <f t="shared" si="31"/>
        <v>288</v>
      </c>
      <c r="K57" s="223">
        <f t="shared" si="31"/>
        <v>1182240</v>
      </c>
      <c r="L57" s="225">
        <f t="shared" si="31"/>
        <v>39</v>
      </c>
      <c r="M57" s="223">
        <f t="shared" si="31"/>
        <v>80028</v>
      </c>
      <c r="N57" s="226">
        <f t="shared" si="31"/>
        <v>15738800</v>
      </c>
      <c r="O57" s="222">
        <f t="shared" si="31"/>
        <v>143</v>
      </c>
      <c r="P57" s="223">
        <f t="shared" si="31"/>
        <v>275132</v>
      </c>
      <c r="Q57" s="225">
        <f t="shared" si="31"/>
        <v>1137</v>
      </c>
      <c r="R57" s="223">
        <f t="shared" si="31"/>
        <v>2916405</v>
      </c>
      <c r="S57" s="225">
        <f t="shared" si="31"/>
        <v>209</v>
      </c>
      <c r="T57" s="223">
        <f t="shared" si="31"/>
        <v>1072379</v>
      </c>
      <c r="U57" s="225">
        <f t="shared" si="31"/>
        <v>894</v>
      </c>
      <c r="V57" s="223">
        <f t="shared" si="31"/>
        <v>9174228</v>
      </c>
      <c r="W57" s="226">
        <f t="shared" si="31"/>
        <v>13438144</v>
      </c>
      <c r="X57" s="223">
        <f t="shared" si="31"/>
        <v>321</v>
      </c>
      <c r="Y57" s="223">
        <f t="shared" si="31"/>
        <v>494019</v>
      </c>
      <c r="Z57" s="223">
        <f t="shared" si="31"/>
        <v>725</v>
      </c>
      <c r="AA57" s="223">
        <f t="shared" si="31"/>
        <v>1487700</v>
      </c>
      <c r="AB57" s="223">
        <f t="shared" si="31"/>
        <v>61</v>
      </c>
      <c r="AC57" s="223">
        <f t="shared" si="31"/>
        <v>250405</v>
      </c>
      <c r="AD57" s="223">
        <f t="shared" si="31"/>
        <v>115</v>
      </c>
      <c r="AE57" s="223">
        <f t="shared" si="31"/>
        <v>944035</v>
      </c>
      <c r="AF57" s="225">
        <f t="shared" si="31"/>
        <v>5</v>
      </c>
      <c r="AG57" s="223">
        <f t="shared" si="31"/>
        <v>20525</v>
      </c>
      <c r="AH57" s="225">
        <f t="shared" si="31"/>
        <v>1</v>
      </c>
      <c r="AI57" s="223">
        <f t="shared" si="31"/>
        <v>2052</v>
      </c>
      <c r="AJ57" s="225">
        <f t="shared" si="31"/>
        <v>319</v>
      </c>
      <c r="AK57" s="223">
        <f t="shared" si="31"/>
        <v>6547156</v>
      </c>
      <c r="AL57" s="225">
        <f t="shared" si="31"/>
        <v>34</v>
      </c>
      <c r="AM57" s="223">
        <f t="shared" si="31"/>
        <v>348908</v>
      </c>
      <c r="AN57" s="225">
        <f t="shared" si="31"/>
        <v>5</v>
      </c>
      <c r="AO57" s="223">
        <f t="shared" si="31"/>
        <v>25655</v>
      </c>
      <c r="AP57" s="226">
        <f>SUM(Y57,AA57,AC57,AE57,AG57,AI57,AK57,AM57,AO57)</f>
        <v>10120455</v>
      </c>
      <c r="AQ57" s="222">
        <f t="shared" ref="AQ57:BB57" si="32">SUM(AQ45,AQ50,AQ52:AQ56)</f>
        <v>86</v>
      </c>
      <c r="AR57" s="223">
        <f t="shared" si="32"/>
        <v>17630</v>
      </c>
      <c r="AS57" s="225">
        <f t="shared" si="32"/>
        <v>383</v>
      </c>
      <c r="AT57" s="223">
        <f t="shared" si="32"/>
        <v>157030</v>
      </c>
      <c r="AU57" s="225">
        <f t="shared" si="32"/>
        <v>180</v>
      </c>
      <c r="AV57" s="223">
        <f t="shared" si="32"/>
        <v>73800</v>
      </c>
      <c r="AW57" s="225">
        <f t="shared" si="32"/>
        <v>242</v>
      </c>
      <c r="AX57" s="223">
        <f t="shared" si="32"/>
        <v>198682</v>
      </c>
      <c r="AY57" s="225">
        <f t="shared" si="32"/>
        <v>552</v>
      </c>
      <c r="AZ57" s="223">
        <f t="shared" si="32"/>
        <v>453192</v>
      </c>
      <c r="BA57" s="225">
        <f t="shared" si="32"/>
        <v>761</v>
      </c>
      <c r="BB57" s="223">
        <f t="shared" si="32"/>
        <v>1249562</v>
      </c>
      <c r="BC57" s="226">
        <f>SUM(AR57,AT57,AV57,AX57,AZ57,BB57,)</f>
        <v>2149896</v>
      </c>
      <c r="BD57" s="225">
        <f t="shared" ref="BD57:BI57" si="33">SUM(BD45,BD50,BD52:BD56)</f>
        <v>363</v>
      </c>
      <c r="BE57" s="223">
        <f t="shared" si="33"/>
        <v>3725106</v>
      </c>
      <c r="BF57" s="225">
        <f t="shared" si="33"/>
        <v>1997</v>
      </c>
      <c r="BG57" s="223">
        <f t="shared" si="33"/>
        <v>40986428</v>
      </c>
      <c r="BH57" s="226">
        <f t="shared" si="33"/>
        <v>44711534</v>
      </c>
      <c r="BI57" s="227">
        <f t="shared" si="33"/>
        <v>86158829</v>
      </c>
      <c r="BJ57" s="228"/>
    </row>
    <row r="58" spans="1:62" ht="30.75" customHeight="1" thickBot="1" x14ac:dyDescent="0.3">
      <c r="A58" s="229" t="s">
        <v>129</v>
      </c>
      <c r="B58" s="524">
        <f>C57/$BI$57</f>
        <v>1.9327073259085264E-2</v>
      </c>
      <c r="C58" s="505"/>
      <c r="D58" s="505">
        <f>E57/$BI$57</f>
        <v>8.2809899842069587E-2</v>
      </c>
      <c r="E58" s="505"/>
      <c r="F58" s="505">
        <f>G57/$BI$57</f>
        <v>6.193793557709564E-4</v>
      </c>
      <c r="G58" s="505"/>
      <c r="H58" s="505">
        <f>I57/$BI$57</f>
        <v>6.5265104752062028E-2</v>
      </c>
      <c r="I58" s="505"/>
      <c r="J58" s="505">
        <f>K57/$BI$57</f>
        <v>1.3721634958618112E-2</v>
      </c>
      <c r="K58" s="505"/>
      <c r="L58" s="505">
        <f>M57/$BI$57</f>
        <v>9.2884270746065964E-4</v>
      </c>
      <c r="M58" s="505"/>
      <c r="N58" s="230">
        <f>N57/$BI$57</f>
        <v>0.18267193487506661</v>
      </c>
      <c r="O58" s="524">
        <f>P57/$BI$57</f>
        <v>3.1933117382549384E-3</v>
      </c>
      <c r="P58" s="505"/>
      <c r="Q58" s="505">
        <f>R57/$BI$57</f>
        <v>3.3849171743037504E-2</v>
      </c>
      <c r="R58" s="505"/>
      <c r="S58" s="505">
        <f>T57/$BI$57</f>
        <v>1.2446536384564836E-2</v>
      </c>
      <c r="T58" s="505"/>
      <c r="U58" s="505">
        <f>V57/$BI$57</f>
        <v>0.10648041653398052</v>
      </c>
      <c r="V58" s="505"/>
      <c r="W58" s="230">
        <f>W57/$BI$57</f>
        <v>0.15596943639983779</v>
      </c>
      <c r="X58" s="505">
        <f>Y57/$BI$57</f>
        <v>5.7338174825936877E-3</v>
      </c>
      <c r="Y58" s="505"/>
      <c r="Z58" s="505">
        <f>AA57/$BI$57</f>
        <v>1.7266947766896877E-2</v>
      </c>
      <c r="AA58" s="505"/>
      <c r="AB58" s="505">
        <f>AC57/$BI$57</f>
        <v>2.9063185155406416E-3</v>
      </c>
      <c r="AC58" s="505"/>
      <c r="AD58" s="566">
        <f>AE57/$BI$57</f>
        <v>1.0956915396331581E-2</v>
      </c>
      <c r="AE58" s="567"/>
      <c r="AF58" s="505">
        <f>AG57/$BI$57</f>
        <v>2.3822282914267556E-4</v>
      </c>
      <c r="AG58" s="505"/>
      <c r="AH58" s="505">
        <f>AI57/$BI$57</f>
        <v>2.3816479678478453E-5</v>
      </c>
      <c r="AI58" s="505"/>
      <c r="AJ58" s="505">
        <f>AK57/$BI$57</f>
        <v>7.5989380032080056E-2</v>
      </c>
      <c r="AK58" s="505"/>
      <c r="AL58" s="505">
        <f>AM57/$BI$57</f>
        <v>4.0495907854086553E-3</v>
      </c>
      <c r="AM58" s="505"/>
      <c r="AN58" s="505">
        <f>AO57/$BI$57</f>
        <v>2.9776402833887167E-4</v>
      </c>
      <c r="AO58" s="505"/>
      <c r="AP58" s="230">
        <f>AP57/$BI$57</f>
        <v>0.11746277331601153</v>
      </c>
      <c r="AQ58" s="524">
        <f>AR57/$BI$57</f>
        <v>2.0462209392376957E-4</v>
      </c>
      <c r="AR58" s="505"/>
      <c r="AS58" s="505">
        <f>AT57/$BI$57</f>
        <v>1.8225642319256684E-3</v>
      </c>
      <c r="AT58" s="505"/>
      <c r="AU58" s="505">
        <f>AV57/$BI$57</f>
        <v>8.5655760247159353E-4</v>
      </c>
      <c r="AV58" s="505"/>
      <c r="AW58" s="505">
        <f>AX57/$BI$57</f>
        <v>2.3059969861010995E-3</v>
      </c>
      <c r="AX58" s="505"/>
      <c r="AY58" s="505">
        <f>AZ57/$BI$57</f>
        <v>5.2599600674702761E-3</v>
      </c>
      <c r="AZ58" s="505"/>
      <c r="BA58" s="505">
        <f>BB57/$BI$57</f>
        <v>1.4503005838206087E-2</v>
      </c>
      <c r="BB58" s="505"/>
      <c r="BC58" s="230">
        <f>BC57/$BI$57</f>
        <v>2.4952706820098494E-2</v>
      </c>
      <c r="BD58" s="505">
        <f>BE57/$BI$57</f>
        <v>4.3235336914804169E-2</v>
      </c>
      <c r="BE58" s="505"/>
      <c r="BF58" s="505">
        <f>BG57/$BI$57</f>
        <v>0.47570781167418141</v>
      </c>
      <c r="BG58" s="505"/>
      <c r="BH58" s="230">
        <f>BH57/$BI$57</f>
        <v>0.5189431485889856</v>
      </c>
      <c r="BI58" s="231"/>
      <c r="BJ58" s="232"/>
    </row>
  </sheetData>
  <mergeCells count="198">
    <mergeCell ref="AY36:AZ36"/>
    <mergeCell ref="AY37:AZ37"/>
    <mergeCell ref="AY58:AZ58"/>
    <mergeCell ref="X34:AP34"/>
    <mergeCell ref="X35:AP35"/>
    <mergeCell ref="AH8:AI8"/>
    <mergeCell ref="AH9:AI9"/>
    <mergeCell ref="AH30:AI30"/>
    <mergeCell ref="AH36:AI36"/>
    <mergeCell ref="AH37:AI37"/>
    <mergeCell ref="AJ8:AK8"/>
    <mergeCell ref="AJ9:AK9"/>
    <mergeCell ref="AJ30:AK30"/>
    <mergeCell ref="AJ36:AK36"/>
    <mergeCell ref="AJ37:AK37"/>
    <mergeCell ref="AD30:AE30"/>
    <mergeCell ref="AF30:AG30"/>
    <mergeCell ref="AD58:AE58"/>
    <mergeCell ref="AF58:AG58"/>
    <mergeCell ref="AN58:AO58"/>
    <mergeCell ref="AN30:AO30"/>
    <mergeCell ref="AQ30:AR30"/>
    <mergeCell ref="AS30:AT30"/>
    <mergeCell ref="AU30:AV30"/>
    <mergeCell ref="Q36:R36"/>
    <mergeCell ref="D37:E37"/>
    <mergeCell ref="Q37:R37"/>
    <mergeCell ref="D58:E58"/>
    <mergeCell ref="Q58:R58"/>
    <mergeCell ref="BJ34:BJ37"/>
    <mergeCell ref="O35:W35"/>
    <mergeCell ref="AQ35:BC35"/>
    <mergeCell ref="BD35:BH35"/>
    <mergeCell ref="L37:M37"/>
    <mergeCell ref="BD58:BE58"/>
    <mergeCell ref="BF58:BG58"/>
    <mergeCell ref="AQ58:AR58"/>
    <mergeCell ref="AS58:AT58"/>
    <mergeCell ref="AU58:AV58"/>
    <mergeCell ref="AW58:AX58"/>
    <mergeCell ref="BA58:BB58"/>
    <mergeCell ref="AW37:AX37"/>
    <mergeCell ref="BA37:BB37"/>
    <mergeCell ref="BA36:BB36"/>
    <mergeCell ref="BC36:BC37"/>
    <mergeCell ref="AP36:AP37"/>
    <mergeCell ref="S58:T58"/>
    <mergeCell ref="U58:V58"/>
    <mergeCell ref="A34:A37"/>
    <mergeCell ref="B34:N34"/>
    <mergeCell ref="O34:W34"/>
    <mergeCell ref="AQ34:BC34"/>
    <mergeCell ref="BD34:BH34"/>
    <mergeCell ref="BI34:BI37"/>
    <mergeCell ref="S37:T37"/>
    <mergeCell ref="U37:V37"/>
    <mergeCell ref="AD37:AE37"/>
    <mergeCell ref="AF37:AG37"/>
    <mergeCell ref="BF36:BG36"/>
    <mergeCell ref="BF37:BG37"/>
    <mergeCell ref="O36:P36"/>
    <mergeCell ref="BD36:BE36"/>
    <mergeCell ref="BD37:BE37"/>
    <mergeCell ref="AN37:AO37"/>
    <mergeCell ref="AQ37:AR37"/>
    <mergeCell ref="AS37:AT37"/>
    <mergeCell ref="AU37:AV37"/>
    <mergeCell ref="AQ36:AR36"/>
    <mergeCell ref="AS36:AT36"/>
    <mergeCell ref="AU36:AV36"/>
    <mergeCell ref="AW36:AX36"/>
    <mergeCell ref="BH36:BH37"/>
    <mergeCell ref="S36:T36"/>
    <mergeCell ref="U36:V36"/>
    <mergeCell ref="W36:W37"/>
    <mergeCell ref="AD36:AE36"/>
    <mergeCell ref="AF36:AG36"/>
    <mergeCell ref="AN36:AO36"/>
    <mergeCell ref="Z58:AA58"/>
    <mergeCell ref="AB58:AC58"/>
    <mergeCell ref="X36:Y36"/>
    <mergeCell ref="X37:Y37"/>
    <mergeCell ref="X58:Y58"/>
    <mergeCell ref="AH58:AI58"/>
    <mergeCell ref="AJ58:AK58"/>
    <mergeCell ref="AL36:AM36"/>
    <mergeCell ref="AL37:AM37"/>
    <mergeCell ref="AL58:AM58"/>
    <mergeCell ref="Z36:AA36"/>
    <mergeCell ref="AB36:AC36"/>
    <mergeCell ref="Z37:AA37"/>
    <mergeCell ref="AB37:AC37"/>
    <mergeCell ref="BI6:BI9"/>
    <mergeCell ref="BJ6:BJ9"/>
    <mergeCell ref="BD30:BE30"/>
    <mergeCell ref="BF30:BG30"/>
    <mergeCell ref="BD6:BH6"/>
    <mergeCell ref="BD7:BH7"/>
    <mergeCell ref="BD8:BE8"/>
    <mergeCell ref="BF8:BG8"/>
    <mergeCell ref="BH8:BH9"/>
    <mergeCell ref="BD9:BE9"/>
    <mergeCell ref="BF9:BG9"/>
    <mergeCell ref="AQ6:BC6"/>
    <mergeCell ref="AQ7:BC7"/>
    <mergeCell ref="AQ8:AR8"/>
    <mergeCell ref="AS8:AT8"/>
    <mergeCell ref="AU8:AV8"/>
    <mergeCell ref="AW8:AX8"/>
    <mergeCell ref="BA8:BB8"/>
    <mergeCell ref="BC8:BC9"/>
    <mergeCell ref="AQ9:AR9"/>
    <mergeCell ref="AS9:AT9"/>
    <mergeCell ref="AU9:AV9"/>
    <mergeCell ref="AW9:AX9"/>
    <mergeCell ref="BA9:BB9"/>
    <mergeCell ref="AY8:AZ8"/>
    <mergeCell ref="AY9:AZ9"/>
    <mergeCell ref="AW30:AX30"/>
    <mergeCell ref="BA30:BB30"/>
    <mergeCell ref="O30:P30"/>
    <mergeCell ref="S30:T30"/>
    <mergeCell ref="U30:V30"/>
    <mergeCell ref="Q30:R30"/>
    <mergeCell ref="X30:Y30"/>
    <mergeCell ref="AL30:AM30"/>
    <mergeCell ref="Z30:AA30"/>
    <mergeCell ref="AB30:AC30"/>
    <mergeCell ref="AY30:AZ30"/>
    <mergeCell ref="AD8:AE8"/>
    <mergeCell ref="AF8:AG8"/>
    <mergeCell ref="AN8:AO8"/>
    <mergeCell ref="AP8:AP9"/>
    <mergeCell ref="AD9:AE9"/>
    <mergeCell ref="AF9:AG9"/>
    <mergeCell ref="AN9:AO9"/>
    <mergeCell ref="X8:Y8"/>
    <mergeCell ref="X9:Y9"/>
    <mergeCell ref="Z8:AA8"/>
    <mergeCell ref="AB8:AC8"/>
    <mergeCell ref="Z9:AA9"/>
    <mergeCell ref="AB9:AC9"/>
    <mergeCell ref="X6:AP6"/>
    <mergeCell ref="X7:AP7"/>
    <mergeCell ref="AL8:AM8"/>
    <mergeCell ref="AL9:AM9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W8:W9"/>
    <mergeCell ref="O9:P9"/>
    <mergeCell ref="S9:T9"/>
    <mergeCell ref="U9:V9"/>
    <mergeCell ref="Q8:R8"/>
    <mergeCell ref="Q9:R9"/>
  </mergeCells>
  <pageMargins left="0.7" right="0.7" top="0.75" bottom="0.75" header="0.3" footer="0.3"/>
  <pageSetup scale="50" orientation="landscape" r:id="rId1"/>
  <headerFooter>
    <oddFooter>Page &amp;P</oddFooter>
  </headerFooter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B34"/>
  <sheetViews>
    <sheetView zoomScale="80" zoomScaleNormal="80" workbookViewId="0">
      <pane xSplit="2" topLeftCell="E1" activePane="topRight" state="frozenSplit"/>
      <selection activeCell="B5" sqref="B5 A5:AP9"/>
      <selection pane="topRight" activeCell="X18" sqref="X18"/>
    </sheetView>
  </sheetViews>
  <sheetFormatPr defaultRowHeight="15" x14ac:dyDescent="0.25"/>
  <cols>
    <col min="1" max="1" width="10.28515625" style="1" customWidth="1"/>
    <col min="2" max="2" width="2.85546875" style="1" hidden="1" customWidth="1"/>
    <col min="3" max="3" width="18" style="1" bestFit="1" customWidth="1"/>
    <col min="4" max="4" width="15.5703125" style="1" customWidth="1"/>
    <col min="5" max="5" width="18" style="1" bestFit="1" customWidth="1"/>
    <col min="6" max="6" width="12.7109375" style="1" customWidth="1"/>
    <col min="7" max="7" width="16.5703125" style="1" customWidth="1"/>
    <col min="8" max="8" width="7.140625" style="1" customWidth="1"/>
    <col min="9" max="9" width="15.28515625" style="1" bestFit="1" customWidth="1"/>
    <col min="10" max="10" width="18" style="1" bestFit="1" customWidth="1"/>
    <col min="11" max="11" width="9.140625" style="1" customWidth="1"/>
    <col min="12" max="12" width="8.140625" style="1" customWidth="1"/>
    <col min="13" max="13" width="16.42578125" style="1" bestFit="1" customWidth="1"/>
    <col min="14" max="14" width="7.140625" style="1" customWidth="1"/>
    <col min="15" max="15" width="18" style="1" bestFit="1" customWidth="1"/>
    <col min="16" max="16" width="5.5703125" style="1" bestFit="1" customWidth="1"/>
    <col min="17" max="17" width="3" style="1" customWidth="1"/>
    <col min="18" max="18" width="15.28515625" style="1" bestFit="1" customWidth="1"/>
    <col min="19" max="19" width="17.5703125" style="1" customWidth="1"/>
    <col min="20" max="20" width="14.28515625" style="1" bestFit="1" customWidth="1"/>
    <col min="21" max="21" width="15.28515625" style="1" bestFit="1" customWidth="1"/>
    <col min="22" max="22" width="18" style="1" bestFit="1" customWidth="1"/>
    <col min="23" max="23" width="9.140625" style="1" customWidth="1"/>
    <col min="24" max="24" width="14.28515625" style="1" bestFit="1" customWidth="1"/>
    <col min="25" max="25" width="16.42578125" style="1" bestFit="1" customWidth="1"/>
    <col min="26" max="26" width="7.140625" style="1" customWidth="1"/>
    <col min="27" max="27" width="18" style="1" bestFit="1" customWidth="1"/>
    <col min="28" max="28" width="20.42578125" style="1" customWidth="1"/>
  </cols>
  <sheetData>
    <row r="1" spans="1:28" ht="15.75" customHeight="1" x14ac:dyDescent="0.25">
      <c r="A1" s="14" t="s">
        <v>133</v>
      </c>
    </row>
    <row r="2" spans="1:28" ht="15.75" customHeight="1" x14ac:dyDescent="0.25">
      <c r="A2" s="17" t="s">
        <v>31</v>
      </c>
    </row>
    <row r="3" spans="1:28" ht="15.75" customHeight="1" x14ac:dyDescent="0.25">
      <c r="A3" s="17"/>
    </row>
    <row r="4" spans="1:28" x14ac:dyDescent="0.25">
      <c r="A4" s="18" t="s">
        <v>134</v>
      </c>
    </row>
    <row r="5" spans="1:28" ht="15.75" customHeight="1" thickBot="1" x14ac:dyDescent="0.3"/>
    <row r="6" spans="1:28" ht="15.75" customHeight="1" thickBot="1" x14ac:dyDescent="0.3">
      <c r="A6" s="404"/>
      <c r="B6" s="233"/>
      <c r="C6" s="482" t="s">
        <v>135</v>
      </c>
      <c r="D6" s="594" t="s">
        <v>136</v>
      </c>
      <c r="E6" s="595"/>
      <c r="F6" s="568" t="s">
        <v>3</v>
      </c>
      <c r="G6" s="569"/>
      <c r="H6" s="569"/>
      <c r="I6" s="569"/>
      <c r="J6" s="569"/>
      <c r="K6" s="569"/>
      <c r="L6" s="569"/>
      <c r="M6" s="569"/>
      <c r="N6" s="569"/>
      <c r="O6" s="569"/>
      <c r="P6" s="570"/>
      <c r="Q6" s="19"/>
      <c r="R6" s="568" t="s">
        <v>4</v>
      </c>
      <c r="S6" s="569"/>
      <c r="T6" s="569"/>
      <c r="U6" s="569"/>
      <c r="V6" s="569"/>
      <c r="W6" s="569"/>
      <c r="X6" s="569"/>
      <c r="Y6" s="569"/>
      <c r="Z6" s="569"/>
      <c r="AA6" s="569"/>
      <c r="AB6" s="570"/>
    </row>
    <row r="7" spans="1:28" ht="15" customHeight="1" x14ac:dyDescent="0.25">
      <c r="A7" s="593"/>
      <c r="B7"/>
      <c r="C7" s="483"/>
      <c r="D7" s="596"/>
      <c r="E7" s="597"/>
      <c r="F7" s="583" t="s">
        <v>137</v>
      </c>
      <c r="G7" s="584"/>
      <c r="H7" s="584"/>
      <c r="I7" s="584"/>
      <c r="J7" s="584"/>
      <c r="K7" s="585"/>
      <c r="L7" s="586" t="s">
        <v>138</v>
      </c>
      <c r="M7" s="587"/>
      <c r="N7" s="577" t="s">
        <v>139</v>
      </c>
      <c r="O7" s="574" t="s">
        <v>140</v>
      </c>
      <c r="P7" s="571" t="s">
        <v>141</v>
      </c>
      <c r="Q7" s="23"/>
      <c r="R7" s="583" t="s">
        <v>137</v>
      </c>
      <c r="S7" s="584"/>
      <c r="T7" s="584"/>
      <c r="U7" s="584"/>
      <c r="V7" s="584"/>
      <c r="W7" s="585"/>
      <c r="X7" s="586" t="s">
        <v>138</v>
      </c>
      <c r="Y7" s="587"/>
      <c r="Z7" s="577" t="s">
        <v>139</v>
      </c>
      <c r="AA7" s="574" t="s">
        <v>142</v>
      </c>
      <c r="AB7" s="571" t="s">
        <v>143</v>
      </c>
    </row>
    <row r="8" spans="1:28" ht="24" customHeight="1" x14ac:dyDescent="0.25">
      <c r="A8" s="593"/>
      <c r="B8"/>
      <c r="C8" s="483"/>
      <c r="D8" s="598" t="s">
        <v>144</v>
      </c>
      <c r="E8" s="588" t="s">
        <v>145</v>
      </c>
      <c r="F8" s="234" t="s">
        <v>146</v>
      </c>
      <c r="G8" s="582" t="s">
        <v>147</v>
      </c>
      <c r="H8" s="582" t="s">
        <v>148</v>
      </c>
      <c r="I8" s="580" t="s">
        <v>149</v>
      </c>
      <c r="J8" s="582" t="s">
        <v>150</v>
      </c>
      <c r="K8" s="588" t="s">
        <v>151</v>
      </c>
      <c r="L8" s="235" t="s">
        <v>152</v>
      </c>
      <c r="M8" s="590" t="s">
        <v>153</v>
      </c>
      <c r="N8" s="578"/>
      <c r="O8" s="575"/>
      <c r="P8" s="572"/>
      <c r="Q8" s="23"/>
      <c r="R8" s="234" t="s">
        <v>146</v>
      </c>
      <c r="S8" s="582" t="s">
        <v>147</v>
      </c>
      <c r="T8" s="582" t="s">
        <v>148</v>
      </c>
      <c r="U8" s="580" t="s">
        <v>149</v>
      </c>
      <c r="V8" s="582" t="s">
        <v>150</v>
      </c>
      <c r="W8" s="588" t="s">
        <v>151</v>
      </c>
      <c r="X8" s="235" t="s">
        <v>152</v>
      </c>
      <c r="Y8" s="590" t="s">
        <v>153</v>
      </c>
      <c r="Z8" s="578"/>
      <c r="AA8" s="575"/>
      <c r="AB8" s="572"/>
    </row>
    <row r="9" spans="1:28" ht="24" customHeight="1" thickBot="1" x14ac:dyDescent="0.3">
      <c r="A9" s="405"/>
      <c r="B9"/>
      <c r="C9" s="483"/>
      <c r="D9" s="599"/>
      <c r="E9" s="589"/>
      <c r="F9" s="236">
        <v>0</v>
      </c>
      <c r="G9" s="592"/>
      <c r="H9" s="592"/>
      <c r="I9" s="581"/>
      <c r="J9" s="581"/>
      <c r="K9" s="589"/>
      <c r="L9" s="237">
        <v>0</v>
      </c>
      <c r="M9" s="591"/>
      <c r="N9" s="579"/>
      <c r="O9" s="576"/>
      <c r="P9" s="573"/>
      <c r="Q9" s="23"/>
      <c r="R9" s="236">
        <v>5.1400000000000001E-2</v>
      </c>
      <c r="S9" s="592"/>
      <c r="T9" s="592"/>
      <c r="U9" s="581"/>
      <c r="V9" s="581"/>
      <c r="W9" s="589"/>
      <c r="X9" s="237">
        <v>0.02</v>
      </c>
      <c r="Y9" s="591"/>
      <c r="Z9" s="579"/>
      <c r="AA9" s="576"/>
      <c r="AB9" s="573"/>
    </row>
    <row r="10" spans="1:28" ht="16.5" customHeight="1" x14ac:dyDescent="0.25">
      <c r="A10" s="238" t="s">
        <v>50</v>
      </c>
      <c r="B10" s="238">
        <v>1</v>
      </c>
      <c r="C10" s="239">
        <v>201961310</v>
      </c>
      <c r="D10" s="70">
        <v>0</v>
      </c>
      <c r="E10" s="15">
        <f t="shared" ref="E10:E18" si="0">IF($B10 = 1, C10-D10, "")</f>
        <v>201961310</v>
      </c>
      <c r="F10" s="70">
        <f t="shared" ref="F10:F18" si="1">IF($B10 = 1, ROUND(F$9*$E10, 0), "")</f>
        <v>0</v>
      </c>
      <c r="G10" s="158">
        <v>0</v>
      </c>
      <c r="H10" s="68">
        <v>0</v>
      </c>
      <c r="I10" s="68">
        <v>0</v>
      </c>
      <c r="J10" s="158">
        <v>0</v>
      </c>
      <c r="K10" s="130"/>
      <c r="L10" s="70" t="str">
        <f t="shared" ref="L10:L18" si="2">IF($B10 = 2, ROUND(L$9*$C10, 0), "")</f>
        <v/>
      </c>
      <c r="M10" s="240" t="str">
        <f t="shared" ref="M10:M18" si="3">IF($B10 = 2, $C10+L10, "")</f>
        <v/>
      </c>
      <c r="N10" s="70">
        <v>0</v>
      </c>
      <c r="O10" s="68">
        <f>C10</f>
        <v>201961310</v>
      </c>
      <c r="P10" s="241">
        <f t="shared" ref="P10:P18" si="4">IF($C10 &gt; 0, (O10-$C10)/$C10, "")</f>
        <v>0</v>
      </c>
      <c r="Q10" s="23"/>
      <c r="R10" s="70">
        <f t="shared" ref="R10:R18" si="5">IF($B10 = 1, ROUND(R$9*$E10, 0), "")</f>
        <v>10380811</v>
      </c>
      <c r="S10" s="158">
        <f t="shared" ref="S10:S18" si="6">IF($B10 = 1, U10-R10-T10, "")</f>
        <v>-3829540</v>
      </c>
      <c r="T10" s="68">
        <v>831120</v>
      </c>
      <c r="U10" s="68">
        <f>IF($B10 = 1, 'OPERATING Performance Funding'!BI38 + T10, "")</f>
        <v>7382391</v>
      </c>
      <c r="V10" s="158">
        <f t="shared" ref="V10:V16" si="7">IF($B10 = 1, $E10+S10+T10, "")</f>
        <v>198962890</v>
      </c>
      <c r="W10" s="130">
        <f t="shared" ref="W10:W18" si="8">IF($B10 = 1, U10/V10, "")</f>
        <v>3.7104361521889839E-2</v>
      </c>
      <c r="X10" s="70" t="str">
        <f t="shared" ref="X10:X17" si="9">IF($B10 = 2, ROUND(X$9*$C10, 0), "")</f>
        <v/>
      </c>
      <c r="Y10" s="240" t="str">
        <f t="shared" ref="Y10:Y18" si="10">IF($B10 = 2, $C10+X10, "")</f>
        <v/>
      </c>
      <c r="Z10" s="70">
        <v>0</v>
      </c>
      <c r="AA10" s="68">
        <f t="shared" ref="AA10:AA18" si="11">IF($B10 = 1, V10+$D10, IF($B10 = 2, Y10, 0))+Z10</f>
        <v>198962890</v>
      </c>
      <c r="AB10" s="241">
        <f t="shared" ref="AB10:AB18" si="12">IF($C10 &gt; 0, (AA10-$C10)/$C10, "")</f>
        <v>-1.4846506986907542E-2</v>
      </c>
    </row>
    <row r="11" spans="1:28" x14ac:dyDescent="0.25">
      <c r="A11" s="242" t="s">
        <v>54</v>
      </c>
      <c r="B11" s="242">
        <v>1</v>
      </c>
      <c r="C11" s="67">
        <v>14047315</v>
      </c>
      <c r="D11" s="70">
        <v>0</v>
      </c>
      <c r="E11" s="15">
        <f t="shared" si="0"/>
        <v>14047315</v>
      </c>
      <c r="F11" s="70">
        <f t="shared" si="1"/>
        <v>0</v>
      </c>
      <c r="G11" s="158">
        <v>0</v>
      </c>
      <c r="H11" s="68">
        <v>0</v>
      </c>
      <c r="I11" s="68">
        <v>0</v>
      </c>
      <c r="J11" s="158">
        <v>0</v>
      </c>
      <c r="K11" s="130"/>
      <c r="L11" s="70" t="str">
        <f t="shared" si="2"/>
        <v/>
      </c>
      <c r="M11" s="240" t="str">
        <f t="shared" si="3"/>
        <v/>
      </c>
      <c r="N11" s="70">
        <v>0</v>
      </c>
      <c r="O11" s="68">
        <f t="shared" ref="O11:O16" si="13">C11</f>
        <v>14047315</v>
      </c>
      <c r="P11" s="241">
        <f t="shared" si="4"/>
        <v>0</v>
      </c>
      <c r="Q11" s="23"/>
      <c r="R11" s="70">
        <f t="shared" si="5"/>
        <v>722032</v>
      </c>
      <c r="S11" s="158">
        <f t="shared" si="6"/>
        <v>995371</v>
      </c>
      <c r="T11" s="68">
        <v>0</v>
      </c>
      <c r="U11" s="68">
        <f>IF($B11 = 1, 'OPERATING Performance Funding'!BI39 + T11, "")</f>
        <v>1717403</v>
      </c>
      <c r="V11" s="158">
        <f t="shared" si="7"/>
        <v>15042686</v>
      </c>
      <c r="W11" s="130">
        <f t="shared" si="8"/>
        <v>0.11416863982934962</v>
      </c>
      <c r="X11" s="70" t="str">
        <f t="shared" si="9"/>
        <v/>
      </c>
      <c r="Y11" s="240" t="str">
        <f t="shared" si="10"/>
        <v/>
      </c>
      <c r="Z11" s="70">
        <v>0</v>
      </c>
      <c r="AA11" s="68">
        <f t="shared" si="11"/>
        <v>15042686</v>
      </c>
      <c r="AB11" s="241">
        <f t="shared" si="12"/>
        <v>7.0858452309213546E-2</v>
      </c>
    </row>
    <row r="12" spans="1:28" ht="16.5" customHeight="1" x14ac:dyDescent="0.25">
      <c r="A12" s="242" t="s">
        <v>55</v>
      </c>
      <c r="B12" s="242">
        <v>1</v>
      </c>
      <c r="C12" s="67">
        <v>16059485</v>
      </c>
      <c r="D12" s="70">
        <v>0</v>
      </c>
      <c r="E12" s="15">
        <f t="shared" si="0"/>
        <v>16059485</v>
      </c>
      <c r="F12" s="70">
        <f t="shared" si="1"/>
        <v>0</v>
      </c>
      <c r="G12" s="158">
        <v>0</v>
      </c>
      <c r="H12" s="68">
        <v>0</v>
      </c>
      <c r="I12" s="68">
        <v>0</v>
      </c>
      <c r="J12" s="158">
        <v>0</v>
      </c>
      <c r="K12" s="130"/>
      <c r="L12" s="70" t="str">
        <f t="shared" si="2"/>
        <v/>
      </c>
      <c r="M12" s="240" t="str">
        <f t="shared" si="3"/>
        <v/>
      </c>
      <c r="N12" s="70">
        <v>0</v>
      </c>
      <c r="O12" s="68">
        <f t="shared" si="13"/>
        <v>16059485</v>
      </c>
      <c r="P12" s="241">
        <f t="shared" si="4"/>
        <v>0</v>
      </c>
      <c r="Q12" s="23"/>
      <c r="R12" s="70">
        <f t="shared" si="5"/>
        <v>825458</v>
      </c>
      <c r="S12" s="158">
        <f t="shared" si="6"/>
        <v>466700</v>
      </c>
      <c r="T12" s="68">
        <v>0</v>
      </c>
      <c r="U12" s="68">
        <f>IF($B12 = 1, 'OPERATING Performance Funding'!BI40 + T12, "")</f>
        <v>1292158</v>
      </c>
      <c r="V12" s="158">
        <f t="shared" si="7"/>
        <v>16526185</v>
      </c>
      <c r="W12" s="130">
        <f t="shared" si="8"/>
        <v>7.8188523243567704E-2</v>
      </c>
      <c r="X12" s="70" t="str">
        <f t="shared" si="9"/>
        <v/>
      </c>
      <c r="Y12" s="240" t="str">
        <f t="shared" si="10"/>
        <v/>
      </c>
      <c r="Z12" s="70">
        <v>0</v>
      </c>
      <c r="AA12" s="68">
        <f t="shared" si="11"/>
        <v>16526185</v>
      </c>
      <c r="AB12" s="241">
        <f t="shared" si="12"/>
        <v>2.906070773751462E-2</v>
      </c>
    </row>
    <row r="13" spans="1:28" ht="16.5" customHeight="1" x14ac:dyDescent="0.25">
      <c r="A13" s="242" t="s">
        <v>56</v>
      </c>
      <c r="B13" s="242">
        <v>1</v>
      </c>
      <c r="C13" s="67">
        <v>18870523</v>
      </c>
      <c r="D13" s="70">
        <v>0</v>
      </c>
      <c r="E13" s="15">
        <f t="shared" si="0"/>
        <v>18870523</v>
      </c>
      <c r="F13" s="70">
        <f t="shared" si="1"/>
        <v>0</v>
      </c>
      <c r="G13" s="158">
        <v>0</v>
      </c>
      <c r="H13" s="68">
        <v>0</v>
      </c>
      <c r="I13" s="68">
        <v>0</v>
      </c>
      <c r="J13" s="158">
        <v>0</v>
      </c>
      <c r="K13" s="130"/>
      <c r="L13" s="70" t="str">
        <f t="shared" si="2"/>
        <v/>
      </c>
      <c r="M13" s="240" t="str">
        <f t="shared" si="3"/>
        <v/>
      </c>
      <c r="N13" s="70">
        <v>0</v>
      </c>
      <c r="O13" s="68">
        <f t="shared" si="13"/>
        <v>18870523</v>
      </c>
      <c r="P13" s="241">
        <f t="shared" si="4"/>
        <v>0</v>
      </c>
      <c r="Q13" s="23"/>
      <c r="R13" s="70">
        <f t="shared" si="5"/>
        <v>969945</v>
      </c>
      <c r="S13" s="158">
        <f t="shared" si="6"/>
        <v>737619</v>
      </c>
      <c r="T13" s="68">
        <v>0</v>
      </c>
      <c r="U13" s="68">
        <f>IF($B13 = 1, 'OPERATING Performance Funding'!BI41 + T13, "")</f>
        <v>1707564</v>
      </c>
      <c r="V13" s="158">
        <f t="shared" si="7"/>
        <v>19608142</v>
      </c>
      <c r="W13" s="130">
        <f t="shared" si="8"/>
        <v>8.708443665901644E-2</v>
      </c>
      <c r="X13" s="70" t="str">
        <f t="shared" si="9"/>
        <v/>
      </c>
      <c r="Y13" s="240" t="str">
        <f t="shared" si="10"/>
        <v/>
      </c>
      <c r="Z13" s="70">
        <v>0</v>
      </c>
      <c r="AA13" s="68">
        <f t="shared" si="11"/>
        <v>19608142</v>
      </c>
      <c r="AB13" s="241">
        <f t="shared" si="12"/>
        <v>3.9088423781365254E-2</v>
      </c>
    </row>
    <row r="14" spans="1:28" ht="16.5" customHeight="1" x14ac:dyDescent="0.25">
      <c r="A14" s="242" t="s">
        <v>57</v>
      </c>
      <c r="B14" s="242">
        <v>1</v>
      </c>
      <c r="C14" s="67">
        <v>111103662</v>
      </c>
      <c r="D14" s="70">
        <v>0</v>
      </c>
      <c r="E14" s="15">
        <f t="shared" si="0"/>
        <v>111103662</v>
      </c>
      <c r="F14" s="70">
        <f t="shared" si="1"/>
        <v>0</v>
      </c>
      <c r="G14" s="158">
        <v>0</v>
      </c>
      <c r="H14" s="68">
        <v>0</v>
      </c>
      <c r="I14" s="68">
        <v>0</v>
      </c>
      <c r="J14" s="158">
        <v>0</v>
      </c>
      <c r="K14" s="130"/>
      <c r="L14" s="70" t="str">
        <f t="shared" si="2"/>
        <v/>
      </c>
      <c r="M14" s="240" t="str">
        <f t="shared" si="3"/>
        <v/>
      </c>
      <c r="N14" s="70">
        <v>0</v>
      </c>
      <c r="O14" s="68">
        <f t="shared" si="13"/>
        <v>111103662</v>
      </c>
      <c r="P14" s="241">
        <f t="shared" si="4"/>
        <v>0</v>
      </c>
      <c r="Q14" s="23"/>
      <c r="R14" s="70">
        <f t="shared" si="5"/>
        <v>5710728</v>
      </c>
      <c r="S14" s="158">
        <f t="shared" si="6"/>
        <v>11006900</v>
      </c>
      <c r="T14" s="68">
        <v>0</v>
      </c>
      <c r="U14" s="68">
        <f>IF($B14 = 1, 'OPERATING Performance Funding'!BI42 + T14, "")</f>
        <v>16717628</v>
      </c>
      <c r="V14" s="158">
        <f t="shared" si="7"/>
        <v>122110562</v>
      </c>
      <c r="W14" s="130">
        <f t="shared" si="8"/>
        <v>0.13690566750483057</v>
      </c>
      <c r="X14" s="70" t="str">
        <f t="shared" si="9"/>
        <v/>
      </c>
      <c r="Y14" s="240" t="str">
        <f t="shared" si="10"/>
        <v/>
      </c>
      <c r="Z14" s="70">
        <v>0</v>
      </c>
      <c r="AA14" s="68">
        <f t="shared" si="11"/>
        <v>122110562</v>
      </c>
      <c r="AB14" s="241">
        <f t="shared" si="12"/>
        <v>9.9068741766585519E-2</v>
      </c>
    </row>
    <row r="15" spans="1:28" x14ac:dyDescent="0.25">
      <c r="A15" s="242" t="s">
        <v>58</v>
      </c>
      <c r="B15" s="242">
        <v>1</v>
      </c>
      <c r="C15" s="67">
        <v>24873721</v>
      </c>
      <c r="D15" s="70">
        <v>0</v>
      </c>
      <c r="E15" s="15">
        <f t="shared" si="0"/>
        <v>24873721</v>
      </c>
      <c r="F15" s="70">
        <f t="shared" si="1"/>
        <v>0</v>
      </c>
      <c r="G15" s="158">
        <v>0</v>
      </c>
      <c r="H15" s="68">
        <v>0</v>
      </c>
      <c r="I15" s="68">
        <v>0</v>
      </c>
      <c r="J15" s="158">
        <v>0</v>
      </c>
      <c r="K15" s="130"/>
      <c r="L15" s="70" t="str">
        <f t="shared" si="2"/>
        <v/>
      </c>
      <c r="M15" s="240" t="str">
        <f t="shared" si="3"/>
        <v/>
      </c>
      <c r="N15" s="70">
        <v>0</v>
      </c>
      <c r="O15" s="68">
        <f t="shared" si="13"/>
        <v>24873721</v>
      </c>
      <c r="P15" s="241">
        <f t="shared" si="4"/>
        <v>0</v>
      </c>
      <c r="Q15" s="23"/>
      <c r="R15" s="70">
        <f t="shared" si="5"/>
        <v>1278509</v>
      </c>
      <c r="S15" s="158">
        <f t="shared" si="6"/>
        <v>392964</v>
      </c>
      <c r="T15" s="68">
        <v>0</v>
      </c>
      <c r="U15" s="68">
        <f>IF($B15 = 1, 'OPERATING Performance Funding'!BI43 + T15, "")</f>
        <v>1671473</v>
      </c>
      <c r="V15" s="158">
        <f t="shared" si="7"/>
        <v>25266685</v>
      </c>
      <c r="W15" s="130">
        <f t="shared" si="8"/>
        <v>6.6153236960052333E-2</v>
      </c>
      <c r="X15" s="70" t="str">
        <f t="shared" si="9"/>
        <v/>
      </c>
      <c r="Y15" s="240" t="str">
        <f t="shared" si="10"/>
        <v/>
      </c>
      <c r="Z15" s="70">
        <v>0</v>
      </c>
      <c r="AA15" s="68">
        <f t="shared" si="11"/>
        <v>25266685</v>
      </c>
      <c r="AB15" s="241">
        <f t="shared" si="12"/>
        <v>1.5798360044321474E-2</v>
      </c>
    </row>
    <row r="16" spans="1:28" ht="16.5" customHeight="1" x14ac:dyDescent="0.25">
      <c r="A16" s="242" t="s">
        <v>59</v>
      </c>
      <c r="B16" s="242">
        <v>1</v>
      </c>
      <c r="C16" s="67">
        <v>20890749</v>
      </c>
      <c r="D16" s="70">
        <v>0</v>
      </c>
      <c r="E16" s="15">
        <f t="shared" si="0"/>
        <v>20890749</v>
      </c>
      <c r="F16" s="70">
        <f t="shared" si="1"/>
        <v>0</v>
      </c>
      <c r="G16" s="158">
        <v>0</v>
      </c>
      <c r="H16" s="68">
        <v>0</v>
      </c>
      <c r="I16" s="68">
        <v>0</v>
      </c>
      <c r="J16" s="158">
        <v>0</v>
      </c>
      <c r="K16" s="130"/>
      <c r="L16" s="70" t="str">
        <f t="shared" si="2"/>
        <v/>
      </c>
      <c r="M16" s="240" t="str">
        <f t="shared" si="3"/>
        <v/>
      </c>
      <c r="N16" s="70">
        <v>0</v>
      </c>
      <c r="O16" s="68">
        <f t="shared" si="13"/>
        <v>20890749</v>
      </c>
      <c r="P16" s="241">
        <f t="shared" si="4"/>
        <v>0</v>
      </c>
      <c r="Q16" s="23"/>
      <c r="R16" s="70">
        <f t="shared" si="5"/>
        <v>1073784</v>
      </c>
      <c r="S16" s="158">
        <f t="shared" si="6"/>
        <v>291066</v>
      </c>
      <c r="T16" s="68">
        <v>0</v>
      </c>
      <c r="U16" s="68">
        <f>IF($B16 = 1, 'OPERATING Performance Funding'!BI44 + T16, "")</f>
        <v>1364850</v>
      </c>
      <c r="V16" s="158">
        <f t="shared" si="7"/>
        <v>21181815</v>
      </c>
      <c r="W16" s="130">
        <f t="shared" si="8"/>
        <v>6.4434988219848013E-2</v>
      </c>
      <c r="X16" s="70" t="str">
        <f t="shared" si="9"/>
        <v/>
      </c>
      <c r="Y16" s="240" t="str">
        <f t="shared" si="10"/>
        <v/>
      </c>
      <c r="Z16" s="70">
        <v>0</v>
      </c>
      <c r="AA16" s="68">
        <f t="shared" si="11"/>
        <v>21181815</v>
      </c>
      <c r="AB16" s="241">
        <f t="shared" si="12"/>
        <v>1.3932769954777591E-2</v>
      </c>
    </row>
    <row r="17" spans="1:28" x14ac:dyDescent="0.25">
      <c r="A17" s="242" t="s">
        <v>60</v>
      </c>
      <c r="B17" s="242">
        <v>2</v>
      </c>
      <c r="C17" s="67">
        <v>122238873</v>
      </c>
      <c r="D17" s="70"/>
      <c r="E17" s="15" t="str">
        <f t="shared" si="0"/>
        <v/>
      </c>
      <c r="F17" s="70" t="str">
        <f t="shared" si="1"/>
        <v/>
      </c>
      <c r="G17" s="158"/>
      <c r="H17" s="68"/>
      <c r="I17" s="68" t="str">
        <f>IF($B17=1, 'OPERATING Performance Funding'!BI17+H17,"")</f>
        <v/>
      </c>
      <c r="J17" s="158" t="str">
        <f t="shared" ref="J17:J18" si="14">IF($B17 = 1, $E17+G17+H17, "")</f>
        <v/>
      </c>
      <c r="K17" s="130"/>
      <c r="L17" s="70">
        <f t="shared" si="2"/>
        <v>0</v>
      </c>
      <c r="M17" s="240">
        <f t="shared" si="3"/>
        <v>122238873</v>
      </c>
      <c r="N17" s="70">
        <v>0</v>
      </c>
      <c r="O17" s="68">
        <f t="shared" ref="O17:O18" si="15">IF($B17 = 1, J17+$D17, IF($B17 = 2, M17, 0))+N17</f>
        <v>122238873</v>
      </c>
      <c r="P17" s="241">
        <f t="shared" si="4"/>
        <v>0</v>
      </c>
      <c r="Q17" s="23"/>
      <c r="R17" s="70" t="str">
        <f t="shared" si="5"/>
        <v/>
      </c>
      <c r="S17" s="158" t="str">
        <f t="shared" si="6"/>
        <v/>
      </c>
      <c r="T17" s="68"/>
      <c r="U17" s="68" t="str">
        <f>IF($B17 = 1, 'OPERATING Performance Funding'!BI45 + T17, "")</f>
        <v/>
      </c>
      <c r="V17" s="158" t="str">
        <f>IF($B17 = 1, $E17+S17, "")</f>
        <v/>
      </c>
      <c r="W17" s="130" t="str">
        <f t="shared" si="8"/>
        <v/>
      </c>
      <c r="X17" s="70">
        <f t="shared" si="9"/>
        <v>2444777</v>
      </c>
      <c r="Y17" s="240">
        <f t="shared" si="10"/>
        <v>124683650</v>
      </c>
      <c r="Z17" s="70">
        <v>0</v>
      </c>
      <c r="AA17" s="68">
        <f t="shared" si="11"/>
        <v>124683650</v>
      </c>
      <c r="AB17" s="241">
        <f t="shared" si="12"/>
        <v>1.9999996236876299E-2</v>
      </c>
    </row>
    <row r="18" spans="1:28" ht="15.75" customHeight="1" thickBot="1" x14ac:dyDescent="0.3">
      <c r="A18" s="242" t="s">
        <v>61</v>
      </c>
      <c r="B18" s="242">
        <v>2</v>
      </c>
      <c r="C18" s="67">
        <v>4971250</v>
      </c>
      <c r="D18" s="70"/>
      <c r="E18" s="15" t="str">
        <f t="shared" si="0"/>
        <v/>
      </c>
      <c r="F18" s="70" t="str">
        <f t="shared" si="1"/>
        <v/>
      </c>
      <c r="G18" s="158" t="str">
        <f t="shared" ref="G18" si="16">IF($B18 = 1, I18-F18-H18, "")</f>
        <v/>
      </c>
      <c r="H18" s="68"/>
      <c r="I18" s="68" t="str">
        <f>IF($B18=1, 'OPERATING Performance Funding'!BI18+H18,"")</f>
        <v/>
      </c>
      <c r="J18" s="158" t="str">
        <f t="shared" si="14"/>
        <v/>
      </c>
      <c r="K18" s="130"/>
      <c r="L18" s="70">
        <f t="shared" si="2"/>
        <v>0</v>
      </c>
      <c r="M18" s="240">
        <f t="shared" si="3"/>
        <v>4971250</v>
      </c>
      <c r="N18" s="70">
        <v>0</v>
      </c>
      <c r="O18" s="68">
        <f t="shared" si="15"/>
        <v>4971250</v>
      </c>
      <c r="P18" s="241">
        <f t="shared" si="4"/>
        <v>0</v>
      </c>
      <c r="Q18" s="23"/>
      <c r="R18" s="70" t="str">
        <f t="shared" si="5"/>
        <v/>
      </c>
      <c r="S18" s="158" t="str">
        <f t="shared" si="6"/>
        <v/>
      </c>
      <c r="T18" s="68"/>
      <c r="U18" s="68" t="str">
        <f>IF($B18 = 1, 'OPERATING Performance Funding'!BI46 + T18, "")</f>
        <v/>
      </c>
      <c r="V18" s="158" t="str">
        <f>IF($B18 = 1, $E18+S18, "")</f>
        <v/>
      </c>
      <c r="W18" s="130" t="str">
        <f t="shared" si="8"/>
        <v/>
      </c>
      <c r="X18" s="70">
        <v>0</v>
      </c>
      <c r="Y18" s="240">
        <f t="shared" si="10"/>
        <v>4971250</v>
      </c>
      <c r="Z18" s="70">
        <v>0</v>
      </c>
      <c r="AA18" s="68">
        <f t="shared" si="11"/>
        <v>4971250</v>
      </c>
      <c r="AB18" s="241">
        <f t="shared" si="12"/>
        <v>0</v>
      </c>
    </row>
    <row r="19" spans="1:28" ht="15.75" customHeight="1" thickTop="1" x14ac:dyDescent="0.25">
      <c r="A19" s="243" t="s">
        <v>131</v>
      </c>
      <c r="B19" s="243"/>
      <c r="C19" s="244">
        <f t="shared" ref="C19:J19" si="17">SUM(C10:C18)</f>
        <v>535016888</v>
      </c>
      <c r="D19" s="245">
        <f t="shared" si="17"/>
        <v>0</v>
      </c>
      <c r="E19" s="246">
        <f t="shared" si="17"/>
        <v>407806765</v>
      </c>
      <c r="F19" s="245">
        <f t="shared" si="17"/>
        <v>0</v>
      </c>
      <c r="G19" s="247">
        <f t="shared" si="17"/>
        <v>0</v>
      </c>
      <c r="H19" s="247">
        <f t="shared" si="17"/>
        <v>0</v>
      </c>
      <c r="I19" s="248">
        <f t="shared" si="17"/>
        <v>0</v>
      </c>
      <c r="J19" s="247">
        <f t="shared" si="17"/>
        <v>0</v>
      </c>
      <c r="K19" s="249"/>
      <c r="L19" s="245">
        <f>SUM(L10:L18)</f>
        <v>0</v>
      </c>
      <c r="M19" s="246">
        <f>SUM(M10:M18)</f>
        <v>127210123</v>
      </c>
      <c r="N19" s="245">
        <f>SUM(N10:N18)</f>
        <v>0</v>
      </c>
      <c r="O19" s="248">
        <f>SUM(O10:O18)</f>
        <v>535016888</v>
      </c>
      <c r="P19" s="249">
        <f>(O19-$C19)/$C19</f>
        <v>0</v>
      </c>
      <c r="Q19" s="208"/>
      <c r="R19" s="245">
        <f>SUM(R10:R18)</f>
        <v>20961267</v>
      </c>
      <c r="S19" s="247">
        <f>SUM(S10:S18)</f>
        <v>10061080</v>
      </c>
      <c r="T19" s="247">
        <f>SUM(T10:T18)</f>
        <v>831120</v>
      </c>
      <c r="U19" s="248">
        <f>SUM(U10:U18)</f>
        <v>31853467</v>
      </c>
      <c r="V19" s="247">
        <f>SUM(V10:V18)</f>
        <v>418698965</v>
      </c>
      <c r="W19" s="249">
        <f>U19/V19</f>
        <v>7.6077252782318194E-2</v>
      </c>
      <c r="X19" s="245">
        <f>SUM(X10:X18)</f>
        <v>2444777</v>
      </c>
      <c r="Y19" s="246">
        <f>SUM(Y10:Y18)</f>
        <v>129654900</v>
      </c>
      <c r="Z19" s="245">
        <f>SUM(Z10:Z18)</f>
        <v>0</v>
      </c>
      <c r="AA19" s="248">
        <f>SUM(AA10:AA18)</f>
        <v>548353865</v>
      </c>
      <c r="AB19" s="249">
        <f>(AA19-$C19)/$C19</f>
        <v>2.492814208137669E-2</v>
      </c>
    </row>
    <row r="20" spans="1:28" x14ac:dyDescent="0.25">
      <c r="A20" s="250"/>
      <c r="B20" s="250"/>
      <c r="C20" s="251"/>
      <c r="D20" s="252"/>
      <c r="E20" s="253"/>
      <c r="F20" s="252"/>
      <c r="G20" s="254"/>
      <c r="H20" s="255"/>
      <c r="I20" s="255"/>
      <c r="J20" s="254"/>
      <c r="K20" s="256"/>
      <c r="L20" s="252"/>
      <c r="M20" s="257"/>
      <c r="N20" s="252"/>
      <c r="O20" s="255"/>
      <c r="P20" s="258"/>
      <c r="Q20" s="23"/>
      <c r="R20" s="252"/>
      <c r="S20" s="254"/>
      <c r="T20" s="255"/>
      <c r="U20" s="255"/>
      <c r="V20" s="254"/>
      <c r="W20" s="256"/>
      <c r="X20" s="252"/>
      <c r="Y20" s="257"/>
      <c r="Z20" s="252"/>
      <c r="AA20" s="255"/>
      <c r="AB20" s="258"/>
    </row>
    <row r="21" spans="1:28" x14ac:dyDescent="0.25">
      <c r="A21" s="242" t="s">
        <v>65</v>
      </c>
      <c r="B21" s="242">
        <v>1</v>
      </c>
      <c r="C21" s="67">
        <v>222755871</v>
      </c>
      <c r="D21" s="70">
        <v>17600000</v>
      </c>
      <c r="E21" s="15">
        <f>IF($B21 = 1, C21-D21, "")</f>
        <v>205155871</v>
      </c>
      <c r="F21" s="70">
        <f>IF($B21 = 1, ROUND(F$9*$E21, 0), "")</f>
        <v>0</v>
      </c>
      <c r="G21" s="158">
        <v>0</v>
      </c>
      <c r="H21" s="68">
        <v>0</v>
      </c>
      <c r="I21" s="68">
        <v>0</v>
      </c>
      <c r="J21" s="158">
        <v>0</v>
      </c>
      <c r="K21" s="130"/>
      <c r="L21" s="70" t="str">
        <f>IF($B21 = 2, ROUND(L$9*$C21, 0), "")</f>
        <v/>
      </c>
      <c r="M21" s="240" t="str">
        <f>IF($B21 = 2, $C21+L21, "")</f>
        <v/>
      </c>
      <c r="N21" s="70">
        <v>0</v>
      </c>
      <c r="O21" s="68">
        <f>C21</f>
        <v>222755871</v>
      </c>
      <c r="P21" s="241">
        <f>IF($C21 &gt; 0, (O21-$C21)/$C21, "")</f>
        <v>0</v>
      </c>
      <c r="Q21" s="23"/>
      <c r="R21" s="70">
        <f>IF($B21 = 1, ROUND(R$9*$E21, 0), "")</f>
        <v>10545012</v>
      </c>
      <c r="S21" s="158">
        <f>IF($B21 = 1, U21-R21-T21, "")</f>
        <v>-151643</v>
      </c>
      <c r="T21" s="68">
        <v>923467</v>
      </c>
      <c r="U21" s="68">
        <f>IF($B21 = 1, 'OPERATING Performance Funding'!BI47+T21, "")</f>
        <v>11316836</v>
      </c>
      <c r="V21" s="158">
        <f>IF($B21 = 1, $E21+S21+T21, "")</f>
        <v>205927695</v>
      </c>
      <c r="W21" s="130">
        <f>IF($B21 = 1, U21/V21, "")</f>
        <v>5.4955386161147486E-2</v>
      </c>
      <c r="X21" s="70" t="str">
        <f>IF($B21 = 2, ROUND(X$9*$C21, 0), "")</f>
        <v/>
      </c>
      <c r="Y21" s="240" t="str">
        <f>IF($B21 = 2, $C21+X21, "")</f>
        <v/>
      </c>
      <c r="Z21" s="70">
        <v>0</v>
      </c>
      <c r="AA21" s="68">
        <f>IF($B21 = 1, V21+$D21, IF($B21 = 2, Y21, 0))+Z21</f>
        <v>223527695</v>
      </c>
      <c r="AB21" s="241">
        <f>IF($C21 &gt; 0, (AA21-$C21)/$C21, "")</f>
        <v>3.4648873519477295E-3</v>
      </c>
    </row>
    <row r="22" spans="1:28" x14ac:dyDescent="0.25">
      <c r="A22" s="242" t="s">
        <v>66</v>
      </c>
      <c r="B22" s="242">
        <v>1</v>
      </c>
      <c r="C22" s="67">
        <v>46730203</v>
      </c>
      <c r="D22" s="70">
        <v>0</v>
      </c>
      <c r="E22" s="15">
        <f>IF($B22 = 1, C22-D22, "")</f>
        <v>46730203</v>
      </c>
      <c r="F22" s="70">
        <f>IF($B22 = 1, ROUND(F$9*$E22, 0), "")</f>
        <v>0</v>
      </c>
      <c r="G22" s="158">
        <v>0</v>
      </c>
      <c r="H22" s="68">
        <v>0</v>
      </c>
      <c r="I22" s="68">
        <v>0</v>
      </c>
      <c r="J22" s="158">
        <v>0</v>
      </c>
      <c r="K22" s="130"/>
      <c r="L22" s="70" t="str">
        <f>IF($B22 = 2, ROUND(L$9*$C22, 0), "")</f>
        <v/>
      </c>
      <c r="M22" s="240" t="str">
        <f>IF($B22 = 2, $C22+L22, "")</f>
        <v/>
      </c>
      <c r="N22" s="70">
        <v>0</v>
      </c>
      <c r="O22" s="68">
        <f t="shared" ref="O22:O24" si="18">C22</f>
        <v>46730203</v>
      </c>
      <c r="P22" s="241">
        <f>IF($C22 &gt; 0, (O22-$C22)/$C22, "")</f>
        <v>0</v>
      </c>
      <c r="Q22" s="23"/>
      <c r="R22" s="70">
        <f>IF($B22 = 1, ROUND(R$9*$E22, 0), "")</f>
        <v>2401932</v>
      </c>
      <c r="S22" s="158">
        <f>IF($B22 = 1, U22-R22-T22, "")</f>
        <v>1567361</v>
      </c>
      <c r="T22" s="68">
        <v>0</v>
      </c>
      <c r="U22" s="68">
        <f>IF($B22 = 1, 'OPERATING Performance Funding'!BI48+T22, "")</f>
        <v>3969293</v>
      </c>
      <c r="V22" s="158">
        <f>IF($B22 = 1, $E22+S22+T22, "")</f>
        <v>48297564</v>
      </c>
      <c r="W22" s="130">
        <f>IF($B22 = 1, U22/V22, "")</f>
        <v>8.2184124234505912E-2</v>
      </c>
      <c r="X22" s="70" t="str">
        <f>IF($B22 = 2, ROUND(X$9*$C22, 0), "")</f>
        <v/>
      </c>
      <c r="Y22" s="240" t="str">
        <f>IF($B22 = 2, $C22+X22, "")</f>
        <v/>
      </c>
      <c r="Z22" s="70">
        <v>0</v>
      </c>
      <c r="AA22" s="68">
        <f>IF($B22 = 1, V22+$D22, IF($B22 = 2, Y22, 0))+Z22</f>
        <v>48297564</v>
      </c>
      <c r="AB22" s="241">
        <f>IF($C22 &gt; 0, (AA22-$C22)/$C22, "")</f>
        <v>3.3540641798624329E-2</v>
      </c>
    </row>
    <row r="23" spans="1:28" ht="15.75" customHeight="1" x14ac:dyDescent="0.25">
      <c r="A23" s="242" t="s">
        <v>67</v>
      </c>
      <c r="B23" s="242">
        <v>2</v>
      </c>
      <c r="C23" s="67">
        <v>18056523</v>
      </c>
      <c r="D23" s="70"/>
      <c r="E23" s="15" t="str">
        <f>IF($B23 = 1, C23-D23, "")</f>
        <v/>
      </c>
      <c r="F23" s="70" t="str">
        <f>IF($B23 = 1, ROUND(F$9*$E23, 0), "")</f>
        <v/>
      </c>
      <c r="G23" s="158" t="str">
        <f>IF($B23 = 1, I23-F23-H23, "")</f>
        <v/>
      </c>
      <c r="H23" s="68"/>
      <c r="I23" s="68" t="str">
        <f>IF($B23 = 1, 'OPERATING Performance Funding'!BI22+H23,"")</f>
        <v/>
      </c>
      <c r="J23" s="158" t="str">
        <f>IF($B23 = 1, $E23+G23+H23, "")</f>
        <v/>
      </c>
      <c r="K23" s="130"/>
      <c r="L23" s="70">
        <f>IF($B23 = 2, ROUND(L$9*$C23, 0), "")</f>
        <v>0</v>
      </c>
      <c r="M23" s="240">
        <f>IF($B23 = 2, $C23+L23, "")</f>
        <v>18056523</v>
      </c>
      <c r="N23" s="70">
        <v>0</v>
      </c>
      <c r="O23" s="68">
        <f t="shared" si="18"/>
        <v>18056523</v>
      </c>
      <c r="P23" s="241">
        <f>IF($C23 &gt; 0, (O23-$C23)/$C23, "")</f>
        <v>0</v>
      </c>
      <c r="Q23" s="23"/>
      <c r="R23" s="70" t="str">
        <f>IF($B23 = 1, ROUND(R$9*$E23, 0), "")</f>
        <v/>
      </c>
      <c r="S23" s="158" t="str">
        <f>IF($B23 = 1, U23-R23-T23, "")</f>
        <v/>
      </c>
      <c r="T23" s="68"/>
      <c r="U23" s="68" t="str">
        <f>IF($B23 = 1, 'OPERATING Performance Funding'!BI50+T23, "")</f>
        <v/>
      </c>
      <c r="V23" s="158" t="str">
        <f>IF($B23 = 1, $E23+S23+T23, "")</f>
        <v/>
      </c>
      <c r="W23" s="130" t="str">
        <f>IF($B23 = 1, U23/V23, "")</f>
        <v/>
      </c>
      <c r="X23" s="70">
        <f>IF($B23 = 2, ROUND(X$9*$C23, 0), "")</f>
        <v>361130</v>
      </c>
      <c r="Y23" s="240">
        <f>IF($B23 = 2, $C23+X23, "")</f>
        <v>18417653</v>
      </c>
      <c r="Z23" s="70">
        <v>0</v>
      </c>
      <c r="AA23" s="68">
        <f>IF($B23 = 1, V23+$D23, IF($B23 = 2, Y23, 0))+Z23</f>
        <v>18417653</v>
      </c>
      <c r="AB23" s="241">
        <f>IF($C23 &gt; 0, (AA23-$C23)/$C23, "")</f>
        <v>1.9999974524441941E-2</v>
      </c>
    </row>
    <row r="24" spans="1:28" ht="15.75" customHeight="1" thickBot="1" x14ac:dyDescent="0.3">
      <c r="A24" s="242" t="s">
        <v>68</v>
      </c>
      <c r="B24" s="242">
        <v>1</v>
      </c>
      <c r="C24" s="67">
        <v>43460880</v>
      </c>
      <c r="D24" s="70">
        <v>0</v>
      </c>
      <c r="E24" s="15">
        <f>IF($B24 = 1, C24-D24, "")</f>
        <v>43460880</v>
      </c>
      <c r="F24" s="70">
        <f>IF($B24 = 1, ROUND(F$9*$E24, 0), "")</f>
        <v>0</v>
      </c>
      <c r="G24" s="158">
        <v>0</v>
      </c>
      <c r="H24" s="68">
        <v>0</v>
      </c>
      <c r="I24" s="68">
        <v>0</v>
      </c>
      <c r="J24" s="158">
        <v>0</v>
      </c>
      <c r="K24" s="130"/>
      <c r="L24" s="70" t="str">
        <f>IF($B24 = 2, ROUND(L$9*$C24, 0), "")</f>
        <v/>
      </c>
      <c r="M24" s="240" t="str">
        <f>IF($B24 = 2, $C24+L24, "")</f>
        <v/>
      </c>
      <c r="N24" s="70">
        <v>0</v>
      </c>
      <c r="O24" s="68">
        <f t="shared" si="18"/>
        <v>43460880</v>
      </c>
      <c r="P24" s="241">
        <f>IF($C24 &gt; 0, (O24-$C24)/$C24, "")</f>
        <v>0</v>
      </c>
      <c r="Q24" s="23"/>
      <c r="R24" s="70">
        <f>IF($B24 = 1, ROUND(R$9*$E24, 0), "")</f>
        <v>2233889</v>
      </c>
      <c r="S24" s="158">
        <f>IF($B24 = 1, U24-R24-T24, "")</f>
        <v>1395536</v>
      </c>
      <c r="T24" s="68">
        <v>0</v>
      </c>
      <c r="U24" s="68">
        <f>IF($B24 = 1, 'OPERATING Performance Funding'!BI49+T24, "")</f>
        <v>3629425</v>
      </c>
      <c r="V24" s="158">
        <f>IF($B24 = 1, $E24+S24+T24, "")</f>
        <v>44856416</v>
      </c>
      <c r="W24" s="130">
        <f>IF($B24 = 1, U24/V24, "")</f>
        <v>8.0912059492225144E-2</v>
      </c>
      <c r="X24" s="70" t="str">
        <f>IF($B24 = 2, ROUND(X$9*$C24, 0), "")</f>
        <v/>
      </c>
      <c r="Y24" s="240" t="str">
        <f>IF($B24 = 2, $C24+X24, "")</f>
        <v/>
      </c>
      <c r="Z24" s="70">
        <v>0</v>
      </c>
      <c r="AA24" s="68">
        <f>IF($B24 = 1, V24+$D24, IF($B24 = 2, Y24, 0))+Z24</f>
        <v>44856416</v>
      </c>
      <c r="AB24" s="241">
        <f>IF($C24 &gt; 0, (AA24-$C24)/$C24, "")</f>
        <v>3.2110164359304277E-2</v>
      </c>
    </row>
    <row r="25" spans="1:28" ht="15.75" customHeight="1" thickTop="1" x14ac:dyDescent="0.25">
      <c r="A25" s="243" t="s">
        <v>132</v>
      </c>
      <c r="B25" s="243"/>
      <c r="C25" s="244">
        <f t="shared" ref="C25:J25" si="19">SUM(C21:C24)</f>
        <v>331003477</v>
      </c>
      <c r="D25" s="245">
        <f t="shared" si="19"/>
        <v>17600000</v>
      </c>
      <c r="E25" s="248">
        <f t="shared" si="19"/>
        <v>295346954</v>
      </c>
      <c r="F25" s="245">
        <f t="shared" si="19"/>
        <v>0</v>
      </c>
      <c r="G25" s="247">
        <f t="shared" si="19"/>
        <v>0</v>
      </c>
      <c r="H25" s="247">
        <f t="shared" si="19"/>
        <v>0</v>
      </c>
      <c r="I25" s="248">
        <f t="shared" si="19"/>
        <v>0</v>
      </c>
      <c r="J25" s="247">
        <f t="shared" si="19"/>
        <v>0</v>
      </c>
      <c r="K25" s="249"/>
      <c r="L25" s="245">
        <f>SUM(L21:L24)</f>
        <v>0</v>
      </c>
      <c r="M25" s="246">
        <f>SUM(M21:M24)</f>
        <v>18056523</v>
      </c>
      <c r="N25" s="245">
        <f>SUM(N21:N24)</f>
        <v>0</v>
      </c>
      <c r="O25" s="248">
        <f>SUM(O21:O24)</f>
        <v>331003477</v>
      </c>
      <c r="P25" s="249">
        <f>(O25-$C25)/$C25</f>
        <v>0</v>
      </c>
      <c r="Q25" s="208"/>
      <c r="R25" s="245">
        <f>SUM(R21:R24)</f>
        <v>15180833</v>
      </c>
      <c r="S25" s="247">
        <f>SUM(S21:S24)</f>
        <v>2811254</v>
      </c>
      <c r="T25" s="247">
        <f>SUM(T21:T24)</f>
        <v>923467</v>
      </c>
      <c r="U25" s="248">
        <f>SUM(U21:U24)</f>
        <v>18915554</v>
      </c>
      <c r="V25" s="247">
        <f>SUM(V21:V24)</f>
        <v>299081675</v>
      </c>
      <c r="W25" s="249">
        <f>U25/V25</f>
        <v>6.324544624808591E-2</v>
      </c>
      <c r="X25" s="245">
        <f>SUM(X21:X24)</f>
        <v>361130</v>
      </c>
      <c r="Y25" s="246">
        <f>SUM(Y21:Y24)</f>
        <v>18417653</v>
      </c>
      <c r="Z25" s="245">
        <f>SUM(Z21:Z24)</f>
        <v>0</v>
      </c>
      <c r="AA25" s="248">
        <f>SUM(AA21:AA24)</f>
        <v>335099328</v>
      </c>
      <c r="AB25" s="249">
        <f>(AA25-$C25)/$C25</f>
        <v>1.2374042221919016E-2</v>
      </c>
    </row>
    <row r="26" spans="1:28" x14ac:dyDescent="0.25">
      <c r="A26" s="250"/>
      <c r="B26" s="250"/>
      <c r="C26" s="251"/>
      <c r="D26" s="252"/>
      <c r="E26" s="253"/>
      <c r="F26" s="252"/>
      <c r="G26" s="254"/>
      <c r="H26" s="255"/>
      <c r="I26" s="255"/>
      <c r="J26" s="254"/>
      <c r="K26" s="256"/>
      <c r="L26" s="252"/>
      <c r="M26" s="257"/>
      <c r="N26" s="252"/>
      <c r="O26" s="255"/>
      <c r="P26" s="258"/>
      <c r="Q26" s="23"/>
      <c r="R26" s="252"/>
      <c r="S26" s="254"/>
      <c r="T26" s="255"/>
      <c r="U26" s="255"/>
      <c r="V26" s="254"/>
      <c r="W26" s="256"/>
      <c r="X26" s="252"/>
      <c r="Y26" s="257"/>
      <c r="Z26" s="252"/>
      <c r="AA26" s="255"/>
      <c r="AB26" s="258"/>
    </row>
    <row r="27" spans="1:28" x14ac:dyDescent="0.25">
      <c r="A27" s="242" t="s">
        <v>71</v>
      </c>
      <c r="B27" s="242">
        <v>1</v>
      </c>
      <c r="C27" s="67">
        <v>134408873</v>
      </c>
      <c r="D27" s="70">
        <v>0</v>
      </c>
      <c r="E27" s="15">
        <f>IF($B27 = 1, C27-D27, "")</f>
        <v>134408873</v>
      </c>
      <c r="F27" s="70">
        <f>IF($B27 = 1, ROUND(F$9*$E27, 0), "")</f>
        <v>0</v>
      </c>
      <c r="G27" s="158">
        <v>0</v>
      </c>
      <c r="H27" s="68">
        <v>0</v>
      </c>
      <c r="I27" s="68">
        <v>0</v>
      </c>
      <c r="J27" s="158">
        <v>0</v>
      </c>
      <c r="K27" s="130"/>
      <c r="L27" s="70" t="str">
        <f>IF($B27 = 2, ROUND(L$9*$C27, 0), "")</f>
        <v/>
      </c>
      <c r="M27" s="240" t="str">
        <f>IF($B27 = 2, $C27+L27, "")</f>
        <v/>
      </c>
      <c r="N27" s="70">
        <v>0</v>
      </c>
      <c r="O27" s="68">
        <f>C27</f>
        <v>134408873</v>
      </c>
      <c r="P27" s="241">
        <f>IF($C27 &gt; 0, (O27-$C27)/$C27, "")</f>
        <v>0</v>
      </c>
      <c r="Q27" s="23"/>
      <c r="R27" s="70">
        <f>IF($B27 = 1, ROUND(R$9*$E27, 0), "")</f>
        <v>6908616</v>
      </c>
      <c r="S27" s="158">
        <f>IF($B27 = 1, U27-R27-T27, "")</f>
        <v>-1397922</v>
      </c>
      <c r="T27" s="68">
        <v>0</v>
      </c>
      <c r="U27" s="68">
        <f>IF($B27 = 1, 'OPERATING Performance Funding'!BI52 + T27, "")</f>
        <v>5510694</v>
      </c>
      <c r="V27" s="158">
        <f>IF($B27 = 1, $E27+S27+T27, "")</f>
        <v>133010951</v>
      </c>
      <c r="W27" s="130">
        <f>IF($B27 = 1, U27/V27, "")</f>
        <v>4.1430378164877567E-2</v>
      </c>
      <c r="X27" s="70" t="str">
        <f>IF($B27 = 2, ROUND(X$9*$C27, 0), "")</f>
        <v/>
      </c>
      <c r="Y27" s="240" t="str">
        <f>IF($B27 = 2, $C27+X27, "")</f>
        <v/>
      </c>
      <c r="Z27" s="70">
        <v>0</v>
      </c>
      <c r="AA27" s="68">
        <f>IF($B27 = 1, V27+$D27, IF($B27 = 2, Y27, 0))+Z27</f>
        <v>133010951</v>
      </c>
      <c r="AB27" s="241">
        <f>IF($C27 &gt; 0, (AA27-$C27)/$C27, "")</f>
        <v>-1.0400518721706713E-2</v>
      </c>
    </row>
    <row r="28" spans="1:28" x14ac:dyDescent="0.25">
      <c r="A28" s="242" t="s">
        <v>72</v>
      </c>
      <c r="B28" s="242">
        <v>1</v>
      </c>
      <c r="C28" s="67">
        <v>72063968</v>
      </c>
      <c r="D28" s="70">
        <v>0</v>
      </c>
      <c r="E28" s="15">
        <f>IF($B28 = 1, C28-D28, "")</f>
        <v>72063968</v>
      </c>
      <c r="F28" s="70">
        <f>IF($B28 = 1, ROUND(F$9*$E28, 0), "")</f>
        <v>0</v>
      </c>
      <c r="G28" s="158">
        <v>0</v>
      </c>
      <c r="H28" s="68">
        <v>0</v>
      </c>
      <c r="I28" s="68">
        <v>0</v>
      </c>
      <c r="J28" s="158">
        <v>0</v>
      </c>
      <c r="K28" s="130"/>
      <c r="L28" s="70" t="str">
        <f>IF($B28 = 2, ROUND(L$9*$C28, 0), "")</f>
        <v/>
      </c>
      <c r="M28" s="240" t="str">
        <f>IF($B28 = 2, $C28+L28, "")</f>
        <v/>
      </c>
      <c r="N28" s="70">
        <v>0</v>
      </c>
      <c r="O28" s="68">
        <f t="shared" ref="O28:O31" si="20">C28</f>
        <v>72063968</v>
      </c>
      <c r="P28" s="241">
        <f>IF($C28 &gt; 0, (O28-$C28)/$C28, "")</f>
        <v>0</v>
      </c>
      <c r="Q28" s="23"/>
      <c r="R28" s="70">
        <f>IF($B28 = 1, ROUND(R$9*$E28, 0), "")</f>
        <v>3704088</v>
      </c>
      <c r="S28" s="158">
        <f>IF($B28 = 1, U28-R28-T28, "")</f>
        <v>2434983</v>
      </c>
      <c r="T28" s="68">
        <v>0</v>
      </c>
      <c r="U28" s="68">
        <f>IF($B28 = 1, 'OPERATING Performance Funding'!BI53 + T28, "")</f>
        <v>6139071</v>
      </c>
      <c r="V28" s="158">
        <f>IF($B28 = 1, $E28+S28+T28, "")</f>
        <v>74498951</v>
      </c>
      <c r="W28" s="130">
        <f>IF($B28 = 1, U28/V28, "")</f>
        <v>8.2404797887691061E-2</v>
      </c>
      <c r="X28" s="70" t="str">
        <f>IF($B28 = 2, ROUND(X$9*$C28, 0), "")</f>
        <v/>
      </c>
      <c r="Y28" s="240" t="str">
        <f>IF($B28 = 2, $C28+X28, "")</f>
        <v/>
      </c>
      <c r="Z28" s="70">
        <v>0</v>
      </c>
      <c r="AA28" s="68">
        <f>IF($B28 = 1, V28+$D28, IF($B28 = 2, Y28, 0))+Z28</f>
        <v>74498951</v>
      </c>
      <c r="AB28" s="241">
        <f>IF($C28 &gt; 0, (AA28-$C28)/$C28, "")</f>
        <v>3.3789188516513552E-2</v>
      </c>
    </row>
    <row r="29" spans="1:28" x14ac:dyDescent="0.25">
      <c r="A29" s="242" t="s">
        <v>73</v>
      </c>
      <c r="B29" s="242">
        <v>1</v>
      </c>
      <c r="C29" s="67">
        <v>48210149</v>
      </c>
      <c r="D29" s="70">
        <v>0</v>
      </c>
      <c r="E29" s="15">
        <f>IF($B29 = 1, C29-D29, "")</f>
        <v>48210149</v>
      </c>
      <c r="F29" s="70">
        <f>IF($B29 = 1, ROUND(F$9*$E29, 0), "")</f>
        <v>0</v>
      </c>
      <c r="G29" s="158">
        <v>0</v>
      </c>
      <c r="H29" s="68">
        <v>0</v>
      </c>
      <c r="I29" s="68">
        <v>0</v>
      </c>
      <c r="J29" s="158">
        <v>0</v>
      </c>
      <c r="K29" s="130"/>
      <c r="L29" s="70" t="str">
        <f>IF($B29 = 2, ROUND(L$9*$C29, 0), "")</f>
        <v/>
      </c>
      <c r="M29" s="240" t="str">
        <f>IF($B29 = 2, $C29+L29, "")</f>
        <v/>
      </c>
      <c r="N29" s="70">
        <v>0</v>
      </c>
      <c r="O29" s="68">
        <f t="shared" si="20"/>
        <v>48210149</v>
      </c>
      <c r="P29" s="241">
        <f>IF($C29 &gt; 0, (O29-$C29)/$C29, "")</f>
        <v>0</v>
      </c>
      <c r="Q29" s="23"/>
      <c r="R29" s="70">
        <f>IF($B29 = 1, ROUND(R$9*$E29, 0), "")</f>
        <v>2478002</v>
      </c>
      <c r="S29" s="158">
        <f>IF($B29 = 1, U29-R29-T29, "")</f>
        <v>2827874</v>
      </c>
      <c r="T29" s="68">
        <v>0</v>
      </c>
      <c r="U29" s="68">
        <f>IF($B29 = 1, 'OPERATING Performance Funding'!BI54 + T29, "")</f>
        <v>5305876</v>
      </c>
      <c r="V29" s="158">
        <f>IF($B29 = 1, $E29+S29+T29, "")</f>
        <v>51038023</v>
      </c>
      <c r="W29" s="130">
        <f>IF($B29 = 1, U29/V29, "")</f>
        <v>0.10395927757624938</v>
      </c>
      <c r="X29" s="70" t="str">
        <f>IF($B29 = 2, ROUND(X$9*$C29, 0), "")</f>
        <v/>
      </c>
      <c r="Y29" s="240" t="str">
        <f>IF($B29 = 2, $C29+X29, "")</f>
        <v/>
      </c>
      <c r="Z29" s="70">
        <v>0</v>
      </c>
      <c r="AA29" s="68">
        <f>IF($B29 = 1, V29+$D29, IF($B29 = 2, Y29, 0))+Z29</f>
        <v>51038023</v>
      </c>
      <c r="AB29" s="241">
        <f>IF($C29 &gt; 0, (AA29-$C29)/$C29, "")</f>
        <v>5.8657234185274972E-2</v>
      </c>
    </row>
    <row r="30" spans="1:28" x14ac:dyDescent="0.25">
      <c r="A30" s="242" t="s">
        <v>74</v>
      </c>
      <c r="B30" s="242">
        <v>1</v>
      </c>
      <c r="C30" s="67">
        <v>43561521</v>
      </c>
      <c r="D30" s="70">
        <v>0</v>
      </c>
      <c r="E30" s="15">
        <f>IF($B30 = 1, C30-D30, "")</f>
        <v>43561521</v>
      </c>
      <c r="F30" s="70">
        <f>IF($B30 = 1, ROUND(F$9*$E30, 0), "")</f>
        <v>0</v>
      </c>
      <c r="G30" s="158">
        <v>0</v>
      </c>
      <c r="H30" s="68">
        <v>0</v>
      </c>
      <c r="I30" s="68">
        <v>0</v>
      </c>
      <c r="J30" s="158">
        <v>0</v>
      </c>
      <c r="K30" s="130"/>
      <c r="L30" s="70" t="str">
        <f>IF($B30 = 2, ROUND(L$9*$C30, 0), "")</f>
        <v/>
      </c>
      <c r="M30" s="240" t="str">
        <f>IF($B30 = 2, $C30+L30, "")</f>
        <v/>
      </c>
      <c r="N30" s="70">
        <v>0</v>
      </c>
      <c r="O30" s="68">
        <f t="shared" si="20"/>
        <v>43561521</v>
      </c>
      <c r="P30" s="241">
        <f>IF($C30 &gt; 0, (O30-$C30)/$C30, "")</f>
        <v>0</v>
      </c>
      <c r="Q30" s="23"/>
      <c r="R30" s="70">
        <f>IF($B30 = 1, ROUND(R$9*$E30, 0), "")</f>
        <v>2239062</v>
      </c>
      <c r="S30" s="158">
        <f>IF($B30 = 1, U30-R30-T30, "")</f>
        <v>913854</v>
      </c>
      <c r="T30" s="68">
        <v>0</v>
      </c>
      <c r="U30" s="68">
        <f>IF($B30 = 1, 'OPERATING Performance Funding'!BI55 + T30, "")</f>
        <v>3152916</v>
      </c>
      <c r="V30" s="158">
        <f>IF($B30 = 1, $E30+S30+T30, "")</f>
        <v>44475375</v>
      </c>
      <c r="W30" s="130">
        <f>IF($B30 = 1, U30/V30, "")</f>
        <v>7.0891274103928301E-2</v>
      </c>
      <c r="X30" s="70" t="str">
        <f>IF($B30 = 2, ROUND(X$9*$C30, 0), "")</f>
        <v/>
      </c>
      <c r="Y30" s="240" t="str">
        <f>IF($B30 = 2, $C30+X30, "")</f>
        <v/>
      </c>
      <c r="Z30" s="70">
        <v>0</v>
      </c>
      <c r="AA30" s="68">
        <f>IF($B30 = 1, V30+$D30, IF($B30 = 2, Y30, 0))+Z30</f>
        <v>44475375</v>
      </c>
      <c r="AB30" s="241">
        <f>IF($C30 &gt; 0, (AA30-$C30)/$C30, "")</f>
        <v>2.0978468589285485E-2</v>
      </c>
    </row>
    <row r="31" spans="1:28" ht="15.75" customHeight="1" thickBot="1" x14ac:dyDescent="0.3">
      <c r="A31" s="242" t="s">
        <v>75</v>
      </c>
      <c r="B31" s="242">
        <v>1</v>
      </c>
      <c r="C31" s="67">
        <v>229890923</v>
      </c>
      <c r="D31" s="70">
        <v>0</v>
      </c>
      <c r="E31" s="15">
        <f>IF($B31 = 1, C31-D31, "")</f>
        <v>229890923</v>
      </c>
      <c r="F31" s="70">
        <f>IF($B31 = 1, ROUND(F$9*$E31, 0), "")</f>
        <v>0</v>
      </c>
      <c r="G31" s="158">
        <v>0</v>
      </c>
      <c r="H31" s="68">
        <v>0</v>
      </c>
      <c r="I31" s="68">
        <v>0</v>
      </c>
      <c r="J31" s="158">
        <v>0</v>
      </c>
      <c r="K31" s="130"/>
      <c r="L31" s="70" t="str">
        <f>IF($B31 = 2, ROUND(L$9*$C31, 0), "")</f>
        <v/>
      </c>
      <c r="M31" s="240" t="str">
        <f>IF($B31 = 2, $C31+L31, "")</f>
        <v/>
      </c>
      <c r="N31" s="70">
        <v>0</v>
      </c>
      <c r="O31" s="68">
        <f t="shared" si="20"/>
        <v>229890923</v>
      </c>
      <c r="P31" s="241">
        <f>IF($C31 &gt; 0, (O31-$C31)/$C31, "")</f>
        <v>0</v>
      </c>
      <c r="Q31" s="23"/>
      <c r="R31" s="70">
        <f>IF($B31 = 1, ROUND(R$9*$E31, 0), "")</f>
        <v>11816393</v>
      </c>
      <c r="S31" s="158">
        <f>IF($B31 = 1, U31-R31-T31, "")</f>
        <v>5219445</v>
      </c>
      <c r="T31" s="68">
        <v>0</v>
      </c>
      <c r="U31" s="68">
        <f>IF($B31 = 1, 'OPERATING Performance Funding'!BI56 + T31, "")</f>
        <v>17035838</v>
      </c>
      <c r="V31" s="158">
        <f>IF($B31 = 1, $E31+S31+T31, "")</f>
        <v>235110368</v>
      </c>
      <c r="W31" s="130">
        <f>IF($B31 = 1, U31/V31, "")</f>
        <v>7.2458897261391722E-2</v>
      </c>
      <c r="X31" s="70" t="str">
        <f>IF($B31 = 2, ROUND(X$9*$C31, 0), "")</f>
        <v/>
      </c>
      <c r="Y31" s="240" t="str">
        <f>IF($B31 = 2, $C31+X31, "")</f>
        <v/>
      </c>
      <c r="Z31" s="70">
        <v>0</v>
      </c>
      <c r="AA31" s="68">
        <f>IF($B31 = 1, V31+$D31, IF($B31 = 2, Y31, 0))+Z31</f>
        <v>235110368</v>
      </c>
      <c r="AB31" s="241">
        <f>IF($C31 &gt; 0, (AA31-$C31)/$C31, "")</f>
        <v>2.2704006456140072E-2</v>
      </c>
    </row>
    <row r="32" spans="1:28" ht="15.75" customHeight="1" thickBot="1" x14ac:dyDescent="0.3">
      <c r="A32" s="259" t="s">
        <v>46</v>
      </c>
      <c r="B32" s="260"/>
      <c r="C32" s="261">
        <f t="shared" ref="C32:J32" si="21">SUM(C19,C25,C27:C31)</f>
        <v>1394155799</v>
      </c>
      <c r="D32" s="99">
        <f t="shared" si="21"/>
        <v>17600000</v>
      </c>
      <c r="E32" s="262">
        <f t="shared" si="21"/>
        <v>1231289153</v>
      </c>
      <c r="F32" s="99">
        <f t="shared" si="21"/>
        <v>0</v>
      </c>
      <c r="G32" s="263">
        <f t="shared" si="21"/>
        <v>0</v>
      </c>
      <c r="H32" s="263">
        <f t="shared" si="21"/>
        <v>0</v>
      </c>
      <c r="I32" s="264">
        <f t="shared" si="21"/>
        <v>0</v>
      </c>
      <c r="J32" s="263">
        <f t="shared" si="21"/>
        <v>0</v>
      </c>
      <c r="K32" s="265"/>
      <c r="L32" s="99">
        <f>SUM(L19,L25,L27:L31)</f>
        <v>0</v>
      </c>
      <c r="M32" s="266">
        <f>SUM(M19,M25,M27:M31)</f>
        <v>145266646</v>
      </c>
      <c r="N32" s="99">
        <f>SUM(N19,N25,N27:N31)</f>
        <v>0</v>
      </c>
      <c r="O32" s="264">
        <f>SUM(O19,O25,O27:O31)</f>
        <v>1394155799</v>
      </c>
      <c r="P32" s="265">
        <f>(O32-$C32)/$C32</f>
        <v>0</v>
      </c>
      <c r="Q32" s="95"/>
      <c r="R32" s="99">
        <f>SUM(R19,R25,R27:R31)</f>
        <v>63288261</v>
      </c>
      <c r="S32" s="263">
        <f>SUM(S19,S25,S27:S31)</f>
        <v>22870568</v>
      </c>
      <c r="T32" s="263">
        <f>SUM(T19,T25,T27:T31)</f>
        <v>1754587</v>
      </c>
      <c r="U32" s="264">
        <f>SUM(U19,U25,U27:U31)</f>
        <v>87913416</v>
      </c>
      <c r="V32" s="263">
        <f>SUM(V19,V25,V27:V31)</f>
        <v>1255914308</v>
      </c>
      <c r="W32" s="265">
        <f>U32/V32</f>
        <v>6.9999533757999041E-2</v>
      </c>
      <c r="X32" s="99">
        <f>SUM(X19,X25,X27:X31)</f>
        <v>2805907</v>
      </c>
      <c r="Y32" s="266">
        <f>SUM(Y19,Y25,Y27:Y31)</f>
        <v>148072553</v>
      </c>
      <c r="Z32" s="99">
        <f>SUM(Z19,Z25,Z27:Z31)</f>
        <v>0</v>
      </c>
      <c r="AA32" s="264">
        <f>SUM(AA19,AA25,AA27:AA31)</f>
        <v>1421586861</v>
      </c>
      <c r="AB32" s="265">
        <f>(AA32-$C32)/$C32</f>
        <v>1.9675750744411601E-2</v>
      </c>
    </row>
    <row r="34" spans="1:1" ht="15.75" customHeight="1" x14ac:dyDescent="0.25">
      <c r="A34" s="17"/>
    </row>
  </sheetData>
  <mergeCells count="29">
    <mergeCell ref="A6:A9"/>
    <mergeCell ref="L7:M7"/>
    <mergeCell ref="C6:C9"/>
    <mergeCell ref="G8:G9"/>
    <mergeCell ref="J8:J9"/>
    <mergeCell ref="M8:M9"/>
    <mergeCell ref="F6:P6"/>
    <mergeCell ref="K8:K9"/>
    <mergeCell ref="F7:K7"/>
    <mergeCell ref="I8:I9"/>
    <mergeCell ref="D6:E7"/>
    <mergeCell ref="D8:D9"/>
    <mergeCell ref="E8:E9"/>
    <mergeCell ref="N7:N9"/>
    <mergeCell ref="H8:H9"/>
    <mergeCell ref="R6:AB6"/>
    <mergeCell ref="AB7:AB9"/>
    <mergeCell ref="P7:P9"/>
    <mergeCell ref="O7:O9"/>
    <mergeCell ref="Z7:Z9"/>
    <mergeCell ref="U8:U9"/>
    <mergeCell ref="V8:V9"/>
    <mergeCell ref="R7:W7"/>
    <mergeCell ref="X7:Y7"/>
    <mergeCell ref="AA7:AA9"/>
    <mergeCell ref="W8:W9"/>
    <mergeCell ref="Y8:Y9"/>
    <mergeCell ref="S8:S9"/>
    <mergeCell ref="T8:T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8"/>
  <sheetViews>
    <sheetView zoomScale="80" zoomScaleNormal="80" workbookViewId="0">
      <selection activeCell="F12" sqref="F12"/>
    </sheetView>
  </sheetViews>
  <sheetFormatPr defaultRowHeight="15" x14ac:dyDescent="0.25"/>
  <cols>
    <col min="1" max="1" width="45.140625" style="1" bestFit="1" customWidth="1"/>
    <col min="2" max="3" width="16.5703125" style="15" customWidth="1"/>
    <col min="4" max="4" width="8.5703125" style="16" customWidth="1"/>
    <col min="5" max="5" width="3.28515625" style="1" customWidth="1"/>
    <col min="6" max="6" width="16.5703125" style="15" customWidth="1"/>
    <col min="7" max="7" width="20.42578125" style="16" customWidth="1"/>
  </cols>
  <sheetData>
    <row r="1" spans="1:7" ht="15.75" customHeight="1" x14ac:dyDescent="0.25">
      <c r="A1" s="14" t="s">
        <v>154</v>
      </c>
    </row>
    <row r="2" spans="1:7" ht="15.75" customHeight="1" x14ac:dyDescent="0.25">
      <c r="A2" s="17" t="s">
        <v>31</v>
      </c>
    </row>
    <row r="3" spans="1:7" ht="15.75" customHeight="1" x14ac:dyDescent="0.25">
      <c r="A3" s="17"/>
    </row>
    <row r="4" spans="1:7" x14ac:dyDescent="0.25">
      <c r="A4" s="18" t="s">
        <v>155</v>
      </c>
    </row>
    <row r="5" spans="1:7" ht="15.75" customHeight="1" thickBot="1" x14ac:dyDescent="0.3"/>
    <row r="6" spans="1:7" ht="15.75" customHeight="1" thickBot="1" x14ac:dyDescent="0.3">
      <c r="A6" s="404"/>
      <c r="B6" s="398" t="s">
        <v>156</v>
      </c>
      <c r="C6" s="600" t="s">
        <v>3</v>
      </c>
      <c r="D6" s="407"/>
      <c r="E6" s="19"/>
      <c r="F6" s="600" t="s">
        <v>4</v>
      </c>
      <c r="G6" s="407"/>
    </row>
    <row r="7" spans="1:7" ht="49.5" customHeight="1" thickBot="1" x14ac:dyDescent="0.3">
      <c r="A7" s="593"/>
      <c r="B7" s="403"/>
      <c r="C7" s="20" t="s">
        <v>34</v>
      </c>
      <c r="D7" s="22" t="s">
        <v>141</v>
      </c>
      <c r="E7" s="23"/>
      <c r="F7" s="20" t="s">
        <v>34</v>
      </c>
      <c r="G7" s="22" t="s">
        <v>143</v>
      </c>
    </row>
    <row r="8" spans="1:7" ht="16.5" customHeight="1" x14ac:dyDescent="0.25">
      <c r="A8" s="238" t="s">
        <v>157</v>
      </c>
      <c r="B8" s="239">
        <v>105712799</v>
      </c>
      <c r="C8" s="68">
        <v>105712799</v>
      </c>
      <c r="D8" s="159">
        <f t="shared" ref="D8:D16" si="0">(C8-$B8)/$B8</f>
        <v>0</v>
      </c>
      <c r="E8" s="23"/>
      <c r="F8" s="68">
        <v>107827053</v>
      </c>
      <c r="G8" s="159">
        <f t="shared" ref="G8:G16" si="1">(F8-$B8)/$B8</f>
        <v>1.9999981270006861E-2</v>
      </c>
    </row>
    <row r="9" spans="1:7" x14ac:dyDescent="0.25">
      <c r="A9" s="242" t="s">
        <v>158</v>
      </c>
      <c r="B9" s="67">
        <v>2300988</v>
      </c>
      <c r="C9" s="68">
        <v>2300988</v>
      </c>
      <c r="D9" s="159">
        <f t="shared" si="0"/>
        <v>0</v>
      </c>
      <c r="E9" s="23"/>
      <c r="F9" s="68">
        <v>2347008</v>
      </c>
      <c r="G9" s="159">
        <f t="shared" si="1"/>
        <v>2.0000104303021137E-2</v>
      </c>
    </row>
    <row r="10" spans="1:7" ht="16.5" customHeight="1" x14ac:dyDescent="0.25">
      <c r="A10" s="242" t="s">
        <v>159</v>
      </c>
      <c r="B10" s="67">
        <v>2068129</v>
      </c>
      <c r="C10" s="68">
        <v>2068129</v>
      </c>
      <c r="D10" s="159">
        <f t="shared" si="0"/>
        <v>0</v>
      </c>
      <c r="E10" s="23"/>
      <c r="F10" s="68">
        <v>2109492</v>
      </c>
      <c r="G10" s="159">
        <f t="shared" si="1"/>
        <v>2.000020308210948E-2</v>
      </c>
    </row>
    <row r="11" spans="1:7" ht="16.5" customHeight="1" x14ac:dyDescent="0.25">
      <c r="A11" s="242" t="s">
        <v>160</v>
      </c>
      <c r="B11" s="67">
        <v>2766537</v>
      </c>
      <c r="C11" s="68">
        <v>2766537</v>
      </c>
      <c r="D11" s="159">
        <f t="shared" si="0"/>
        <v>0</v>
      </c>
      <c r="E11" s="23"/>
      <c r="F11" s="68">
        <v>2821868</v>
      </c>
      <c r="G11" s="159">
        <f t="shared" si="1"/>
        <v>2.0000093980308234E-2</v>
      </c>
    </row>
    <row r="12" spans="1:7" ht="16.5" customHeight="1" x14ac:dyDescent="0.25">
      <c r="A12" s="242" t="s">
        <v>161</v>
      </c>
      <c r="B12" s="67">
        <v>2500983</v>
      </c>
      <c r="C12" s="68">
        <v>2500983</v>
      </c>
      <c r="D12" s="159">
        <f t="shared" si="0"/>
        <v>0</v>
      </c>
      <c r="E12" s="23"/>
      <c r="F12" s="68">
        <v>2551003</v>
      </c>
      <c r="G12" s="159">
        <f t="shared" si="1"/>
        <v>2.000013594654582E-2</v>
      </c>
    </row>
    <row r="13" spans="1:7" ht="16.5" customHeight="1" x14ac:dyDescent="0.25">
      <c r="A13" s="242" t="s">
        <v>162</v>
      </c>
      <c r="B13" s="67">
        <v>2513302</v>
      </c>
      <c r="C13" s="68">
        <v>2513302</v>
      </c>
      <c r="D13" s="159">
        <f t="shared" si="0"/>
        <v>0</v>
      </c>
      <c r="E13" s="23"/>
      <c r="F13" s="68">
        <v>2563568</v>
      </c>
      <c r="G13" s="159">
        <f t="shared" si="1"/>
        <v>1.9999984084682221E-2</v>
      </c>
    </row>
    <row r="14" spans="1:7" x14ac:dyDescent="0.25">
      <c r="A14" s="242" t="s">
        <v>163</v>
      </c>
      <c r="B14" s="67">
        <v>2163502</v>
      </c>
      <c r="C14" s="68">
        <v>2163502</v>
      </c>
      <c r="D14" s="159">
        <f t="shared" si="0"/>
        <v>0</v>
      </c>
      <c r="E14" s="23"/>
      <c r="F14" s="68">
        <v>2206772</v>
      </c>
      <c r="G14" s="159">
        <f t="shared" si="1"/>
        <v>1.9999981511456887E-2</v>
      </c>
    </row>
    <row r="15" spans="1:7" ht="15.75" customHeight="1" thickBot="1" x14ac:dyDescent="0.3">
      <c r="A15" s="242" t="s">
        <v>164</v>
      </c>
      <c r="B15" s="67">
        <v>2212633</v>
      </c>
      <c r="C15" s="68">
        <v>2212633</v>
      </c>
      <c r="D15" s="159">
        <f t="shared" si="0"/>
        <v>0</v>
      </c>
      <c r="E15" s="23"/>
      <c r="F15" s="68">
        <v>2256886</v>
      </c>
      <c r="G15" s="159">
        <f t="shared" si="1"/>
        <v>2.0000153663079237E-2</v>
      </c>
    </row>
    <row r="16" spans="1:7" ht="15.75" customHeight="1" thickBot="1" x14ac:dyDescent="0.3">
      <c r="A16" s="259" t="s">
        <v>46</v>
      </c>
      <c r="B16" s="261">
        <f>SUM(B8:B15)</f>
        <v>122238873</v>
      </c>
      <c r="C16" s="264">
        <f>SUM(C8:C15)</f>
        <v>122238873</v>
      </c>
      <c r="D16" s="267">
        <f t="shared" si="0"/>
        <v>0</v>
      </c>
      <c r="E16" s="95"/>
      <c r="F16" s="264">
        <f>SUM(F8:F15)</f>
        <v>124683650</v>
      </c>
      <c r="G16" s="267">
        <f t="shared" si="1"/>
        <v>1.9999996236876299E-2</v>
      </c>
    </row>
    <row r="18" spans="1:1" ht="15.75" customHeight="1" x14ac:dyDescent="0.25">
      <c r="A18" s="17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7"/>
  <sheetViews>
    <sheetView zoomScale="80" zoomScaleNormal="80" workbookViewId="0">
      <selection activeCell="C18" sqref="C18"/>
    </sheetView>
  </sheetViews>
  <sheetFormatPr defaultRowHeight="15" x14ac:dyDescent="0.25"/>
  <cols>
    <col min="1" max="1" width="10.28515625" style="1" customWidth="1"/>
    <col min="2" max="2" width="8.85546875" style="1" bestFit="1" customWidth="1"/>
    <col min="3" max="3" width="18" style="15" bestFit="1" customWidth="1"/>
    <col min="4" max="5" width="22.5703125" style="15" customWidth="1"/>
    <col min="6" max="6" width="18" style="15" bestFit="1" customWidth="1"/>
    <col min="7" max="8" width="22.5703125" style="15" customWidth="1"/>
    <col min="9" max="9" width="21.42578125" style="16" customWidth="1"/>
    <col min="10" max="10" width="3.28515625" style="1" customWidth="1"/>
    <col min="11" max="11" width="18" style="15" bestFit="1" customWidth="1"/>
    <col min="12" max="13" width="22.5703125" style="15" customWidth="1"/>
    <col min="14" max="14" width="21" style="147" customWidth="1"/>
  </cols>
  <sheetData>
    <row r="1" spans="1:14" ht="15.75" customHeight="1" x14ac:dyDescent="0.25">
      <c r="A1" s="14" t="s">
        <v>165</v>
      </c>
    </row>
    <row r="2" spans="1:14" ht="15.75" customHeight="1" x14ac:dyDescent="0.25">
      <c r="A2" s="17" t="s">
        <v>31</v>
      </c>
    </row>
    <row r="3" spans="1:14" ht="15.75" customHeight="1" x14ac:dyDescent="0.25">
      <c r="A3" s="17"/>
    </row>
    <row r="4" spans="1:14" x14ac:dyDescent="0.25">
      <c r="A4" s="18" t="s">
        <v>166</v>
      </c>
    </row>
    <row r="5" spans="1:14" ht="15.75" customHeight="1" thickBot="1" x14ac:dyDescent="0.3"/>
    <row r="6" spans="1:14" ht="15.75" customHeight="1" thickBot="1" x14ac:dyDescent="0.3">
      <c r="A6" s="404"/>
      <c r="B6" s="601" t="s">
        <v>167</v>
      </c>
      <c r="C6" s="603" t="s">
        <v>168</v>
      </c>
      <c r="D6" s="604"/>
      <c r="E6" s="605"/>
      <c r="F6" s="606" t="s">
        <v>3</v>
      </c>
      <c r="G6" s="607"/>
      <c r="H6" s="607"/>
      <c r="I6" s="608"/>
      <c r="J6" s="269"/>
      <c r="K6" s="606" t="s">
        <v>4</v>
      </c>
      <c r="L6" s="607"/>
      <c r="M6" s="607"/>
      <c r="N6" s="608"/>
    </row>
    <row r="7" spans="1:14" ht="48" customHeight="1" thickBot="1" x14ac:dyDescent="0.3">
      <c r="A7" s="593"/>
      <c r="B7" s="602"/>
      <c r="C7" s="270" t="s">
        <v>169</v>
      </c>
      <c r="D7" s="271" t="s">
        <v>170</v>
      </c>
      <c r="E7" s="268" t="s">
        <v>171</v>
      </c>
      <c r="F7" s="20" t="s">
        <v>169</v>
      </c>
      <c r="G7" s="21" t="s">
        <v>170</v>
      </c>
      <c r="H7" s="21" t="s">
        <v>171</v>
      </c>
      <c r="I7" s="272" t="s">
        <v>141</v>
      </c>
      <c r="J7" s="273"/>
      <c r="K7" s="20" t="s">
        <v>169</v>
      </c>
      <c r="L7" s="21" t="s">
        <v>170</v>
      </c>
      <c r="M7" s="21" t="s">
        <v>171</v>
      </c>
      <c r="N7" s="272" t="s">
        <v>143</v>
      </c>
    </row>
    <row r="8" spans="1:14" x14ac:dyDescent="0.25">
      <c r="A8" s="238" t="s">
        <v>50</v>
      </c>
      <c r="B8" s="274">
        <v>21658</v>
      </c>
      <c r="C8" s="70">
        <v>201961310</v>
      </c>
      <c r="D8" s="158">
        <v>0</v>
      </c>
      <c r="E8" s="240">
        <f t="shared" ref="E8:E15" si="0">ROUND(SUM(C8,D8)/$B8, 0)</f>
        <v>9325</v>
      </c>
      <c r="F8" s="70">
        <f>'OPERATING Total Funding'!O10</f>
        <v>201961310</v>
      </c>
      <c r="G8" s="158">
        <v>0</v>
      </c>
      <c r="H8" s="158">
        <f t="shared" ref="H8:H15" si="1">ROUND(SUM(F8,G8)/$B8, 0)</f>
        <v>9325</v>
      </c>
      <c r="I8" s="159">
        <f t="shared" ref="I8:I15" si="2">(H8-$E8)/$E8</f>
        <v>0</v>
      </c>
      <c r="J8" s="275"/>
      <c r="K8" s="70">
        <v>198962890</v>
      </c>
      <c r="L8" s="158">
        <v>0</v>
      </c>
      <c r="M8" s="158">
        <f t="shared" ref="M8:M15" si="3">ROUND(SUM(K8,L8)/$B8, 0)</f>
        <v>9187</v>
      </c>
      <c r="N8" s="159">
        <f t="shared" ref="N8:N15" si="4">(M8-$E8)/$E8</f>
        <v>-1.4798927613941019E-2</v>
      </c>
    </row>
    <row r="9" spans="1:14" x14ac:dyDescent="0.25">
      <c r="A9" s="242" t="s">
        <v>54</v>
      </c>
      <c r="B9" s="274">
        <v>2162</v>
      </c>
      <c r="C9" s="70">
        <v>14047315</v>
      </c>
      <c r="D9" s="158">
        <v>0</v>
      </c>
      <c r="E9" s="240">
        <f t="shared" si="0"/>
        <v>6497</v>
      </c>
      <c r="F9" s="70">
        <f>'OPERATING Total Funding'!O11</f>
        <v>14047315</v>
      </c>
      <c r="G9" s="158">
        <v>0</v>
      </c>
      <c r="H9" s="158">
        <f t="shared" si="1"/>
        <v>6497</v>
      </c>
      <c r="I9" s="159">
        <f t="shared" si="2"/>
        <v>0</v>
      </c>
      <c r="J9" s="275"/>
      <c r="K9" s="70">
        <v>15042686</v>
      </c>
      <c r="L9" s="158">
        <v>0</v>
      </c>
      <c r="M9" s="158">
        <f t="shared" si="3"/>
        <v>6958</v>
      </c>
      <c r="N9" s="159">
        <f t="shared" si="4"/>
        <v>7.0955825765738029E-2</v>
      </c>
    </row>
    <row r="10" spans="1:14" x14ac:dyDescent="0.25">
      <c r="A10" s="242" t="s">
        <v>55</v>
      </c>
      <c r="B10" s="274">
        <v>2575</v>
      </c>
      <c r="C10" s="70">
        <v>16059485</v>
      </c>
      <c r="D10" s="158">
        <v>0</v>
      </c>
      <c r="E10" s="240">
        <f t="shared" si="0"/>
        <v>6237</v>
      </c>
      <c r="F10" s="70">
        <f>'OPERATING Total Funding'!O12</f>
        <v>16059485</v>
      </c>
      <c r="G10" s="158">
        <v>0</v>
      </c>
      <c r="H10" s="158">
        <f t="shared" si="1"/>
        <v>6237</v>
      </c>
      <c r="I10" s="159">
        <f t="shared" si="2"/>
        <v>0</v>
      </c>
      <c r="J10" s="275"/>
      <c r="K10" s="70">
        <v>16526185</v>
      </c>
      <c r="L10" s="158">
        <v>0</v>
      </c>
      <c r="M10" s="158">
        <f t="shared" si="3"/>
        <v>6418</v>
      </c>
      <c r="N10" s="159">
        <f t="shared" si="4"/>
        <v>2.9020362353695688E-2</v>
      </c>
    </row>
    <row r="11" spans="1:14" x14ac:dyDescent="0.25">
      <c r="A11" s="242" t="s">
        <v>56</v>
      </c>
      <c r="B11" s="274">
        <v>3081</v>
      </c>
      <c r="C11" s="70">
        <v>18870523</v>
      </c>
      <c r="D11" s="158">
        <v>0</v>
      </c>
      <c r="E11" s="240">
        <f t="shared" si="0"/>
        <v>6125</v>
      </c>
      <c r="F11" s="70">
        <f>'OPERATING Total Funding'!O13</f>
        <v>18870523</v>
      </c>
      <c r="G11" s="158">
        <v>0</v>
      </c>
      <c r="H11" s="158">
        <f t="shared" si="1"/>
        <v>6125</v>
      </c>
      <c r="I11" s="159">
        <f t="shared" si="2"/>
        <v>0</v>
      </c>
      <c r="J11" s="275"/>
      <c r="K11" s="70">
        <v>19608142</v>
      </c>
      <c r="L11" s="158">
        <v>0</v>
      </c>
      <c r="M11" s="158">
        <f t="shared" si="3"/>
        <v>6364</v>
      </c>
      <c r="N11" s="159">
        <f t="shared" si="4"/>
        <v>3.9020408163265304E-2</v>
      </c>
    </row>
    <row r="12" spans="1:14" x14ac:dyDescent="0.25">
      <c r="A12" s="242" t="s">
        <v>57</v>
      </c>
      <c r="B12" s="274">
        <v>20880</v>
      </c>
      <c r="C12" s="70">
        <v>111103662</v>
      </c>
      <c r="D12" s="158">
        <v>0</v>
      </c>
      <c r="E12" s="240">
        <f t="shared" si="0"/>
        <v>5321</v>
      </c>
      <c r="F12" s="70">
        <f>'OPERATING Total Funding'!O14</f>
        <v>111103662</v>
      </c>
      <c r="G12" s="158">
        <v>0</v>
      </c>
      <c r="H12" s="158">
        <f t="shared" si="1"/>
        <v>5321</v>
      </c>
      <c r="I12" s="159">
        <f t="shared" si="2"/>
        <v>0</v>
      </c>
      <c r="J12" s="275"/>
      <c r="K12" s="70">
        <v>122110562</v>
      </c>
      <c r="L12" s="158">
        <v>0</v>
      </c>
      <c r="M12" s="158">
        <f t="shared" si="3"/>
        <v>5848</v>
      </c>
      <c r="N12" s="159">
        <f t="shared" si="4"/>
        <v>9.9041533546325874E-2</v>
      </c>
    </row>
    <row r="13" spans="1:14" x14ac:dyDescent="0.25">
      <c r="A13" s="242" t="s">
        <v>58</v>
      </c>
      <c r="B13" s="274">
        <v>4095</v>
      </c>
      <c r="C13" s="70">
        <v>24873721</v>
      </c>
      <c r="D13" s="158">
        <v>0</v>
      </c>
      <c r="E13" s="240">
        <f t="shared" si="0"/>
        <v>6074</v>
      </c>
      <c r="F13" s="70">
        <f>'OPERATING Total Funding'!O15</f>
        <v>24873721</v>
      </c>
      <c r="G13" s="158">
        <v>0</v>
      </c>
      <c r="H13" s="158">
        <f t="shared" si="1"/>
        <v>6074</v>
      </c>
      <c r="I13" s="159">
        <f t="shared" si="2"/>
        <v>0</v>
      </c>
      <c r="J13" s="275"/>
      <c r="K13" s="70">
        <v>25266685</v>
      </c>
      <c r="L13" s="158">
        <v>0</v>
      </c>
      <c r="M13" s="158">
        <f t="shared" si="3"/>
        <v>6170</v>
      </c>
      <c r="N13" s="159">
        <f t="shared" si="4"/>
        <v>1.5805070793546264E-2</v>
      </c>
    </row>
    <row r="14" spans="1:14" ht="15.75" customHeight="1" thickBot="1" x14ac:dyDescent="0.3">
      <c r="A14" s="242" t="s">
        <v>59</v>
      </c>
      <c r="B14" s="274">
        <v>2908</v>
      </c>
      <c r="C14" s="70">
        <v>20890749</v>
      </c>
      <c r="D14" s="158">
        <v>0</v>
      </c>
      <c r="E14" s="240">
        <f t="shared" si="0"/>
        <v>7184</v>
      </c>
      <c r="F14" s="70">
        <f>'OPERATING Total Funding'!O16</f>
        <v>20890749</v>
      </c>
      <c r="G14" s="158">
        <v>0</v>
      </c>
      <c r="H14" s="158">
        <f t="shared" si="1"/>
        <v>7184</v>
      </c>
      <c r="I14" s="159">
        <f t="shared" si="2"/>
        <v>0</v>
      </c>
      <c r="J14" s="275"/>
      <c r="K14" s="70">
        <v>21181815</v>
      </c>
      <c r="L14" s="158">
        <v>0</v>
      </c>
      <c r="M14" s="158">
        <f t="shared" si="3"/>
        <v>7284</v>
      </c>
      <c r="N14" s="159">
        <f t="shared" si="4"/>
        <v>1.3919821826280624E-2</v>
      </c>
    </row>
    <row r="15" spans="1:14" ht="15.75" customHeight="1" thickTop="1" x14ac:dyDescent="0.25">
      <c r="A15" s="243" t="s">
        <v>131</v>
      </c>
      <c r="B15" s="276">
        <f>SUM(B8:B14)</f>
        <v>57359</v>
      </c>
      <c r="C15" s="245">
        <f>SUM(C8:C14)</f>
        <v>407806765</v>
      </c>
      <c r="D15" s="247">
        <f>SUM(D8:D14)</f>
        <v>0</v>
      </c>
      <c r="E15" s="277">
        <f t="shared" si="0"/>
        <v>7110</v>
      </c>
      <c r="F15" s="245">
        <f>SUM(F8:F14)</f>
        <v>407806765</v>
      </c>
      <c r="G15" s="247">
        <f>SUM(G8:G14)</f>
        <v>0</v>
      </c>
      <c r="H15" s="247">
        <f t="shared" si="1"/>
        <v>7110</v>
      </c>
      <c r="I15" s="278">
        <f t="shared" si="2"/>
        <v>0</v>
      </c>
      <c r="J15" s="279"/>
      <c r="K15" s="245">
        <f>SUM(K8:K14)</f>
        <v>418698965</v>
      </c>
      <c r="L15" s="247">
        <f>SUM(L8:L14)</f>
        <v>0</v>
      </c>
      <c r="M15" s="247">
        <f t="shared" si="3"/>
        <v>7300</v>
      </c>
      <c r="N15" s="278">
        <f t="shared" si="4"/>
        <v>2.6722925457102673E-2</v>
      </c>
    </row>
    <row r="16" spans="1:14" x14ac:dyDescent="0.25">
      <c r="A16" s="250"/>
      <c r="B16" s="280"/>
      <c r="C16" s="252"/>
      <c r="D16" s="254"/>
      <c r="E16" s="257"/>
      <c r="F16" s="252"/>
      <c r="G16" s="254"/>
      <c r="H16" s="254"/>
      <c r="I16" s="281"/>
      <c r="J16" s="275"/>
      <c r="K16" s="252"/>
      <c r="L16" s="254"/>
      <c r="M16" s="254"/>
      <c r="N16" s="281"/>
    </row>
    <row r="17" spans="1:14" x14ac:dyDescent="0.25">
      <c r="A17" s="242" t="s">
        <v>65</v>
      </c>
      <c r="B17" s="274">
        <v>19390</v>
      </c>
      <c r="C17" s="70">
        <f>'OPERATING Total Funding'!C21</f>
        <v>222755871</v>
      </c>
      <c r="D17" s="158">
        <v>-76235683</v>
      </c>
      <c r="E17" s="240">
        <f>ROUND(SUM(C17,D17)/$B17, 0)</f>
        <v>7556</v>
      </c>
      <c r="F17" s="70">
        <f>'OPERATING Total Funding'!O21</f>
        <v>222755871</v>
      </c>
      <c r="G17" s="158">
        <v>-76235683</v>
      </c>
      <c r="H17" s="158">
        <f>ROUND(SUM(F17,G17)/$B17, 0)</f>
        <v>7556</v>
      </c>
      <c r="I17" s="159">
        <f>(H17-$E17)/$E17</f>
        <v>0</v>
      </c>
      <c r="J17" s="275"/>
      <c r="K17" s="70">
        <v>223527695</v>
      </c>
      <c r="L17" s="158">
        <v>-76235683</v>
      </c>
      <c r="M17" s="158">
        <f>ROUND(SUM(K17,L17)/$B17, 0)</f>
        <v>7596</v>
      </c>
      <c r="N17" s="159">
        <f>(M17-$E17)/$E17</f>
        <v>5.2938062466913712E-3</v>
      </c>
    </row>
    <row r="18" spans="1:14" x14ac:dyDescent="0.25">
      <c r="A18" s="242" t="s">
        <v>66</v>
      </c>
      <c r="B18" s="274">
        <v>5806</v>
      </c>
      <c r="C18" s="70">
        <v>46730203</v>
      </c>
      <c r="D18" s="158">
        <v>0</v>
      </c>
      <c r="E18" s="240">
        <f>ROUND(SUM(C18,D18)/$B18, 0)</f>
        <v>8049</v>
      </c>
      <c r="F18" s="70">
        <f>'OPERATING Total Funding'!O22</f>
        <v>46730203</v>
      </c>
      <c r="G18" s="158">
        <v>0</v>
      </c>
      <c r="H18" s="158">
        <f>ROUND(SUM(F18,G18)/$B18, 0)</f>
        <v>8049</v>
      </c>
      <c r="I18" s="159">
        <f>(H18-$E18)/$E18</f>
        <v>0</v>
      </c>
      <c r="J18" s="275"/>
      <c r="K18" s="70">
        <v>48297564</v>
      </c>
      <c r="L18" s="158">
        <v>0</v>
      </c>
      <c r="M18" s="158">
        <f>ROUND(SUM(K18,L18)/$B18, 0)</f>
        <v>8319</v>
      </c>
      <c r="N18" s="159">
        <f>(M18-$E18)/$E18</f>
        <v>3.3544539694371975E-2</v>
      </c>
    </row>
    <row r="19" spans="1:14" ht="15.75" customHeight="1" thickBot="1" x14ac:dyDescent="0.3">
      <c r="A19" s="242" t="s">
        <v>68</v>
      </c>
      <c r="B19" s="274">
        <v>5866</v>
      </c>
      <c r="C19" s="70">
        <v>43460880</v>
      </c>
      <c r="D19" s="158">
        <v>0</v>
      </c>
      <c r="E19" s="240">
        <f>ROUND(SUM(C19,D19)/$B19, 0)</f>
        <v>7409</v>
      </c>
      <c r="F19" s="70">
        <f>'OPERATING Total Funding'!O24</f>
        <v>43460880</v>
      </c>
      <c r="G19" s="158">
        <v>0</v>
      </c>
      <c r="H19" s="158">
        <f>ROUND(SUM(F19,G19)/$B19, 0)</f>
        <v>7409</v>
      </c>
      <c r="I19" s="159">
        <f>(H19-$E19)/$E19</f>
        <v>0</v>
      </c>
      <c r="J19" s="275"/>
      <c r="K19" s="70">
        <v>44856416</v>
      </c>
      <c r="L19" s="158">
        <v>0</v>
      </c>
      <c r="M19" s="158">
        <f>ROUND(SUM(K19,L19)/$B19, 0)</f>
        <v>7647</v>
      </c>
      <c r="N19" s="159">
        <f>(M19-$E19)/$E19</f>
        <v>3.2123093534889999E-2</v>
      </c>
    </row>
    <row r="20" spans="1:14" ht="15.75" customHeight="1" thickTop="1" x14ac:dyDescent="0.25">
      <c r="A20" s="243" t="s">
        <v>132</v>
      </c>
      <c r="B20" s="276">
        <f>SUM(B17:B19)</f>
        <v>31062</v>
      </c>
      <c r="C20" s="245">
        <f>SUM(C17:C19)</f>
        <v>312946954</v>
      </c>
      <c r="D20" s="247">
        <f>SUM(D17:D19)</f>
        <v>-76235683</v>
      </c>
      <c r="E20" s="277">
        <f>ROUND(SUM(C20,D20)/$B20, 0)</f>
        <v>7621</v>
      </c>
      <c r="F20" s="245">
        <f>SUM(F17:F19)</f>
        <v>312946954</v>
      </c>
      <c r="G20" s="247">
        <f>SUM(G17:G19)</f>
        <v>-76235683</v>
      </c>
      <c r="H20" s="247">
        <f>ROUND(SUM(F20,G20)/$B20, 0)</f>
        <v>7621</v>
      </c>
      <c r="I20" s="278">
        <f>(H20-$E20)/$E20</f>
        <v>0</v>
      </c>
      <c r="J20" s="279"/>
      <c r="K20" s="245">
        <f>SUM(K17:K19)</f>
        <v>316681675</v>
      </c>
      <c r="L20" s="247">
        <f>SUM(L17:L19)</f>
        <v>-76235683</v>
      </c>
      <c r="M20" s="247">
        <f>ROUND(SUM(K20,L20)/$B20, 0)</f>
        <v>7741</v>
      </c>
      <c r="N20" s="278">
        <f>(M20-$E20)/$E20</f>
        <v>1.5745965096444037E-2</v>
      </c>
    </row>
    <row r="21" spans="1:14" x14ac:dyDescent="0.25">
      <c r="A21" s="250"/>
      <c r="B21" s="280"/>
      <c r="C21" s="252"/>
      <c r="D21" s="254"/>
      <c r="E21" s="257"/>
      <c r="F21" s="252"/>
      <c r="G21" s="254"/>
      <c r="H21" s="254"/>
      <c r="I21" s="281"/>
      <c r="J21" s="275"/>
      <c r="K21" s="252"/>
      <c r="L21" s="254"/>
      <c r="M21" s="254"/>
      <c r="N21" s="281"/>
    </row>
    <row r="22" spans="1:14" x14ac:dyDescent="0.25">
      <c r="A22" s="242" t="s">
        <v>71</v>
      </c>
      <c r="B22" s="274">
        <v>14673</v>
      </c>
      <c r="C22" s="70">
        <v>134408873</v>
      </c>
      <c r="D22" s="158">
        <v>0</v>
      </c>
      <c r="E22" s="240">
        <f t="shared" ref="E22:E27" si="5">ROUND(SUM(C22,D22)/$B22, 0)</f>
        <v>9160</v>
      </c>
      <c r="F22" s="70">
        <f>'OPERATING Total Funding'!O27</f>
        <v>134408873</v>
      </c>
      <c r="G22" s="158">
        <v>0</v>
      </c>
      <c r="H22" s="158">
        <f t="shared" ref="H22:H27" si="6">ROUND(SUM(F22,G22)/$B22, 0)</f>
        <v>9160</v>
      </c>
      <c r="I22" s="159">
        <f t="shared" ref="I22:I27" si="7">(H22-$E22)/$E22</f>
        <v>0</v>
      </c>
      <c r="J22" s="275"/>
      <c r="K22" s="70">
        <v>133010951</v>
      </c>
      <c r="L22" s="158">
        <v>0</v>
      </c>
      <c r="M22" s="158">
        <f t="shared" ref="M22:M27" si="8">ROUND(SUM(K22,L22)/$B22, 0)</f>
        <v>9065</v>
      </c>
      <c r="N22" s="159">
        <f t="shared" ref="N22:N27" si="9">(M22-$E22)/$E22</f>
        <v>-1.037117903930131E-2</v>
      </c>
    </row>
    <row r="23" spans="1:14" x14ac:dyDescent="0.25">
      <c r="A23" s="242" t="s">
        <v>72</v>
      </c>
      <c r="B23" s="274">
        <v>8394</v>
      </c>
      <c r="C23" s="70">
        <v>72063968</v>
      </c>
      <c r="D23" s="158">
        <v>0</v>
      </c>
      <c r="E23" s="240">
        <f t="shared" si="5"/>
        <v>8585</v>
      </c>
      <c r="F23" s="70">
        <f>'OPERATING Total Funding'!O28</f>
        <v>72063968</v>
      </c>
      <c r="G23" s="158">
        <v>0</v>
      </c>
      <c r="H23" s="158">
        <f t="shared" si="6"/>
        <v>8585</v>
      </c>
      <c r="I23" s="159">
        <f t="shared" si="7"/>
        <v>0</v>
      </c>
      <c r="J23" s="275"/>
      <c r="K23" s="70">
        <v>74498951</v>
      </c>
      <c r="L23" s="158">
        <v>0</v>
      </c>
      <c r="M23" s="158">
        <f t="shared" si="8"/>
        <v>8875</v>
      </c>
      <c r="N23" s="159">
        <f t="shared" si="9"/>
        <v>3.3779848573092602E-2</v>
      </c>
    </row>
    <row r="24" spans="1:14" x14ac:dyDescent="0.25">
      <c r="A24" s="242" t="s">
        <v>73</v>
      </c>
      <c r="B24" s="274">
        <v>6341</v>
      </c>
      <c r="C24" s="70">
        <v>48210149</v>
      </c>
      <c r="D24" s="158">
        <v>0</v>
      </c>
      <c r="E24" s="240">
        <f t="shared" si="5"/>
        <v>7603</v>
      </c>
      <c r="F24" s="70">
        <f>'OPERATING Total Funding'!O29</f>
        <v>48210149</v>
      </c>
      <c r="G24" s="158">
        <v>0</v>
      </c>
      <c r="H24" s="158">
        <f t="shared" si="6"/>
        <v>7603</v>
      </c>
      <c r="I24" s="159">
        <f t="shared" si="7"/>
        <v>0</v>
      </c>
      <c r="J24" s="275"/>
      <c r="K24" s="70">
        <v>51038023</v>
      </c>
      <c r="L24" s="158">
        <v>0</v>
      </c>
      <c r="M24" s="158">
        <f t="shared" si="8"/>
        <v>8049</v>
      </c>
      <c r="N24" s="159">
        <f t="shared" si="9"/>
        <v>5.8661054846771012E-2</v>
      </c>
    </row>
    <row r="25" spans="1:14" x14ac:dyDescent="0.25">
      <c r="A25" s="242" t="s">
        <v>74</v>
      </c>
      <c r="B25" s="274">
        <v>4108</v>
      </c>
      <c r="C25" s="70">
        <v>43561521</v>
      </c>
      <c r="D25" s="158">
        <v>0</v>
      </c>
      <c r="E25" s="240">
        <f t="shared" si="5"/>
        <v>10604</v>
      </c>
      <c r="F25" s="70">
        <f>'OPERATING Total Funding'!O30</f>
        <v>43561521</v>
      </c>
      <c r="G25" s="158">
        <v>0</v>
      </c>
      <c r="H25" s="158">
        <f t="shared" si="6"/>
        <v>10604</v>
      </c>
      <c r="I25" s="159">
        <f t="shared" si="7"/>
        <v>0</v>
      </c>
      <c r="J25" s="275"/>
      <c r="K25" s="70">
        <v>44475375</v>
      </c>
      <c r="L25" s="158">
        <v>0</v>
      </c>
      <c r="M25" s="158">
        <f t="shared" si="8"/>
        <v>10827</v>
      </c>
      <c r="N25" s="159">
        <f t="shared" si="9"/>
        <v>2.1029800075443229E-2</v>
      </c>
    </row>
    <row r="26" spans="1:14" ht="15.75" customHeight="1" thickBot="1" x14ac:dyDescent="0.3">
      <c r="A26" s="242" t="s">
        <v>75</v>
      </c>
      <c r="B26" s="274">
        <v>38557</v>
      </c>
      <c r="C26" s="70">
        <v>229890923</v>
      </c>
      <c r="D26" s="158">
        <v>0</v>
      </c>
      <c r="E26" s="240">
        <f t="shared" si="5"/>
        <v>5962</v>
      </c>
      <c r="F26" s="70">
        <f>'OPERATING Total Funding'!O31</f>
        <v>229890923</v>
      </c>
      <c r="G26" s="158">
        <v>0</v>
      </c>
      <c r="H26" s="158">
        <f t="shared" si="6"/>
        <v>5962</v>
      </c>
      <c r="I26" s="159">
        <f t="shared" si="7"/>
        <v>0</v>
      </c>
      <c r="J26" s="275"/>
      <c r="K26" s="70">
        <v>235110368</v>
      </c>
      <c r="L26" s="158">
        <v>0</v>
      </c>
      <c r="M26" s="158">
        <f t="shared" si="8"/>
        <v>6098</v>
      </c>
      <c r="N26" s="159">
        <f t="shared" si="9"/>
        <v>2.2811137202281114E-2</v>
      </c>
    </row>
    <row r="27" spans="1:14" ht="15.75" customHeight="1" thickBot="1" x14ac:dyDescent="0.3">
      <c r="A27" s="259" t="s">
        <v>46</v>
      </c>
      <c r="B27" s="282">
        <f>SUM(B15,B20,B22:B26)</f>
        <v>160494</v>
      </c>
      <c r="C27" s="99">
        <f>SUM(C15,C20,C22:C26)</f>
        <v>1248889153</v>
      </c>
      <c r="D27" s="263">
        <f>SUM(D15,D20,D22:D26)</f>
        <v>-76235683</v>
      </c>
      <c r="E27" s="262">
        <f t="shared" si="5"/>
        <v>7307</v>
      </c>
      <c r="F27" s="99">
        <f>SUM(F15,F20,F22:F26)</f>
        <v>1248889153</v>
      </c>
      <c r="G27" s="263">
        <f>SUM(G15,G20,G22:G26)</f>
        <v>-76235683</v>
      </c>
      <c r="H27" s="263">
        <f t="shared" si="6"/>
        <v>7307</v>
      </c>
      <c r="I27" s="188">
        <f t="shared" si="7"/>
        <v>0</v>
      </c>
      <c r="J27" s="283"/>
      <c r="K27" s="99">
        <f>SUM(K15,K20,K22:K26)</f>
        <v>1273514308</v>
      </c>
      <c r="L27" s="263">
        <f>SUM(L15,L20,L22:L26)</f>
        <v>-76235683</v>
      </c>
      <c r="M27" s="263">
        <f t="shared" si="8"/>
        <v>7460</v>
      </c>
      <c r="N27" s="188">
        <f t="shared" si="9"/>
        <v>2.0938825783495277E-2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2021-06-22T14:21:52Z</dcterms:modified>
</cp:coreProperties>
</file>