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tables/table1.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Hydraulic Worksheets\"/>
    </mc:Choice>
  </mc:AlternateContent>
  <xr:revisionPtr revIDLastSave="0" documentId="13_ncr:1_{50C59B31-FCC8-4D45-BBB5-EF41B695F5F5}" xr6:coauthVersionLast="47" xr6:coauthVersionMax="47" xr10:uidLastSave="{00000000-0000-0000-0000-000000000000}"/>
  <bookViews>
    <workbookView xWindow="28680" yWindow="-120" windowWidth="29040" windowHeight="15840" tabRatio="707" xr2:uid="{379EA2A5-FAB7-4882-9560-3A67E50CB283}"/>
  </bookViews>
  <sheets>
    <sheet name="CMPA" sheetId="1" r:id="rId1"/>
    <sheet name="HDPE Liner" sheetId="5" r:id="rId2"/>
    <sheet name="CIPP Liner" sheetId="4" r:id="rId3"/>
    <sheet name="Paved Invert" sheetId="6" r:id="rId4"/>
    <sheet name="Steel Liner" sheetId="2" r:id="rId5"/>
    <sheet name="Version History" sheetId="7" r:id="rId6"/>
  </sheets>
  <definedNames>
    <definedName name="_xlnm._FilterDatabase" localSheetId="0" hidden="1">CMPA!$A$43:$K$43</definedName>
    <definedName name="Structure_Data">'HDPE Liner'!$A$38:$F$73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13" i="2" l="1"/>
  <c r="AG13" i="2" s="1"/>
  <c r="AF12" i="2"/>
  <c r="AG11" i="2"/>
  <c r="AF11" i="2"/>
  <c r="AG10" i="2"/>
  <c r="AF10" i="2"/>
  <c r="B10"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B160" i="1"/>
  <c r="B161" i="1"/>
  <c r="B45" i="1"/>
  <c r="C10" i="1" a="1"/>
  <c r="C10" i="1" s="1"/>
  <c r="C20" i="1" s="1"/>
  <c r="B14" i="1" l="1" a="1"/>
  <c r="B14" i="1" s="1"/>
  <c r="AA159" i="1" l="1"/>
  <c r="Z159" i="1"/>
  <c r="Z160" i="1"/>
  <c r="B18" i="1" a="1"/>
  <c r="B18" i="1" s="1"/>
  <c r="B17" i="1" a="1"/>
  <c r="B17" i="1" s="1"/>
  <c r="B16" i="1" a="1"/>
  <c r="B16" i="1" s="1"/>
  <c r="B15" i="1" a="1"/>
  <c r="B15" i="1" s="1"/>
  <c r="B13" i="1" a="1"/>
  <c r="B13" i="1" s="1"/>
  <c r="B12" i="1" a="1"/>
  <c r="B12" i="1" s="1"/>
  <c r="B11" i="1" a="1"/>
  <c r="B11" i="1" s="1"/>
  <c r="P32" i="2"/>
  <c r="B7" i="4" l="1"/>
  <c r="B7" i="2"/>
  <c r="R41" i="1" a="1"/>
  <c r="R41" i="1" s="1"/>
  <c r="S41" i="1" s="1" a="1"/>
  <c r="S41" i="1" s="1"/>
  <c r="R42" i="1" a="1"/>
  <c r="R42" i="1" s="1"/>
  <c r="S42" i="1" s="1" a="1"/>
  <c r="S42" i="1" s="1"/>
  <c r="AF9" i="5"/>
  <c r="AF8" i="5"/>
  <c r="AE10" i="5"/>
  <c r="AE11" i="5"/>
  <c r="AF11" i="5" s="1"/>
  <c r="AE9" i="5"/>
  <c r="AE8" i="5"/>
  <c r="I6" i="1"/>
  <c r="D12" i="1"/>
  <c r="D3" i="2"/>
  <c r="B5" i="5"/>
  <c r="B8" i="5" s="1"/>
  <c r="B4" i="5"/>
  <c r="B4" i="2"/>
  <c r="D18" i="1"/>
  <c r="D17" i="1"/>
  <c r="B17" i="2"/>
  <c r="B16" i="2"/>
  <c r="B15" i="6"/>
  <c r="B14" i="6"/>
  <c r="D11" i="1"/>
  <c r="D15" i="1"/>
  <c r="D16" i="1"/>
  <c r="B5" i="2" s="1"/>
  <c r="D70" i="5" l="1"/>
  <c r="D38" i="5"/>
  <c r="B6" i="4"/>
  <c r="B6" i="2"/>
  <c r="B28" i="2" s="1"/>
  <c r="J14" i="2" s="1"/>
  <c r="B25" i="2"/>
  <c r="I5" i="2"/>
  <c r="J5" i="2" s="1"/>
  <c r="B11" i="2"/>
  <c r="B13" i="4"/>
  <c r="B5" i="4" s="1"/>
  <c r="B12" i="6"/>
  <c r="B12" i="2"/>
  <c r="I14" i="2" s="1"/>
  <c r="D66" i="5"/>
  <c r="D71" i="5"/>
  <c r="D67" i="5"/>
  <c r="D63" i="5"/>
  <c r="D72" i="5"/>
  <c r="D69" i="5"/>
  <c r="D65" i="5"/>
  <c r="D68" i="5"/>
  <c r="D73" i="5"/>
  <c r="D64" i="5"/>
  <c r="D53" i="5"/>
  <c r="D59" i="5"/>
  <c r="D62" i="5"/>
  <c r="D55" i="5"/>
  <c r="D57" i="5"/>
  <c r="D60" i="5"/>
  <c r="D54" i="5"/>
  <c r="D46" i="5"/>
  <c r="D51" i="5"/>
  <c r="B24" i="1"/>
  <c r="B11" i="6"/>
  <c r="AI45" i="5"/>
  <c r="AJ9" i="2" l="1"/>
  <c r="AK9" i="2" s="1"/>
  <c r="B23" i="2"/>
  <c r="D52" i="5" l="1"/>
  <c r="D86" i="5"/>
  <c r="C113" i="5" s="1"/>
  <c r="D49" i="5"/>
  <c r="D41" i="5"/>
  <c r="C103" i="5"/>
  <c r="D50" i="5"/>
  <c r="D48" i="5"/>
  <c r="D61" i="5"/>
  <c r="D45" i="5"/>
  <c r="D43" i="5"/>
  <c r="D42" i="5"/>
  <c r="D56" i="5"/>
  <c r="D58" i="5"/>
  <c r="D47" i="5"/>
  <c r="D40" i="5"/>
  <c r="D44" i="5"/>
  <c r="D39" i="5"/>
  <c r="D97" i="5"/>
  <c r="E56" i="5" l="1"/>
  <c r="E38" i="5"/>
  <c r="E70" i="5"/>
  <c r="E66" i="5"/>
  <c r="E71" i="5"/>
  <c r="E67" i="5"/>
  <c r="E69" i="5"/>
  <c r="E65" i="5"/>
  <c r="E63" i="5"/>
  <c r="E73" i="5"/>
  <c r="E72" i="5"/>
  <c r="E64" i="5"/>
  <c r="E68" i="5"/>
  <c r="E60" i="5"/>
  <c r="E62" i="5"/>
  <c r="E57" i="5"/>
  <c r="E59" i="5"/>
  <c r="E54" i="5"/>
  <c r="E55" i="5"/>
  <c r="E51" i="5"/>
  <c r="E53" i="5"/>
  <c r="E46" i="5"/>
  <c r="D91" i="5"/>
  <c r="E42" i="5"/>
  <c r="E44" i="5"/>
  <c r="E45" i="5"/>
  <c r="E49" i="5"/>
  <c r="E50" i="5"/>
  <c r="E39" i="5"/>
  <c r="E47" i="5"/>
  <c r="E43" i="5"/>
  <c r="E48" i="5"/>
  <c r="E52" i="5"/>
  <c r="E61" i="5"/>
  <c r="E40" i="5"/>
  <c r="E58" i="5"/>
  <c r="E41" i="5"/>
  <c r="G38" i="5" l="1"/>
  <c r="B9" i="5" s="1"/>
  <c r="D119" i="5"/>
  <c r="B19" i="5"/>
  <c r="D84" i="5" l="1"/>
  <c r="D82" i="5"/>
  <c r="C123" i="5" s="1"/>
  <c r="D81" i="5"/>
  <c r="C122" i="5" s="1"/>
  <c r="D100" i="5"/>
  <c r="B11" i="5" s="1"/>
  <c r="D87" i="5"/>
  <c r="C112" i="5" s="1"/>
  <c r="R117" i="5"/>
  <c r="R145" i="5" s="1"/>
  <c r="AO36" i="5" s="1"/>
  <c r="Q117" i="5"/>
  <c r="Q145" i="5" s="1"/>
  <c r="R131" i="5"/>
  <c r="R159" i="5" s="1"/>
  <c r="AO22" i="5" s="1"/>
  <c r="Q130" i="5"/>
  <c r="Q158" i="5" s="1"/>
  <c r="AO13" i="5" s="1"/>
  <c r="Q118" i="5"/>
  <c r="Q146" i="5" s="1"/>
  <c r="AO37" i="5" s="1"/>
  <c r="Q119" i="5"/>
  <c r="Q147" i="5" s="1"/>
  <c r="AO38" i="5" s="1"/>
  <c r="Q128" i="5"/>
  <c r="Q156" i="5" s="1"/>
  <c r="AO11" i="5" s="1"/>
  <c r="R128" i="5"/>
  <c r="R156" i="5" s="1"/>
  <c r="AO25" i="5" s="1"/>
  <c r="Q125" i="5"/>
  <c r="Q153" i="5" s="1"/>
  <c r="AO44" i="5" s="1"/>
  <c r="R134" i="5"/>
  <c r="R162" i="5" s="1"/>
  <c r="AO19" i="5" s="1"/>
  <c r="R133" i="5"/>
  <c r="R161" i="5" s="1"/>
  <c r="AO20" i="5" s="1"/>
  <c r="R132" i="5"/>
  <c r="R160" i="5" s="1"/>
  <c r="AO21" i="5" s="1"/>
  <c r="R123" i="5"/>
  <c r="R151" i="5" s="1"/>
  <c r="AO30" i="5" s="1"/>
  <c r="Q122" i="5"/>
  <c r="Q150" i="5" s="1"/>
  <c r="AO41" i="5" s="1"/>
  <c r="R126" i="5"/>
  <c r="R154" i="5" s="1"/>
  <c r="AO27" i="5" s="1"/>
  <c r="R125" i="5"/>
  <c r="R153" i="5" s="1"/>
  <c r="AO28" i="5" s="1"/>
  <c r="R124" i="5"/>
  <c r="R152" i="5" s="1"/>
  <c r="AO29" i="5" s="1"/>
  <c r="Q131" i="5"/>
  <c r="Q159" i="5" s="1"/>
  <c r="AO14" i="5" s="1"/>
  <c r="R129" i="5"/>
  <c r="R157" i="5" s="1"/>
  <c r="AO24" i="5" s="1"/>
  <c r="R118" i="5"/>
  <c r="R146" i="5" s="1"/>
  <c r="AO35" i="5" s="1"/>
  <c r="Q121" i="5"/>
  <c r="Q149" i="5" s="1"/>
  <c r="AO40" i="5" s="1"/>
  <c r="R120" i="5"/>
  <c r="R148" i="5" s="1"/>
  <c r="AO33" i="5" s="1"/>
  <c r="Q123" i="5"/>
  <c r="Q151" i="5" s="1"/>
  <c r="AO42" i="5" s="1"/>
  <c r="R121" i="5"/>
  <c r="R149" i="5" s="1"/>
  <c r="AO32" i="5" s="1"/>
  <c r="R119" i="5"/>
  <c r="R147" i="5" s="1"/>
  <c r="AO34" i="5" s="1"/>
  <c r="Q120" i="5"/>
  <c r="Q148" i="5" s="1"/>
  <c r="AO39" i="5" s="1"/>
  <c r="R127" i="5"/>
  <c r="R155" i="5" s="1"/>
  <c r="AO26" i="5" s="1"/>
  <c r="R122" i="5"/>
  <c r="R150" i="5" s="1"/>
  <c r="AO31" i="5" s="1"/>
  <c r="R130" i="5"/>
  <c r="R158" i="5" s="1"/>
  <c r="AO23" i="5" s="1"/>
  <c r="Q135" i="5"/>
  <c r="Q163" i="5" s="1"/>
  <c r="AO18" i="5" s="1"/>
  <c r="Q134" i="5"/>
  <c r="Q162" i="5" s="1"/>
  <c r="AO17" i="5" s="1"/>
  <c r="R135" i="5"/>
  <c r="R163" i="5" s="1"/>
  <c r="Q132" i="5"/>
  <c r="Q160" i="5" s="1"/>
  <c r="AO15" i="5" s="1"/>
  <c r="Q129" i="5"/>
  <c r="Q157" i="5" s="1"/>
  <c r="AO12" i="5" s="1"/>
  <c r="Q127" i="5"/>
  <c r="Q155" i="5" s="1"/>
  <c r="AO10" i="5" s="1"/>
  <c r="Q126" i="5"/>
  <c r="Q154" i="5" s="1"/>
  <c r="AO9" i="5" s="1"/>
  <c r="Q133" i="5"/>
  <c r="Q161" i="5" s="1"/>
  <c r="AO16" i="5" s="1"/>
  <c r="Q124" i="5"/>
  <c r="Q152" i="5" s="1"/>
  <c r="AO43" i="5" s="1"/>
  <c r="D92" i="5" l="1"/>
  <c r="B17" i="5"/>
  <c r="B18" i="5"/>
  <c r="D98" i="5"/>
  <c r="C115" i="5" s="1"/>
  <c r="D89" i="5"/>
  <c r="D94" i="5" s="1"/>
  <c r="B16" i="5"/>
  <c r="D88" i="5"/>
  <c r="D93" i="5" s="1"/>
  <c r="AO45" i="5"/>
  <c r="AI45" i="6"/>
  <c r="AI9" i="6"/>
  <c r="AI27" i="6" s="1"/>
  <c r="B22" i="5" l="1"/>
  <c r="B24" i="5" s="1"/>
  <c r="C119" i="5"/>
  <c r="AT32" i="5" s="1"/>
  <c r="AU32" i="5" s="1"/>
  <c r="D95" i="5"/>
  <c r="B23" i="5" l="1"/>
  <c r="D120" i="5"/>
  <c r="U130" i="5" s="1"/>
  <c r="U158" i="5" s="1"/>
  <c r="I18" i="5" s="1"/>
  <c r="AJ13" i="5" s="1"/>
  <c r="AK13" i="5" s="1"/>
  <c r="P133" i="5"/>
  <c r="P161" i="5" s="1"/>
  <c r="AN16" i="5" s="1"/>
  <c r="AR16" i="5" s="1"/>
  <c r="P120" i="5"/>
  <c r="P148" i="5" s="1"/>
  <c r="AN33" i="5" s="1"/>
  <c r="P132" i="5"/>
  <c r="P160" i="5" s="1"/>
  <c r="AN15" i="5" s="1"/>
  <c r="AR15" i="5" s="1"/>
  <c r="P126" i="5"/>
  <c r="P154" i="5" s="1"/>
  <c r="AN27" i="5" s="1"/>
  <c r="C120" i="5"/>
  <c r="P124" i="5"/>
  <c r="P152" i="5" s="1"/>
  <c r="AN29" i="5" s="1"/>
  <c r="P117" i="5"/>
  <c r="P145" i="5" s="1"/>
  <c r="AN36" i="5" s="1"/>
  <c r="P130" i="5"/>
  <c r="P158" i="5" s="1"/>
  <c r="AN23" i="5" s="1"/>
  <c r="P119" i="5"/>
  <c r="P147" i="5" s="1"/>
  <c r="AN38" i="5" s="1"/>
  <c r="P131" i="5"/>
  <c r="P159" i="5" s="1"/>
  <c r="AN22" i="5" s="1"/>
  <c r="P121" i="5"/>
  <c r="P149" i="5" s="1"/>
  <c r="AN32" i="5" s="1"/>
  <c r="P123" i="5"/>
  <c r="P151" i="5" s="1"/>
  <c r="AN30" i="5" s="1"/>
  <c r="P129" i="5"/>
  <c r="P157" i="5" s="1"/>
  <c r="AN24" i="5" s="1"/>
  <c r="P134" i="5"/>
  <c r="P162" i="5" s="1"/>
  <c r="AN19" i="5" s="1"/>
  <c r="P118" i="5"/>
  <c r="P146" i="5" s="1"/>
  <c r="AN35" i="5" s="1"/>
  <c r="P128" i="5"/>
  <c r="P156" i="5" s="1"/>
  <c r="AN11" i="5" s="1"/>
  <c r="AR11" i="5" s="1"/>
  <c r="P122" i="5"/>
  <c r="P150" i="5" s="1"/>
  <c r="AN31" i="5" s="1"/>
  <c r="P135" i="5"/>
  <c r="P163" i="5" s="1"/>
  <c r="AN18" i="5" s="1"/>
  <c r="AV32" i="5"/>
  <c r="P125" i="5"/>
  <c r="P153" i="5" s="1"/>
  <c r="AN28" i="5" s="1"/>
  <c r="P127" i="5"/>
  <c r="P155" i="5" s="1"/>
  <c r="AN10" i="5" s="1"/>
  <c r="AR10" i="5" s="1"/>
  <c r="U133" i="5" l="1"/>
  <c r="U161" i="5" s="1"/>
  <c r="I21" i="5" s="1"/>
  <c r="AJ16" i="5" s="1"/>
  <c r="AK16" i="5" s="1"/>
  <c r="V121" i="5"/>
  <c r="V149" i="5" s="1"/>
  <c r="J9" i="5" s="1"/>
  <c r="AJ32" i="5" s="1"/>
  <c r="AK32" i="5" s="1"/>
  <c r="V133" i="5"/>
  <c r="V161" i="5" s="1"/>
  <c r="J21" i="5" s="1"/>
  <c r="AJ20" i="5" s="1"/>
  <c r="AK20" i="5" s="1"/>
  <c r="V134" i="5"/>
  <c r="V162" i="5" s="1"/>
  <c r="J22" i="5" s="1"/>
  <c r="AJ19" i="5" s="1"/>
  <c r="AK19" i="5" s="1"/>
  <c r="V131" i="5"/>
  <c r="V159" i="5" s="1"/>
  <c r="J19" i="5" s="1"/>
  <c r="AJ22" i="5" s="1"/>
  <c r="AK22" i="5" s="1"/>
  <c r="U121" i="5"/>
  <c r="U149" i="5" s="1"/>
  <c r="I9" i="5" s="1"/>
  <c r="AJ40" i="5" s="1"/>
  <c r="AK40" i="5" s="1"/>
  <c r="U117" i="5"/>
  <c r="U145" i="5" s="1"/>
  <c r="I5" i="5" s="1"/>
  <c r="V125" i="5"/>
  <c r="V153" i="5" s="1"/>
  <c r="J13" i="5" s="1"/>
  <c r="AJ28" i="5" s="1"/>
  <c r="AK28" i="5" s="1"/>
  <c r="U127" i="5"/>
  <c r="U155" i="5" s="1"/>
  <c r="I15" i="5" s="1"/>
  <c r="AJ10" i="5" s="1"/>
  <c r="AK10" i="5" s="1"/>
  <c r="U134" i="5"/>
  <c r="U162" i="5" s="1"/>
  <c r="I22" i="5" s="1"/>
  <c r="AJ17" i="5" s="1"/>
  <c r="AK17" i="5" s="1"/>
  <c r="U123" i="5"/>
  <c r="U151" i="5" s="1"/>
  <c r="I11" i="5" s="1"/>
  <c r="AJ42" i="5" s="1"/>
  <c r="AK42" i="5" s="1"/>
  <c r="V120" i="5"/>
  <c r="V148" i="5" s="1"/>
  <c r="J8" i="5" s="1"/>
  <c r="AJ33" i="5" s="1"/>
  <c r="AK33" i="5" s="1"/>
  <c r="U118" i="5"/>
  <c r="U146" i="5" s="1"/>
  <c r="I6" i="5" s="1"/>
  <c r="AJ37" i="5" s="1"/>
  <c r="AK37" i="5" s="1"/>
  <c r="V122" i="5"/>
  <c r="V150" i="5" s="1"/>
  <c r="J10" i="5" s="1"/>
  <c r="AJ31" i="5" s="1"/>
  <c r="AK31" i="5" s="1"/>
  <c r="U126" i="5"/>
  <c r="U154" i="5" s="1"/>
  <c r="I14" i="5" s="1"/>
  <c r="AJ9" i="5" s="1"/>
  <c r="AK9" i="5" s="1"/>
  <c r="V119" i="5"/>
  <c r="V147" i="5" s="1"/>
  <c r="J7" i="5" s="1"/>
  <c r="AJ34" i="5" s="1"/>
  <c r="AK34" i="5" s="1"/>
  <c r="U119" i="5"/>
  <c r="U147" i="5" s="1"/>
  <c r="I7" i="5" s="1"/>
  <c r="AJ38" i="5" s="1"/>
  <c r="AK38" i="5" s="1"/>
  <c r="V126" i="5"/>
  <c r="V154" i="5" s="1"/>
  <c r="J14" i="5" s="1"/>
  <c r="AJ27" i="5" s="1"/>
  <c r="AK27" i="5" s="1"/>
  <c r="V127" i="5"/>
  <c r="V155" i="5" s="1"/>
  <c r="J15" i="5" s="1"/>
  <c r="AJ26" i="5" s="1"/>
  <c r="AK26" i="5" s="1"/>
  <c r="U135" i="5"/>
  <c r="U163" i="5" s="1"/>
  <c r="I23" i="5" s="1"/>
  <c r="AJ18" i="5" s="1"/>
  <c r="AK18" i="5" s="1"/>
  <c r="U124" i="5"/>
  <c r="U152" i="5" s="1"/>
  <c r="I12" i="5" s="1"/>
  <c r="AJ43" i="5" s="1"/>
  <c r="AK43" i="5" s="1"/>
  <c r="V118" i="5"/>
  <c r="V146" i="5" s="1"/>
  <c r="J6" i="5" s="1"/>
  <c r="AJ35" i="5" s="1"/>
  <c r="AK35" i="5" s="1"/>
  <c r="V123" i="5"/>
  <c r="V151" i="5" s="1"/>
  <c r="J11" i="5" s="1"/>
  <c r="AJ30" i="5" s="1"/>
  <c r="AK30" i="5" s="1"/>
  <c r="U132" i="5"/>
  <c r="U160" i="5" s="1"/>
  <c r="I20" i="5" s="1"/>
  <c r="AJ15" i="5" s="1"/>
  <c r="AK15" i="5" s="1"/>
  <c r="U125" i="5"/>
  <c r="U153" i="5" s="1"/>
  <c r="I13" i="5" s="1"/>
  <c r="AJ44" i="5" s="1"/>
  <c r="AK44" i="5" s="1"/>
  <c r="B21" i="5"/>
  <c r="U128" i="5"/>
  <c r="U156" i="5" s="1"/>
  <c r="I16" i="5" s="1"/>
  <c r="AJ11" i="5" s="1"/>
  <c r="AK11" i="5" s="1"/>
  <c r="V128" i="5"/>
  <c r="V156" i="5" s="1"/>
  <c r="J16" i="5" s="1"/>
  <c r="AJ25" i="5" s="1"/>
  <c r="AK25" i="5" s="1"/>
  <c r="U120" i="5"/>
  <c r="U148" i="5" s="1"/>
  <c r="I8" i="5" s="1"/>
  <c r="AJ39" i="5" s="1"/>
  <c r="AK39" i="5" s="1"/>
  <c r="U122" i="5"/>
  <c r="U150" i="5" s="1"/>
  <c r="I10" i="5" s="1"/>
  <c r="AJ41" i="5" s="1"/>
  <c r="AK41" i="5" s="1"/>
  <c r="V130" i="5"/>
  <c r="V158" i="5" s="1"/>
  <c r="J18" i="5" s="1"/>
  <c r="AJ23" i="5" s="1"/>
  <c r="AK23" i="5" s="1"/>
  <c r="V124" i="5"/>
  <c r="V152" i="5" s="1"/>
  <c r="J12" i="5" s="1"/>
  <c r="AJ29" i="5" s="1"/>
  <c r="AK29" i="5" s="1"/>
  <c r="V129" i="5"/>
  <c r="V157" i="5" s="1"/>
  <c r="J17" i="5" s="1"/>
  <c r="AJ24" i="5" s="1"/>
  <c r="AK24" i="5" s="1"/>
  <c r="V135" i="5"/>
  <c r="V163" i="5" s="1"/>
  <c r="J23" i="5" s="1"/>
  <c r="U131" i="5"/>
  <c r="U159" i="5" s="1"/>
  <c r="I19" i="5" s="1"/>
  <c r="AJ14" i="5" s="1"/>
  <c r="AK14" i="5" s="1"/>
  <c r="U129" i="5"/>
  <c r="U157" i="5" s="1"/>
  <c r="I17" i="5" s="1"/>
  <c r="AJ12" i="5" s="1"/>
  <c r="AK12" i="5" s="1"/>
  <c r="V132" i="5"/>
  <c r="V160" i="5" s="1"/>
  <c r="J20" i="5" s="1"/>
  <c r="AJ21" i="5" s="1"/>
  <c r="AK21" i="5" s="1"/>
  <c r="V117" i="5"/>
  <c r="V145" i="5" s="1"/>
  <c r="J5" i="5" s="1"/>
  <c r="AJ36" i="5" s="1"/>
  <c r="AK36" i="5" s="1"/>
  <c r="T122" i="5"/>
  <c r="T150" i="5" s="1"/>
  <c r="H10" i="5" s="1"/>
  <c r="AI41" i="5" s="1"/>
  <c r="AI31" i="5" s="1"/>
  <c r="B15" i="5"/>
  <c r="T134" i="5"/>
  <c r="T162" i="5" s="1"/>
  <c r="H22" i="5" s="1"/>
  <c r="AI17" i="5" s="1"/>
  <c r="AI19" i="5" s="1"/>
  <c r="T121" i="5"/>
  <c r="T149" i="5" s="1"/>
  <c r="H9" i="5" s="1"/>
  <c r="AI40" i="5" s="1"/>
  <c r="AI32" i="5" s="1"/>
  <c r="AN9" i="5"/>
  <c r="AM9" i="5" s="1"/>
  <c r="T131" i="5"/>
  <c r="T159" i="5" s="1"/>
  <c r="H19" i="5" s="1"/>
  <c r="AI14" i="5" s="1"/>
  <c r="AI22" i="5" s="1"/>
  <c r="T127" i="5"/>
  <c r="T155" i="5" s="1"/>
  <c r="H15" i="5" s="1"/>
  <c r="AI10" i="5" s="1"/>
  <c r="AI26" i="5" s="1"/>
  <c r="AN41" i="5"/>
  <c r="AN21" i="5"/>
  <c r="AM15" i="5"/>
  <c r="AN39" i="5"/>
  <c r="T129" i="5"/>
  <c r="T157" i="5" s="1"/>
  <c r="H17" i="5" s="1"/>
  <c r="AI12" i="5" s="1"/>
  <c r="AI24" i="5" s="1"/>
  <c r="T126" i="5"/>
  <c r="T154" i="5" s="1"/>
  <c r="H14" i="5" s="1"/>
  <c r="AI9" i="5" s="1"/>
  <c r="AI27" i="5" s="1"/>
  <c r="T124" i="5"/>
  <c r="T152" i="5" s="1"/>
  <c r="H12" i="5" s="1"/>
  <c r="AI43" i="5" s="1"/>
  <c r="AI29" i="5" s="1"/>
  <c r="T130" i="5"/>
  <c r="T158" i="5" s="1"/>
  <c r="H18" i="5" s="1"/>
  <c r="AI13" i="5" s="1"/>
  <c r="AI23" i="5" s="1"/>
  <c r="T118" i="5"/>
  <c r="T146" i="5" s="1"/>
  <c r="H6" i="5" s="1"/>
  <c r="AI37" i="5" s="1"/>
  <c r="AI35" i="5" s="1"/>
  <c r="AM16" i="5"/>
  <c r="T119" i="5"/>
  <c r="T147" i="5" s="1"/>
  <c r="H7" i="5" s="1"/>
  <c r="AI38" i="5" s="1"/>
  <c r="AI34" i="5" s="1"/>
  <c r="T128" i="5"/>
  <c r="T156" i="5" s="1"/>
  <c r="H16" i="5" s="1"/>
  <c r="AI11" i="5" s="1"/>
  <c r="AI25" i="5" s="1"/>
  <c r="AN20" i="5"/>
  <c r="T132" i="5"/>
  <c r="T160" i="5" s="1"/>
  <c r="H20" i="5" s="1"/>
  <c r="AI15" i="5" s="1"/>
  <c r="AI21" i="5" s="1"/>
  <c r="B20" i="5"/>
  <c r="T117" i="5"/>
  <c r="T145" i="5" s="1"/>
  <c r="H5" i="5" s="1"/>
  <c r="AI36" i="5" s="1"/>
  <c r="T125" i="5"/>
  <c r="T153" i="5" s="1"/>
  <c r="H13" i="5" s="1"/>
  <c r="AI44" i="5" s="1"/>
  <c r="AI28" i="5" s="1"/>
  <c r="T123" i="5"/>
  <c r="T151" i="5" s="1"/>
  <c r="H11" i="5" s="1"/>
  <c r="AI42" i="5" s="1"/>
  <c r="AI30" i="5" s="1"/>
  <c r="T135" i="5"/>
  <c r="T163" i="5" s="1"/>
  <c r="H23" i="5" s="1"/>
  <c r="T133" i="5"/>
  <c r="T161" i="5" s="1"/>
  <c r="H21" i="5" s="1"/>
  <c r="AI16" i="5" s="1"/>
  <c r="AI20" i="5" s="1"/>
  <c r="T120" i="5"/>
  <c r="T148" i="5" s="1"/>
  <c r="H8" i="5" s="1"/>
  <c r="AI39" i="5" s="1"/>
  <c r="AI33" i="5" s="1"/>
  <c r="AN37" i="5"/>
  <c r="AN45" i="5"/>
  <c r="AN14" i="5"/>
  <c r="AR14" i="5" s="1"/>
  <c r="AN13" i="5"/>
  <c r="AR13" i="5" s="1"/>
  <c r="AN25" i="5"/>
  <c r="AM11" i="5"/>
  <c r="AN34" i="5"/>
  <c r="AN17" i="5"/>
  <c r="AM17" i="5" s="1"/>
  <c r="AN43" i="5"/>
  <c r="AN42" i="5"/>
  <c r="AN12" i="5"/>
  <c r="AR12" i="5" s="1"/>
  <c r="AN44" i="5"/>
  <c r="AN26" i="5"/>
  <c r="AN40" i="5"/>
  <c r="AM10" i="5"/>
  <c r="AI45" i="4"/>
  <c r="AI9" i="4"/>
  <c r="AI27" i="4" s="1"/>
  <c r="B4" i="4"/>
  <c r="I5" i="4" s="1"/>
  <c r="J5" i="4" s="1"/>
  <c r="AJ45" i="5" l="1"/>
  <c r="AK45" i="5" s="1"/>
  <c r="L24" i="5"/>
  <c r="L9" i="5"/>
  <c r="AR17" i="5"/>
  <c r="L5" i="5"/>
  <c r="L21" i="5"/>
  <c r="L10" i="5"/>
  <c r="L20" i="5"/>
  <c r="L8" i="5"/>
  <c r="L19" i="5"/>
  <c r="L13" i="5"/>
  <c r="L6" i="5"/>
  <c r="L23" i="5"/>
  <c r="L22" i="5"/>
  <c r="L16" i="5"/>
  <c r="AM14" i="5"/>
  <c r="AI18" i="5"/>
  <c r="L18" i="5"/>
  <c r="L17" i="5"/>
  <c r="L15" i="5"/>
  <c r="L7" i="5"/>
  <c r="L14" i="5"/>
  <c r="AM13" i="5"/>
  <c r="AM12" i="5"/>
  <c r="I14" i="6"/>
  <c r="AJ9" i="6" s="1"/>
  <c r="AK9" i="6" s="1"/>
  <c r="B23" i="4"/>
  <c r="I23" i="4"/>
  <c r="J23" i="4" s="1"/>
  <c r="AJ36" i="4"/>
  <c r="B12" i="4" l="1"/>
  <c r="D12" i="4" s="1"/>
  <c r="B11" i="4"/>
  <c r="H19" i="4" s="1"/>
  <c r="H9" i="4" s="1"/>
  <c r="AI40" i="4" s="1"/>
  <c r="AI32" i="4" s="1"/>
  <c r="D12" i="6"/>
  <c r="B15" i="4"/>
  <c r="B14" i="4"/>
  <c r="AJ45" i="6"/>
  <c r="AK45" i="6" s="1"/>
  <c r="AK36" i="4"/>
  <c r="D11" i="6"/>
  <c r="H15" i="6"/>
  <c r="H23" i="6"/>
  <c r="H20" i="6"/>
  <c r="H16" i="6"/>
  <c r="H22" i="6"/>
  <c r="H18" i="6"/>
  <c r="H17" i="6"/>
  <c r="H21" i="6"/>
  <c r="H19" i="6"/>
  <c r="AJ18" i="4"/>
  <c r="AK18" i="4" s="1"/>
  <c r="B21" i="4" l="1"/>
  <c r="I9" i="4" s="1"/>
  <c r="AJ40" i="4" s="1"/>
  <c r="AK40" i="4" s="1"/>
  <c r="B7" i="6"/>
  <c r="B18" i="6" s="1"/>
  <c r="B24" i="6" s="1"/>
  <c r="B5" i="6"/>
  <c r="B21" i="6" s="1"/>
  <c r="I22" i="6" s="1"/>
  <c r="B4" i="6"/>
  <c r="B6" i="6"/>
  <c r="B26" i="6" s="1"/>
  <c r="H16" i="4"/>
  <c r="AI11" i="4" s="1"/>
  <c r="AI25" i="4" s="1"/>
  <c r="H22" i="4"/>
  <c r="AI17" i="4" s="1"/>
  <c r="AI19" i="4" s="1"/>
  <c r="H17" i="4"/>
  <c r="AI12" i="4" s="1"/>
  <c r="AI24" i="4" s="1"/>
  <c r="H15" i="4"/>
  <c r="AI14" i="4"/>
  <c r="AI22" i="4" s="1"/>
  <c r="H18" i="4"/>
  <c r="AI13" i="4" s="1"/>
  <c r="AI23" i="4" s="1"/>
  <c r="H20" i="4"/>
  <c r="AI15" i="4" s="1"/>
  <c r="AI21" i="4" s="1"/>
  <c r="H23" i="4"/>
  <c r="B18" i="4" s="1"/>
  <c r="B24" i="4" s="1"/>
  <c r="I14" i="4"/>
  <c r="AJ9" i="4" s="1"/>
  <c r="AK9" i="4" s="1"/>
  <c r="D11" i="4"/>
  <c r="H21" i="4"/>
  <c r="H7" i="4" s="1"/>
  <c r="AI38" i="4" s="1"/>
  <c r="AI34" i="4" s="1"/>
  <c r="H12" i="6"/>
  <c r="AI11" i="6"/>
  <c r="AI25" i="6" s="1"/>
  <c r="H8" i="6"/>
  <c r="AI15" i="6"/>
  <c r="AI21" i="6" s="1"/>
  <c r="AI17" i="6"/>
  <c r="AI19" i="6" s="1"/>
  <c r="H6" i="6"/>
  <c r="AI18" i="6"/>
  <c r="H5" i="6"/>
  <c r="AI36" i="6" s="1"/>
  <c r="H9" i="6"/>
  <c r="AI14" i="6"/>
  <c r="AI22" i="6" s="1"/>
  <c r="H13" i="6"/>
  <c r="AI10" i="6"/>
  <c r="AI26" i="6" s="1"/>
  <c r="AI16" i="6"/>
  <c r="AI20" i="6" s="1"/>
  <c r="H7" i="6"/>
  <c r="H11" i="6"/>
  <c r="AI12" i="6"/>
  <c r="AI24" i="6" s="1"/>
  <c r="H10" i="6"/>
  <c r="AI13" i="6"/>
  <c r="AI23" i="6" s="1"/>
  <c r="H6" i="4" l="1"/>
  <c r="J6" i="4" s="1"/>
  <c r="AJ35" i="4" s="1"/>
  <c r="AK35" i="4" s="1"/>
  <c r="H11" i="4"/>
  <c r="AI42" i="4" s="1"/>
  <c r="AI30" i="4" s="1"/>
  <c r="AI10" i="4"/>
  <c r="AI26" i="4" s="1"/>
  <c r="J14" i="6"/>
  <c r="AJ27" i="6" s="1"/>
  <c r="AK27" i="6" s="1"/>
  <c r="J8" i="6"/>
  <c r="AJ33" i="6" s="1"/>
  <c r="AK33" i="6" s="1"/>
  <c r="I17" i="6"/>
  <c r="AJ12" i="6" s="1"/>
  <c r="AK12" i="6" s="1"/>
  <c r="I19" i="6"/>
  <c r="AJ14" i="6" s="1"/>
  <c r="AK14" i="6" s="1"/>
  <c r="I21" i="6"/>
  <c r="AJ16" i="6" s="1"/>
  <c r="AK16" i="6" s="1"/>
  <c r="I20" i="6"/>
  <c r="I18" i="6"/>
  <c r="AJ13" i="6" s="1"/>
  <c r="AK13" i="6" s="1"/>
  <c r="I16" i="6"/>
  <c r="AJ11" i="6" s="1"/>
  <c r="AK11" i="6" s="1"/>
  <c r="I15" i="6"/>
  <c r="AJ10" i="6" s="1"/>
  <c r="AK10" i="6" s="1"/>
  <c r="AJ45" i="4"/>
  <c r="AK45" i="4" s="1"/>
  <c r="J17" i="6"/>
  <c r="AJ24" i="6" s="1"/>
  <c r="AK24" i="6" s="1"/>
  <c r="I5" i="6"/>
  <c r="J5" i="6" s="1"/>
  <c r="AJ36" i="6" s="1"/>
  <c r="AK36" i="6" s="1"/>
  <c r="B23" i="6"/>
  <c r="J7" i="6" s="1"/>
  <c r="AJ34" i="6" s="1"/>
  <c r="AK34" i="6" s="1"/>
  <c r="I23" i="6"/>
  <c r="J20" i="6"/>
  <c r="AJ21" i="6" s="1"/>
  <c r="AK21" i="6" s="1"/>
  <c r="J19" i="6"/>
  <c r="AJ22" i="6" s="1"/>
  <c r="AK22" i="6" s="1"/>
  <c r="J16" i="6"/>
  <c r="AJ25" i="6" s="1"/>
  <c r="AK25" i="6" s="1"/>
  <c r="J15" i="6"/>
  <c r="AJ26" i="6" s="1"/>
  <c r="AK26" i="6" s="1"/>
  <c r="J18" i="6"/>
  <c r="AJ23" i="6" s="1"/>
  <c r="AK23" i="6" s="1"/>
  <c r="H12" i="4"/>
  <c r="AI43" i="4" s="1"/>
  <c r="AI29" i="4" s="1"/>
  <c r="H13" i="4"/>
  <c r="H10" i="4"/>
  <c r="I10" i="4" s="1"/>
  <c r="AJ41" i="4" s="1"/>
  <c r="AK41" i="4" s="1"/>
  <c r="H8" i="4"/>
  <c r="AI18" i="4"/>
  <c r="H5" i="4"/>
  <c r="AI36" i="4" s="1"/>
  <c r="I19" i="4"/>
  <c r="AJ14" i="4" s="1"/>
  <c r="AK14" i="4" s="1"/>
  <c r="I17" i="4"/>
  <c r="AJ12" i="4" s="1"/>
  <c r="AK12" i="4" s="1"/>
  <c r="I16" i="4"/>
  <c r="AJ11" i="4" s="1"/>
  <c r="AK11" i="4" s="1"/>
  <c r="I7" i="4"/>
  <c r="AJ38" i="4" s="1"/>
  <c r="AK38" i="4" s="1"/>
  <c r="J21" i="4"/>
  <c r="AJ20" i="4" s="1"/>
  <c r="AK20" i="4" s="1"/>
  <c r="I20" i="4"/>
  <c r="AJ15" i="4" s="1"/>
  <c r="AK15" i="4" s="1"/>
  <c r="J7" i="4"/>
  <c r="AJ34" i="4" s="1"/>
  <c r="AK34" i="4" s="1"/>
  <c r="J22" i="4"/>
  <c r="AJ19" i="4" s="1"/>
  <c r="AK19" i="4" s="1"/>
  <c r="I18" i="4"/>
  <c r="AJ13" i="4" s="1"/>
  <c r="AK13" i="4" s="1"/>
  <c r="I22" i="4"/>
  <c r="AJ17" i="4" s="1"/>
  <c r="AK17" i="4" s="1"/>
  <c r="AI16" i="4"/>
  <c r="AI20" i="4" s="1"/>
  <c r="I15" i="4"/>
  <c r="I21" i="4"/>
  <c r="AJ16" i="4" s="1"/>
  <c r="AK16" i="4" s="1"/>
  <c r="AI38" i="6"/>
  <c r="AI34" i="6" s="1"/>
  <c r="I7" i="6"/>
  <c r="AI37" i="6"/>
  <c r="AI35" i="6" s="1"/>
  <c r="I6" i="6"/>
  <c r="AI40" i="6"/>
  <c r="AI32" i="6" s="1"/>
  <c r="I9" i="6"/>
  <c r="J9" i="6"/>
  <c r="AJ32" i="6" s="1"/>
  <c r="AK32" i="6" s="1"/>
  <c r="AI41" i="6"/>
  <c r="AI31" i="6" s="1"/>
  <c r="I10" i="6"/>
  <c r="J10" i="6"/>
  <c r="AJ31" i="6" s="1"/>
  <c r="AK31" i="6" s="1"/>
  <c r="AI39" i="6"/>
  <c r="AI33" i="6" s="1"/>
  <c r="I8" i="6"/>
  <c r="AJ17" i="6"/>
  <c r="AK17" i="6" s="1"/>
  <c r="AI42" i="6"/>
  <c r="AI30" i="6" s="1"/>
  <c r="I11" i="6"/>
  <c r="J11" i="6"/>
  <c r="AJ30" i="6" s="1"/>
  <c r="AK30" i="6" s="1"/>
  <c r="AI44" i="6"/>
  <c r="AI28" i="6" s="1"/>
  <c r="I13" i="6"/>
  <c r="J13" i="6"/>
  <c r="AJ28" i="6" s="1"/>
  <c r="AK28" i="6" s="1"/>
  <c r="AI43" i="6"/>
  <c r="AI29" i="6" s="1"/>
  <c r="I12" i="6"/>
  <c r="J12" i="6"/>
  <c r="AJ29" i="6" s="1"/>
  <c r="AK29" i="6" s="1"/>
  <c r="AI39" i="4" l="1"/>
  <c r="AI33" i="4" s="1"/>
  <c r="I8" i="4"/>
  <c r="AJ39" i="4" s="1"/>
  <c r="AK39" i="4" s="1"/>
  <c r="AI37" i="4"/>
  <c r="AI35" i="4" s="1"/>
  <c r="I6" i="4"/>
  <c r="AJ37" i="4" s="1"/>
  <c r="AK37" i="4" s="1"/>
  <c r="J21" i="6"/>
  <c r="AJ20" i="6" s="1"/>
  <c r="AK20" i="6" s="1"/>
  <c r="J22" i="6"/>
  <c r="AJ19" i="6" s="1"/>
  <c r="AK19" i="6" s="1"/>
  <c r="J6" i="6"/>
  <c r="AJ35" i="6" s="1"/>
  <c r="AK35" i="6" s="1"/>
  <c r="I11" i="4"/>
  <c r="AJ42" i="4" s="1"/>
  <c r="AK42" i="4" s="1"/>
  <c r="L19" i="6"/>
  <c r="AJ15" i="6"/>
  <c r="AK15" i="6" s="1"/>
  <c r="AI44" i="4"/>
  <c r="AI28" i="4" s="1"/>
  <c r="I13" i="4"/>
  <c r="AJ44" i="4" s="1"/>
  <c r="AK44" i="4" s="1"/>
  <c r="L18" i="6"/>
  <c r="L17" i="6"/>
  <c r="L14" i="6"/>
  <c r="AJ18" i="6"/>
  <c r="AK18" i="6" s="1"/>
  <c r="J23" i="6"/>
  <c r="L15" i="6"/>
  <c r="L16" i="6"/>
  <c r="I12" i="4"/>
  <c r="AJ43" i="4" s="1"/>
  <c r="AK43" i="4" s="1"/>
  <c r="AI41" i="4"/>
  <c r="AI31" i="4" s="1"/>
  <c r="AJ10" i="4"/>
  <c r="AK10" i="4" s="1"/>
  <c r="L22" i="4"/>
  <c r="L21" i="4"/>
  <c r="AJ37" i="6"/>
  <c r="AK37" i="6" s="1"/>
  <c r="AJ42" i="6"/>
  <c r="AK42" i="6" s="1"/>
  <c r="L11" i="6"/>
  <c r="AJ41" i="6"/>
  <c r="AK41" i="6" s="1"/>
  <c r="L10" i="6"/>
  <c r="AJ38" i="6"/>
  <c r="AK38" i="6" s="1"/>
  <c r="L7" i="6"/>
  <c r="AJ43" i="6"/>
  <c r="AK43" i="6" s="1"/>
  <c r="L12" i="6"/>
  <c r="L13" i="6"/>
  <c r="AJ44" i="6"/>
  <c r="AK44" i="6" s="1"/>
  <c r="L8" i="6"/>
  <c r="AJ39" i="6"/>
  <c r="AK39" i="6" s="1"/>
  <c r="L9" i="6"/>
  <c r="AJ40" i="6"/>
  <c r="AK40" i="6" s="1"/>
  <c r="L6" i="4" l="1"/>
  <c r="L5" i="4"/>
  <c r="L6" i="6"/>
  <c r="L22" i="6"/>
  <c r="L20" i="6"/>
  <c r="L21" i="6"/>
  <c r="L5" i="6"/>
  <c r="I23" i="2"/>
  <c r="AJ18" i="2" s="1"/>
  <c r="AK18" i="2" s="1"/>
  <c r="H18" i="2"/>
  <c r="J18" i="2" s="1"/>
  <c r="AI45" i="2"/>
  <c r="AI9" i="2"/>
  <c r="AI27" i="2" s="1"/>
  <c r="I26" i="6" l="1"/>
  <c r="B10" i="6" s="1"/>
  <c r="AJ27" i="2"/>
  <c r="AK27" i="2" s="1"/>
  <c r="J23" i="2"/>
  <c r="D12" i="2"/>
  <c r="D11" i="2"/>
  <c r="H21" i="2"/>
  <c r="H15" i="2"/>
  <c r="J15" i="2" s="1"/>
  <c r="H19" i="2"/>
  <c r="H20" i="2"/>
  <c r="I20" i="2" s="1"/>
  <c r="H22" i="2"/>
  <c r="H16" i="2"/>
  <c r="H17" i="2"/>
  <c r="AI13" i="2"/>
  <c r="AI23" i="2" s="1"/>
  <c r="H10" i="2"/>
  <c r="H23" i="2"/>
  <c r="B20" i="2" s="1"/>
  <c r="H21" i="1"/>
  <c r="H22" i="1"/>
  <c r="H23" i="1"/>
  <c r="H7" i="1" s="1"/>
  <c r="I7" i="1" s="1"/>
  <c r="H20" i="1"/>
  <c r="H16" i="1"/>
  <c r="H14" i="1" s="1"/>
  <c r="AI44" i="1" s="1"/>
  <c r="AI28" i="1" s="1"/>
  <c r="H17" i="1"/>
  <c r="AI11" i="1" s="1"/>
  <c r="H18" i="1"/>
  <c r="H12" i="1" s="1"/>
  <c r="H19" i="1"/>
  <c r="H11" i="1" s="1"/>
  <c r="H24" i="1"/>
  <c r="H6" i="1" s="1"/>
  <c r="AI36" i="1" s="1"/>
  <c r="AI9" i="1"/>
  <c r="AI45" i="1" s="1"/>
  <c r="B29" i="1"/>
  <c r="I24" i="1"/>
  <c r="J6" i="1"/>
  <c r="B26" i="1"/>
  <c r="I15" i="1"/>
  <c r="AJ9" i="1" s="1"/>
  <c r="AJ45" i="1" s="1"/>
  <c r="AI27" i="1" l="1"/>
  <c r="BC9" i="5"/>
  <c r="AH9" i="1"/>
  <c r="BB9" i="5" s="1"/>
  <c r="BD9" i="5"/>
  <c r="AI25" i="1"/>
  <c r="AH11" i="1"/>
  <c r="BC11" i="5"/>
  <c r="J19" i="2"/>
  <c r="I19" i="2"/>
  <c r="AJ14" i="2" s="1"/>
  <c r="AK14" i="2" s="1"/>
  <c r="AI15" i="2"/>
  <c r="AI21" i="2" s="1"/>
  <c r="AI16" i="1"/>
  <c r="AI14" i="1"/>
  <c r="AI16" i="2"/>
  <c r="AI20" i="2" s="1"/>
  <c r="AI15" i="1"/>
  <c r="AI17" i="2"/>
  <c r="AI19" i="2" s="1"/>
  <c r="AI12" i="2"/>
  <c r="AI24" i="2" s="1"/>
  <c r="J17" i="2"/>
  <c r="AI11" i="2"/>
  <c r="AI25" i="2" s="1"/>
  <c r="J16" i="2"/>
  <c r="AI14" i="2"/>
  <c r="AI22" i="2" s="1"/>
  <c r="AI41" i="2"/>
  <c r="AI31" i="2" s="1"/>
  <c r="J10" i="2"/>
  <c r="B26" i="2"/>
  <c r="J22" i="2" s="1"/>
  <c r="H11" i="2"/>
  <c r="J18" i="1"/>
  <c r="J17" i="1"/>
  <c r="J14" i="1"/>
  <c r="J16" i="1"/>
  <c r="J15" i="1"/>
  <c r="AJ27" i="1" s="1"/>
  <c r="J12" i="1"/>
  <c r="J19" i="1"/>
  <c r="J11" i="1"/>
  <c r="AJ18" i="1"/>
  <c r="BD18" i="5" s="1"/>
  <c r="J24" i="1"/>
  <c r="H9" i="2"/>
  <c r="J9" i="2" s="1"/>
  <c r="H7" i="2"/>
  <c r="H8" i="2"/>
  <c r="I8" i="2" s="1"/>
  <c r="I15" i="2"/>
  <c r="AJ10" i="2" s="1"/>
  <c r="AK10" i="2" s="1"/>
  <c r="H12" i="2"/>
  <c r="J12" i="2" s="1"/>
  <c r="I10" i="2"/>
  <c r="AJ41" i="2" s="1"/>
  <c r="AK41" i="2" s="1"/>
  <c r="I17" i="2"/>
  <c r="AJ12" i="2" s="1"/>
  <c r="AK12" i="2" s="1"/>
  <c r="AJ45" i="2"/>
  <c r="AK45" i="2" s="1"/>
  <c r="I18" i="2"/>
  <c r="AJ13" i="2" s="1"/>
  <c r="AK13" i="2" s="1"/>
  <c r="H6" i="2"/>
  <c r="H13" i="2"/>
  <c r="J13" i="2" s="1"/>
  <c r="AI10" i="2"/>
  <c r="AI26" i="2" s="1"/>
  <c r="I16" i="2"/>
  <c r="AJ11" i="2" s="1"/>
  <c r="AK11" i="2" s="1"/>
  <c r="AI18" i="2"/>
  <c r="H5" i="2"/>
  <c r="I23" i="1"/>
  <c r="AJ17" i="1" s="1"/>
  <c r="BD17" i="5" s="1"/>
  <c r="AI17" i="1"/>
  <c r="AI13" i="1"/>
  <c r="AI41" i="1"/>
  <c r="AI31" i="1" s="1"/>
  <c r="B21" i="1"/>
  <c r="B27" i="1" s="1"/>
  <c r="H10" i="1"/>
  <c r="AI18" i="1"/>
  <c r="H13" i="1"/>
  <c r="I13" i="1" s="1"/>
  <c r="AJ43" i="1" s="1"/>
  <c r="I19" i="1"/>
  <c r="AJ13" i="1" s="1"/>
  <c r="BD13" i="5" s="1"/>
  <c r="I12" i="1"/>
  <c r="AJ42" i="1" s="1"/>
  <c r="AI42" i="1"/>
  <c r="AI30" i="1" s="1"/>
  <c r="AI37" i="1"/>
  <c r="AI35" i="1" s="1"/>
  <c r="AI12" i="1"/>
  <c r="H8" i="1"/>
  <c r="H9" i="1"/>
  <c r="I9" i="1" s="1"/>
  <c r="AI10" i="1"/>
  <c r="I18" i="1"/>
  <c r="AJ12" i="1" s="1"/>
  <c r="BD12" i="5" s="1"/>
  <c r="I11" i="1"/>
  <c r="AJ41" i="1" s="1"/>
  <c r="I21" i="1"/>
  <c r="AJ15" i="1" s="1"/>
  <c r="BD15" i="5" s="1"/>
  <c r="I22" i="1"/>
  <c r="AJ16" i="1" s="1"/>
  <c r="BD16" i="5" s="1"/>
  <c r="I16" i="1"/>
  <c r="AJ10" i="1" s="1"/>
  <c r="BD10" i="5" s="1"/>
  <c r="I20" i="1"/>
  <c r="AJ14" i="1" s="1"/>
  <c r="BD14" i="5" s="1"/>
  <c r="I14" i="1"/>
  <c r="AJ44" i="1" s="1"/>
  <c r="I17" i="1"/>
  <c r="AJ11" i="1" s="1"/>
  <c r="BD11" i="5" s="1"/>
  <c r="J8" i="2" l="1"/>
  <c r="AJ39" i="2"/>
  <c r="AK39" i="2" s="1"/>
  <c r="I7" i="2"/>
  <c r="I21" i="2"/>
  <c r="AJ16" i="2" s="1"/>
  <c r="AK16" i="2" s="1"/>
  <c r="I6" i="2"/>
  <c r="AJ37" i="2" s="1"/>
  <c r="AK37" i="2" s="1"/>
  <c r="I22" i="2"/>
  <c r="AJ17" i="2" s="1"/>
  <c r="AK17" i="2" s="1"/>
  <c r="AI19" i="1"/>
  <c r="AH17" i="1"/>
  <c r="BC17" i="5"/>
  <c r="AI20" i="1"/>
  <c r="BC16" i="5"/>
  <c r="AH16" i="1"/>
  <c r="AI26" i="1"/>
  <c r="BC10" i="5"/>
  <c r="AH10" i="1"/>
  <c r="AI23" i="1"/>
  <c r="BC13" i="5"/>
  <c r="AH13" i="1"/>
  <c r="AH18" i="1"/>
  <c r="BB18" i="5" s="1"/>
  <c r="BC18" i="5"/>
  <c r="AI22" i="1"/>
  <c r="BC14" i="5"/>
  <c r="AH14" i="1"/>
  <c r="I8" i="1"/>
  <c r="AJ38" i="1" s="1"/>
  <c r="AI24" i="1"/>
  <c r="BC12" i="5"/>
  <c r="AH12" i="1"/>
  <c r="AI21" i="1"/>
  <c r="BC15" i="5"/>
  <c r="AH15" i="1"/>
  <c r="AT9" i="5"/>
  <c r="BB11" i="5"/>
  <c r="AJ15" i="2"/>
  <c r="AK15" i="2" s="1"/>
  <c r="J20" i="2"/>
  <c r="J21" i="2"/>
  <c r="J7" i="2"/>
  <c r="J6" i="2"/>
  <c r="AI36" i="2"/>
  <c r="AJ36" i="2"/>
  <c r="AK36" i="2" s="1"/>
  <c r="J21" i="1"/>
  <c r="J9" i="1"/>
  <c r="J10" i="1"/>
  <c r="J22" i="1"/>
  <c r="J20" i="1"/>
  <c r="AI40" i="1"/>
  <c r="AI32" i="1" s="1"/>
  <c r="AI39" i="1"/>
  <c r="AI33" i="1" s="1"/>
  <c r="I11" i="2"/>
  <c r="AJ42" i="2" s="1"/>
  <c r="AK42" i="2" s="1"/>
  <c r="J11" i="2"/>
  <c r="AJ30" i="2" s="1"/>
  <c r="AK30" i="2" s="1"/>
  <c r="AI39" i="2"/>
  <c r="AI33" i="2" s="1"/>
  <c r="AI40" i="2"/>
  <c r="AI32" i="2" s="1"/>
  <c r="AI38" i="2"/>
  <c r="AI34" i="2" s="1"/>
  <c r="J8" i="1"/>
  <c r="AI43" i="2"/>
  <c r="AI29" i="2" s="1"/>
  <c r="AJ29" i="2"/>
  <c r="AK29" i="2" s="1"/>
  <c r="I9" i="2"/>
  <c r="AJ40" i="2" s="1"/>
  <c r="AK40" i="2" s="1"/>
  <c r="J23" i="1"/>
  <c r="J13" i="1"/>
  <c r="J7" i="1"/>
  <c r="AI42" i="2"/>
  <c r="AI30" i="2" s="1"/>
  <c r="AI37" i="2"/>
  <c r="AI35" i="2" s="1"/>
  <c r="I12" i="2"/>
  <c r="AJ43" i="2" s="1"/>
  <c r="AK43" i="2" s="1"/>
  <c r="AI44" i="2"/>
  <c r="AI28" i="2" s="1"/>
  <c r="I13" i="2"/>
  <c r="AJ44" i="2" s="1"/>
  <c r="AK44" i="2" s="1"/>
  <c r="I10" i="1"/>
  <c r="AJ40" i="1" s="1"/>
  <c r="AJ39" i="1"/>
  <c r="AI43" i="1"/>
  <c r="AI29" i="1" s="1"/>
  <c r="AJ37" i="1"/>
  <c r="AI38" i="1"/>
  <c r="AI34" i="1" s="1"/>
  <c r="AU9" i="5" l="1"/>
  <c r="BB12" i="5"/>
  <c r="BB16" i="5"/>
  <c r="AY9" i="5"/>
  <c r="BB13" i="5"/>
  <c r="AV9" i="5"/>
  <c r="AT15" i="5"/>
  <c r="AT11" i="5"/>
  <c r="AT10" i="5"/>
  <c r="AT16" i="5"/>
  <c r="AT17" i="5"/>
  <c r="AT13" i="5"/>
  <c r="AT12" i="5"/>
  <c r="AT14" i="5"/>
  <c r="AZ9" i="5"/>
  <c r="BB17" i="5"/>
  <c r="BB15" i="5"/>
  <c r="AX9" i="5"/>
  <c r="AW9" i="5"/>
  <c r="BB14" i="5"/>
  <c r="AS9" i="5"/>
  <c r="BB10" i="5"/>
  <c r="AJ38" i="2"/>
  <c r="AK38" i="2" s="1"/>
  <c r="AJ20" i="2"/>
  <c r="AK20" i="2" s="1"/>
  <c r="AJ33" i="2"/>
  <c r="AK33" i="2" s="1"/>
  <c r="L11" i="2"/>
  <c r="AJ32" i="2"/>
  <c r="AK32" i="2" s="1"/>
  <c r="L12" i="2"/>
  <c r="AJ22" i="2"/>
  <c r="AK22" i="2" s="1"/>
  <c r="AJ23" i="2"/>
  <c r="AK23" i="2" s="1"/>
  <c r="L18" i="2"/>
  <c r="AJ26" i="2"/>
  <c r="AK26" i="2" s="1"/>
  <c r="L15" i="2"/>
  <c r="L14" i="2"/>
  <c r="AJ31" i="2"/>
  <c r="AK31" i="2" s="1"/>
  <c r="L10" i="2"/>
  <c r="AJ28" i="2"/>
  <c r="AK28" i="2" s="1"/>
  <c r="L13" i="2"/>
  <c r="AJ25" i="2"/>
  <c r="AK25" i="2" s="1"/>
  <c r="L16" i="2"/>
  <c r="AJ24" i="2"/>
  <c r="AK24" i="2" s="1"/>
  <c r="L17" i="2"/>
  <c r="L7" i="1"/>
  <c r="AJ29" i="1"/>
  <c r="L12" i="1"/>
  <c r="AJ33" i="1"/>
  <c r="L8" i="1"/>
  <c r="AJ23" i="1"/>
  <c r="L18" i="1"/>
  <c r="AJ32" i="1"/>
  <c r="L9" i="1"/>
  <c r="AJ22" i="1"/>
  <c r="L19" i="1"/>
  <c r="AJ24" i="1"/>
  <c r="L17" i="1"/>
  <c r="AJ34" i="1"/>
  <c r="AJ28" i="1"/>
  <c r="L13" i="1"/>
  <c r="AJ30" i="1"/>
  <c r="L11" i="1"/>
  <c r="AJ21" i="1"/>
  <c r="L20" i="1"/>
  <c r="AJ35" i="1"/>
  <c r="L6" i="1"/>
  <c r="AJ20" i="1"/>
  <c r="L21" i="1"/>
  <c r="AJ19" i="1"/>
  <c r="L22" i="1"/>
  <c r="AJ36" i="1"/>
  <c r="L5" i="1"/>
  <c r="AJ31" i="1"/>
  <c r="L10" i="1"/>
  <c r="AJ26" i="1"/>
  <c r="L14" i="1"/>
  <c r="L15" i="1"/>
  <c r="AJ25" i="1"/>
  <c r="L16" i="1"/>
  <c r="AZ16" i="5" l="1"/>
  <c r="AZ15" i="5"/>
  <c r="AZ11" i="5"/>
  <c r="AZ10" i="5"/>
  <c r="AZ17" i="5"/>
  <c r="AZ13" i="5"/>
  <c r="AZ12" i="5"/>
  <c r="AZ14" i="5"/>
  <c r="AV15" i="5"/>
  <c r="AV11" i="5"/>
  <c r="AV10" i="5"/>
  <c r="AV16" i="5"/>
  <c r="AV12" i="5"/>
  <c r="AV14" i="5"/>
  <c r="AV13" i="5"/>
  <c r="AV17" i="5"/>
  <c r="AS15" i="5"/>
  <c r="AS10" i="5"/>
  <c r="AS11" i="5"/>
  <c r="AS16" i="5"/>
  <c r="AS13" i="5"/>
  <c r="AS17" i="5"/>
  <c r="AS14" i="5"/>
  <c r="AS12" i="5"/>
  <c r="AY10" i="5"/>
  <c r="AY15" i="5"/>
  <c r="AY16" i="5"/>
  <c r="AY11" i="5"/>
  <c r="AY13" i="5"/>
  <c r="AY17" i="5"/>
  <c r="AY12" i="5"/>
  <c r="AY14" i="5"/>
  <c r="AW16" i="5"/>
  <c r="AW15" i="5"/>
  <c r="AW10" i="5"/>
  <c r="AW11" i="5"/>
  <c r="AW13" i="5"/>
  <c r="AW17" i="5"/>
  <c r="AW14" i="5"/>
  <c r="AW12" i="5"/>
  <c r="AX10" i="5"/>
  <c r="AX15" i="5"/>
  <c r="AX11" i="5"/>
  <c r="AX16" i="5"/>
  <c r="AX13" i="5"/>
  <c r="AX17" i="5"/>
  <c r="AX12" i="5"/>
  <c r="AX14" i="5"/>
  <c r="AU11" i="5"/>
  <c r="AU16" i="5"/>
  <c r="AU10" i="5"/>
  <c r="AU15" i="5"/>
  <c r="AU17" i="5"/>
  <c r="AU13" i="5"/>
  <c r="AU12" i="5"/>
  <c r="AU14" i="5"/>
  <c r="L21" i="2"/>
  <c r="L20" i="2"/>
  <c r="AJ19" i="2"/>
  <c r="AK19" i="2" s="1"/>
  <c r="L22" i="2"/>
  <c r="L19" i="2"/>
  <c r="L9" i="2"/>
  <c r="L8" i="2"/>
  <c r="AJ21" i="2"/>
  <c r="AK21" i="2" s="1"/>
  <c r="AJ35" i="2"/>
  <c r="AK35" i="2" s="1"/>
  <c r="L6" i="2"/>
  <c r="L5" i="2"/>
  <c r="AJ34" i="2"/>
  <c r="AK34" i="2" s="1"/>
  <c r="L7" i="2"/>
  <c r="I28" i="1"/>
  <c r="AT20" i="5" l="1"/>
  <c r="AV20" i="5" s="1" a="1"/>
  <c r="AV20" i="5" s="1"/>
  <c r="AV22" i="5" s="1" a="1"/>
  <c r="AV22" i="5" s="1"/>
  <c r="I26" i="2"/>
  <c r="B10" i="2" s="1"/>
  <c r="AU20" i="5" l="1" a="1"/>
  <c r="AU20" i="5" s="1"/>
  <c r="AU22" i="5" s="1" a="1"/>
  <c r="AU22" i="5" s="1"/>
  <c r="AU25" i="5" s="1"/>
  <c r="AU26" i="5"/>
  <c r="AV26" i="5"/>
  <c r="AV25" i="5" l="1"/>
  <c r="AU28" i="5" s="1"/>
  <c r="AU29" i="5" s="1"/>
  <c r="B26" i="4"/>
  <c r="J9" i="4" l="1"/>
  <c r="J20" i="4"/>
  <c r="J8" i="4"/>
  <c r="J14" i="4"/>
  <c r="AJ27" i="4" s="1"/>
  <c r="AK27" i="4" s="1"/>
  <c r="J16" i="4"/>
  <c r="AJ25" i="4" s="1"/>
  <c r="AK25" i="4" s="1"/>
  <c r="J17" i="4"/>
  <c r="AJ24" i="4" s="1"/>
  <c r="AK24" i="4" s="1"/>
  <c r="J10" i="4"/>
  <c r="J13" i="4"/>
  <c r="J12" i="4"/>
  <c r="J11" i="4"/>
  <c r="J19" i="4"/>
  <c r="J15" i="4"/>
  <c r="J18" i="4"/>
  <c r="L8" i="4" l="1"/>
  <c r="L9" i="4"/>
  <c r="AJ32" i="4"/>
  <c r="AK32" i="4" s="1"/>
  <c r="AJ33" i="4"/>
  <c r="AK33" i="4" s="1"/>
  <c r="L7" i="4"/>
  <c r="AJ21" i="4"/>
  <c r="AK21" i="4" s="1"/>
  <c r="L20" i="4"/>
  <c r="L17" i="4"/>
  <c r="L16" i="4"/>
  <c r="L15" i="4"/>
  <c r="AJ26" i="4"/>
  <c r="AK26" i="4" s="1"/>
  <c r="L19" i="4"/>
  <c r="AJ22" i="4"/>
  <c r="AK22" i="4" s="1"/>
  <c r="L12" i="4"/>
  <c r="AJ29" i="4"/>
  <c r="AK29" i="4" s="1"/>
  <c r="L18" i="4"/>
  <c r="AJ23" i="4"/>
  <c r="AK23" i="4" s="1"/>
  <c r="AJ28" i="4"/>
  <c r="AK28" i="4" s="1"/>
  <c r="L13" i="4"/>
  <c r="AJ31" i="4"/>
  <c r="AK31" i="4" s="1"/>
  <c r="L10" i="4"/>
  <c r="AJ30" i="4"/>
  <c r="AK30" i="4" s="1"/>
  <c r="L11" i="4"/>
  <c r="L14" i="4"/>
  <c r="I26" i="4" l="1"/>
  <c r="B10"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<sst xmlns="http://schemas.openxmlformats.org/spreadsheetml/2006/main" count="671" uniqueCount="311">
  <si>
    <t>radius</t>
  </si>
  <si>
    <t>waterway area</t>
  </si>
  <si>
    <t>B</t>
  </si>
  <si>
    <t>Rt</t>
  </si>
  <si>
    <t>Rb</t>
  </si>
  <si>
    <t>Corner</t>
  </si>
  <si>
    <t>in</t>
  </si>
  <si>
    <t>sf</t>
  </si>
  <si>
    <t>span</t>
  </si>
  <si>
    <t>rise</t>
  </si>
  <si>
    <t>ft</t>
  </si>
  <si>
    <t>x</t>
  </si>
  <si>
    <t>y1</t>
  </si>
  <si>
    <t>y2</t>
  </si>
  <si>
    <t>k-top</t>
  </si>
  <si>
    <t>k-side</t>
  </si>
  <si>
    <t>h-side</t>
  </si>
  <si>
    <t>y=k+sqrt(r^2-(x-h)^2)</t>
  </si>
  <si>
    <t>center of corner radius</t>
  </si>
  <si>
    <t>k-bottom</t>
  </si>
  <si>
    <t>results for graph in excel</t>
  </si>
  <si>
    <t>CMPA Coordinate Generator</t>
  </si>
  <si>
    <t>Output Plot for HY8</t>
  </si>
  <si>
    <t>Input values</t>
  </si>
  <si>
    <t>Calculations (do not touch cells)</t>
  </si>
  <si>
    <t>Appx. Area Check</t>
  </si>
  <si>
    <t>Calculated Area Check</t>
  </si>
  <si>
    <t>appx waterway area</t>
  </si>
  <si>
    <t>Cr (Corner Radius)</t>
  </si>
  <si>
    <t>Br (Bottom Radius)</t>
  </si>
  <si>
    <t>Tr (Top Radius)</t>
  </si>
  <si>
    <t>CIPP Coordinate Generator</t>
  </si>
  <si>
    <t>Steel Liner Coordinate Generator</t>
  </si>
  <si>
    <t>Paved invert Thickness</t>
  </si>
  <si>
    <t>FROM HY8</t>
  </si>
  <si>
    <t>FROM SURVEY</t>
  </si>
  <si>
    <t>Measured Rise</t>
  </si>
  <si>
    <t>Measured Span</t>
  </si>
  <si>
    <t>Grout Thickness</t>
  </si>
  <si>
    <t>Liner Wall Thickness</t>
  </si>
  <si>
    <t>Host Pipe Span</t>
  </si>
  <si>
    <t>Host Pipe Rise</t>
  </si>
  <si>
    <t>Liner Max Outer Rise</t>
  </si>
  <si>
    <t xml:space="preserve">Desired Rise (outside) = </t>
  </si>
  <si>
    <t>inches</t>
  </si>
  <si>
    <t>Type 1</t>
  </si>
  <si>
    <t>Type 2 (profile wall)</t>
  </si>
  <si>
    <t>Span for</t>
  </si>
  <si>
    <t>Desired</t>
  </si>
  <si>
    <t>Crushing</t>
  </si>
  <si>
    <t>Size</t>
  </si>
  <si>
    <t>Index</t>
  </si>
  <si>
    <t>Rise (in)</t>
  </si>
  <si>
    <t>Ratio</t>
  </si>
  <si>
    <t>ID</t>
  </si>
  <si>
    <t>OD</t>
  </si>
  <si>
    <t>User Defined Max Rise (optional)</t>
  </si>
  <si>
    <t>COMPUTE INSIDE AND OUTSIDE ELLIPTICAL DIMENSIONS</t>
  </si>
  <si>
    <t>Outside dimensions:</t>
  </si>
  <si>
    <t xml:space="preserve">Span:  </t>
  </si>
  <si>
    <t xml:space="preserve">Rise:  </t>
  </si>
  <si>
    <t xml:space="preserve">Wall:  </t>
  </si>
  <si>
    <t>(span - X)</t>
  </si>
  <si>
    <t>(rise - Y)</t>
  </si>
  <si>
    <t>a</t>
  </si>
  <si>
    <t>b</t>
  </si>
  <si>
    <t>Outside</t>
  </si>
  <si>
    <t>Inside</t>
  </si>
  <si>
    <t>Liner Type</t>
  </si>
  <si>
    <t>Liner Information:</t>
  </si>
  <si>
    <t xml:space="preserve">Round OD  </t>
  </si>
  <si>
    <t xml:space="preserve">Round ID  </t>
  </si>
  <si>
    <t xml:space="preserve">Crushing Ratio  </t>
  </si>
  <si>
    <t xml:space="preserve">Crushed OD Rise  </t>
  </si>
  <si>
    <t>Crushed OD Span</t>
  </si>
  <si>
    <t>Crushed ID Rise</t>
  </si>
  <si>
    <t>Crushed ID Span</t>
  </si>
  <si>
    <t>Crushed ID (Area)</t>
  </si>
  <si>
    <t xml:space="preserve">Gap at Top  </t>
  </si>
  <si>
    <t xml:space="preserve">Wall Thickness  </t>
  </si>
  <si>
    <t>Elliptical coordinates in inches:</t>
  </si>
  <si>
    <t>OUTSIDE DIMENSIONS</t>
  </si>
  <si>
    <t>INSIDE DIMENSIONS</t>
  </si>
  <si>
    <t>X/a</t>
  </si>
  <si>
    <t>Y</t>
  </si>
  <si>
    <t>Values</t>
  </si>
  <si>
    <t>X</t>
  </si>
  <si>
    <t>Top</t>
  </si>
  <si>
    <t>Bottom</t>
  </si>
  <si>
    <t>Elliptical coordinates in feet:</t>
  </si>
  <si>
    <t>Outer span</t>
  </si>
  <si>
    <t>outside</t>
  </si>
  <si>
    <t>Resulting Liner</t>
  </si>
  <si>
    <t>Outer Diameter</t>
  </si>
  <si>
    <t>Inner Diameter</t>
  </si>
  <si>
    <t>Equivilent Outer Diameter</t>
  </si>
  <si>
    <t>Equivelent Inner Diameter</t>
  </si>
  <si>
    <t>Wall Thickness</t>
  </si>
  <si>
    <t>sq ft</t>
  </si>
  <si>
    <t>Open Area</t>
  </si>
  <si>
    <t>Outer Rise</t>
  </si>
  <si>
    <t>Inner Span</t>
  </si>
  <si>
    <t>Inner Rise</t>
  </si>
  <si>
    <t>HDPE Coordinate Generator</t>
  </si>
  <si>
    <t xml:space="preserve">CIPP thickness </t>
  </si>
  <si>
    <t>(index no.)</t>
  </si>
  <si>
    <t>inlet invert</t>
  </si>
  <si>
    <t>outlet invert</t>
  </si>
  <si>
    <t>Inlet Invert</t>
  </si>
  <si>
    <t>Outlet Invert</t>
  </si>
  <si>
    <t>Output</t>
  </si>
  <si>
    <t>Outlet invert</t>
  </si>
  <si>
    <t>Output Values</t>
  </si>
  <si>
    <t>Inlet invert</t>
  </si>
  <si>
    <t>Paved Invert Coordinate Generator</t>
  </si>
  <si>
    <t>Grout Thickness Top</t>
  </si>
  <si>
    <t>Grout Thickness Sides</t>
  </si>
  <si>
    <t>En situ boundary</t>
  </si>
  <si>
    <t>y</t>
  </si>
  <si>
    <t>top</t>
  </si>
  <si>
    <t>Span</t>
  </si>
  <si>
    <t>INDEX LISTS</t>
  </si>
  <si>
    <t>slope</t>
  </si>
  <si>
    <t>curve slope</t>
  </si>
  <si>
    <t>CMPA slope</t>
  </si>
  <si>
    <t>Column1</t>
  </si>
  <si>
    <t>Column2</t>
  </si>
  <si>
    <t>Column3</t>
  </si>
  <si>
    <t>Column4</t>
  </si>
  <si>
    <t>Column5</t>
  </si>
  <si>
    <t>Column6</t>
  </si>
  <si>
    <t>Column7</t>
  </si>
  <si>
    <t>Column8</t>
  </si>
  <si>
    <t>min</t>
  </si>
  <si>
    <t>lookup column header</t>
  </si>
  <si>
    <t>lookup row header</t>
  </si>
  <si>
    <t>HDPE coord.</t>
  </si>
  <si>
    <t>CMPA Coord</t>
  </si>
  <si>
    <t>HDPE slope</t>
  </si>
  <si>
    <t>CMPA slopes and coordinates</t>
  </si>
  <si>
    <t>grout thickness</t>
  </si>
  <si>
    <t>CMPA Y</t>
  </si>
  <si>
    <t>HDPE Y</t>
  </si>
  <si>
    <t>Max Crushing ratio</t>
  </si>
  <si>
    <t>profile wall</t>
  </si>
  <si>
    <t>wall type</t>
  </si>
  <si>
    <t>solid wall</t>
  </si>
  <si>
    <t>Chosen Liner Size</t>
  </si>
  <si>
    <t>No.</t>
  </si>
  <si>
    <t>Span (in)</t>
  </si>
  <si>
    <t>Area (ft^2)</t>
  </si>
  <si>
    <t>Mannings n</t>
  </si>
  <si>
    <t>Br (in)</t>
  </si>
  <si>
    <t>Tr (in)</t>
  </si>
  <si>
    <t>Cr (in)</t>
  </si>
  <si>
    <t>B (in)</t>
  </si>
  <si>
    <t>actual span</t>
  </si>
  <si>
    <t>actual rise</t>
  </si>
  <si>
    <t>Current 18 inch corner radii</t>
  </si>
  <si>
    <t xml:space="preserve">Historic variable corner </t>
  </si>
  <si>
    <t>Historic 18 inch corner radii</t>
  </si>
  <si>
    <t>Structural steel Pipe 18" corner radii</t>
  </si>
  <si>
    <t>structural steel plate 31" corner radii</t>
  </si>
  <si>
    <t>structural steel plate 47" corner radii</t>
  </si>
  <si>
    <t xml:space="preserve">Current variable corner </t>
  </si>
  <si>
    <t>span higher</t>
  </si>
  <si>
    <t>corresponding rise</t>
  </si>
  <si>
    <t>span less/match</t>
  </si>
  <si>
    <t>17x13</t>
  </si>
  <si>
    <t>18.1x11</t>
  </si>
  <si>
    <t>21x15</t>
  </si>
  <si>
    <t>21.7x13.3</t>
  </si>
  <si>
    <t>24x18</t>
  </si>
  <si>
    <t>25.3x15.5</t>
  </si>
  <si>
    <t>28x20</t>
  </si>
  <si>
    <t>28.9x17.8</t>
  </si>
  <si>
    <t>35x24</t>
  </si>
  <si>
    <t>36.1x22.2</t>
  </si>
  <si>
    <t>42x29</t>
  </si>
  <si>
    <t>43x27</t>
  </si>
  <si>
    <t>43.3x26.6</t>
  </si>
  <si>
    <t>49x33</t>
  </si>
  <si>
    <t>50x31</t>
  </si>
  <si>
    <t>50.6x31.7</t>
  </si>
  <si>
    <t>57x38</t>
  </si>
  <si>
    <t>57.8x35.5</t>
  </si>
  <si>
    <t>58x36</t>
  </si>
  <si>
    <t>58.5x48.5</t>
  </si>
  <si>
    <t>64x43</t>
  </si>
  <si>
    <t>65x40</t>
  </si>
  <si>
    <t>65x54</t>
  </si>
  <si>
    <t>71x47</t>
  </si>
  <si>
    <t>72x44</t>
  </si>
  <si>
    <t>72.2x44.4</t>
  </si>
  <si>
    <t>72.5x58.25</t>
  </si>
  <si>
    <t>73x55</t>
  </si>
  <si>
    <t>76x57.1</t>
  </si>
  <si>
    <t>77x52</t>
  </si>
  <si>
    <t>79x62.5</t>
  </si>
  <si>
    <t>79.4x48.7</t>
  </si>
  <si>
    <t>81x59</t>
  </si>
  <si>
    <t>81.2x58.9</t>
  </si>
  <si>
    <t>83x57</t>
  </si>
  <si>
    <t>84.2x61.1</t>
  </si>
  <si>
    <t>85x54</t>
  </si>
  <si>
    <t>86.5x67.25</t>
  </si>
  <si>
    <t>87x63</t>
  </si>
  <si>
    <t>87x63.2</t>
  </si>
  <si>
    <t>92.4x65</t>
  </si>
  <si>
    <t>93.5x71.75</t>
  </si>
  <si>
    <t>95x67</t>
  </si>
  <si>
    <t>95.2x67.2</t>
  </si>
  <si>
    <t>97.8x69.4</t>
  </si>
  <si>
    <t>101.5x76</t>
  </si>
  <si>
    <t>103x71</t>
  </si>
  <si>
    <t>103.4x71.7</t>
  </si>
  <si>
    <t>106x73.3</t>
  </si>
  <si>
    <t>108.5x80.5</t>
  </si>
  <si>
    <t>111.8x75.1</t>
  </si>
  <si>
    <t>112x75</t>
  </si>
  <si>
    <t>114.2x77.3</t>
  </si>
  <si>
    <t>116.5x84.75</t>
  </si>
  <si>
    <t>116.6x79.5</t>
  </si>
  <si>
    <t>117x79</t>
  </si>
  <si>
    <t>122.6x81.2</t>
  </si>
  <si>
    <t>123.5x89.25</t>
  </si>
  <si>
    <t>128x83</t>
  </si>
  <si>
    <t>128.4x82.9</t>
  </si>
  <si>
    <t>131x93.75</t>
  </si>
  <si>
    <t>131x85.1</t>
  </si>
  <si>
    <t>136.8x86.9</t>
  </si>
  <si>
    <t>137x87</t>
  </si>
  <si>
    <t>138.5x98</t>
  </si>
  <si>
    <t>139.4x89.1</t>
  </si>
  <si>
    <t>141.8x91.3</t>
  </si>
  <si>
    <t>142x91</t>
  </si>
  <si>
    <t>147.8x93</t>
  </si>
  <si>
    <t>150.2x95.2</t>
  </si>
  <si>
    <t>152.4x97.4</t>
  </si>
  <si>
    <t>154.4x99.7</t>
  </si>
  <si>
    <t>159.4x112.3</t>
  </si>
  <si>
    <t>160.8x101.3</t>
  </si>
  <si>
    <t>162.2x114.4</t>
  </si>
  <si>
    <t>167.2x103</t>
  </si>
  <si>
    <t>167.6x116.2</t>
  </si>
  <si>
    <t>169.4x105.2</t>
  </si>
  <si>
    <t>170.6x118.4</t>
  </si>
  <si>
    <t>172.8x120.5</t>
  </si>
  <si>
    <t>178.6x122.3</t>
  </si>
  <si>
    <t>184.2x124.1</t>
  </si>
  <si>
    <t>187x126.3</t>
  </si>
  <si>
    <t>189.6x128.5</t>
  </si>
  <si>
    <t>195.4x130.2</t>
  </si>
  <si>
    <t>198x132.4</t>
  </si>
  <si>
    <t>203.6x134.2</t>
  </si>
  <si>
    <t>206.2x136.3</t>
  </si>
  <si>
    <t>208.8x138.5</t>
  </si>
  <si>
    <t>214.6x140.3</t>
  </si>
  <si>
    <t>217.2x142.4</t>
  </si>
  <si>
    <t>223x144.2</t>
  </si>
  <si>
    <t>225.4x146.4</t>
  </si>
  <si>
    <t>231.4x148.1</t>
  </si>
  <si>
    <t>234x150.3</t>
  </si>
  <si>
    <t>236.4x152.5</t>
  </si>
  <si>
    <t>238.6x154.7</t>
  </si>
  <si>
    <t>240x167</t>
  </si>
  <si>
    <t>246x171</t>
  </si>
  <si>
    <t>247x158.6</t>
  </si>
  <si>
    <t>257x174</t>
  </si>
  <si>
    <t>263x179</t>
  </si>
  <si>
    <t>269x183</t>
  </si>
  <si>
    <t>280x187</t>
  </si>
  <si>
    <t>290x191</t>
  </si>
  <si>
    <t>296x194</t>
  </si>
  <si>
    <t>302x199</t>
  </si>
  <si>
    <t>307x203</t>
  </si>
  <si>
    <t>319x207</t>
  </si>
  <si>
    <t>330x210</t>
  </si>
  <si>
    <t>336x214</t>
  </si>
  <si>
    <t>341x219</t>
  </si>
  <si>
    <t>352x222</t>
  </si>
  <si>
    <t>364x226</t>
  </si>
  <si>
    <t>Listing</t>
  </si>
  <si>
    <t>table selection</t>
  </si>
  <si>
    <t>Nominal size in HY8 and list</t>
  </si>
  <si>
    <t>244.8x156.4</t>
  </si>
  <si>
    <t>73x55 (w/ bolts)</t>
  </si>
  <si>
    <t xml:space="preserve">65x40 </t>
  </si>
  <si>
    <t>n-value</t>
  </si>
  <si>
    <t>60x46</t>
  </si>
  <si>
    <t>66x51</t>
  </si>
  <si>
    <t>Nearest Actual Size (inches)</t>
  </si>
  <si>
    <t>Date</t>
  </si>
  <si>
    <t>Revisor</t>
  </si>
  <si>
    <t>What changed?</t>
  </si>
  <si>
    <t>Fall 2020</t>
  </si>
  <si>
    <t>AJS</t>
  </si>
  <si>
    <t>Created</t>
  </si>
  <si>
    <t>Version</t>
  </si>
  <si>
    <t xml:space="preserve">largest possible </t>
  </si>
  <si>
    <t>*According to the Modern Sewer Design handbook provided by the American Iron and Steel Institute, HY8 provides the nominal spans and rises for the "current 18 in or less corner radii" instead of the actual spans and rises. This results in misshaped pipe arches and miscalculates the flow capacity of the pipe. Please use the output plot to the right for this CMPA as a user defined shape in HY8 to correct this issue.</t>
  </si>
  <si>
    <t>*A typo was found in the HY8 programming for this structure's span. The labeled span in HY8 is 224.8 inches; however according to the Modern Sewer Design handbook provided by the American Iron and Steel Institute, the actual span is 244.8 inches. Please use the output plot to the right as user defined coordinates in HY8 to rectify this issue.</t>
  </si>
  <si>
    <t>nominal size</t>
  </si>
  <si>
    <t>1)updated HDPE liner sizes to meet current sizes schedule 250 profile walls as well as solid walls. This update also includes making the choice between solid and profile wall obsolete and the sheet now chooses the best fit option but another option may be used if desired., streamlined inputs, actual sizes put in for current 18 inch or less list, updated CIPP extents to a more precise 8 ft equivelent diameter pipe</t>
  </si>
  <si>
    <t>4)updated CIPP extents to a more precise 8 ft equivelent diameter pipe</t>
  </si>
  <si>
    <t xml:space="preserve">5) updated steel liner inputs to better fit a pipe arch shape </t>
  </si>
  <si>
    <t xml:space="preserve">2) crteated a dropdown list of structures to streamline inputs of a CMPA radii. This process detected errors with in HY8 that are described in bullet 3 below. </t>
  </si>
  <si>
    <t>3) Actual sizes were inputted for the current 18 inch or less list. It was noticed that HY8 was using nominal size spans and rises from the Modern Sewer Design Handbook instead of actual sizes used in design today. This issue created a "darth vader helmet" look to each of the CMPA's in the program which resulted in about 10% of area loss in some structures.  When corrected to the actual spans and rises, the area calculated matched within a few tenths of a square foot of the published data.  These specific structures now give a warning to the user to input the calculated CMPA coordinates into the User defined function of HY8 to correct this issue.</t>
  </si>
  <si>
    <t>choose</t>
  </si>
  <si>
    <t>updated measured span and length for graph of steel liner</t>
  </si>
  <si>
    <t>81x59 CMPA table selection number corrected from 3 to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</si>
</sst>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
    <numFmt numFmtId="168" formatCode="[$-409]mmm\-yy;@"/>
  </numFmts>
  <fonts count="6" x14ac:knownFonts="1">
    <font>
      <sz val="11"/>
      <color theme="1"/>
      <name val="Calibri"/>
      <family val="2"/>
      <scheme val="minor"/>
    </font>
    <font>
      <b/>
      <sz val="11"/>
      <color theme="1"/>
      <name val="Calibri"/>
      <family val="2"/>
      <scheme val="minor"/>
    </font>
    <font>
      <b/>
      <sz val="16"/>
      <color theme="1"/>
      <name val="Calibri"/>
      <family val="2"/>
      <scheme val="minor"/>
    </font>
    <font>
      <sz val="11"/>
      <color rgb="FF00B0F0"/>
      <name val="Calibri"/>
      <family val="2"/>
      <scheme val="minor"/>
    </font>
    <font>
      <i/>
      <sz val="11"/>
      <color theme="1"/>
      <name val="Calibri"/>
      <family val="2"/>
      <scheme val="minor"/>
    </font>
    <font>
      <b/>
      <sz val="11"/>
      <color rgb="FFFF0000"/>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5" tint="0.39997558519241921"/>
        <bgColor indexed="64"/>
      </patternFill>
    </fill>
    <fill>
      <patternFill patternType="solid">
        <fgColor rgb="FF92D050"/>
        <bgColor indexed="64"/>
      </patternFill>
    </fill>
    <fill>
      <patternFill patternType="solid">
        <fgColor theme="0" tint="-4.9989318521683403E-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medium">
        <color indexed="64"/>
      </right>
      <top/>
      <bottom/>
      <diagonal/>
    </border>
    <border>
      <left/>
      <right/>
      <top/>
      <bottom style="double">
        <color indexed="64"/>
      </bottom>
      <diagonal/>
    </border>
    <border>
      <left/>
      <right style="dashed">
        <color indexed="64"/>
      </right>
      <top/>
      <bottom style="double">
        <color indexed="64"/>
      </bottom>
      <diagonal/>
    </border>
    <border>
      <left style="dashed">
        <color indexed="64"/>
      </left>
      <right style="dashed">
        <color indexed="64"/>
      </right>
      <top/>
      <bottom style="double">
        <color indexed="64"/>
      </bottom>
      <diagonal/>
    </border>
    <border>
      <left/>
      <right style="dashed">
        <color indexed="64"/>
      </right>
      <top/>
      <bottom style="thin">
        <color indexed="64"/>
      </bottom>
      <diagonal/>
    </border>
    <border>
      <left style="dashed">
        <color indexed="64"/>
      </left>
      <right style="dashed">
        <color indexed="64"/>
      </right>
      <top/>
      <bottom style="thin">
        <color indexed="64"/>
      </bottom>
      <diagonal/>
    </border>
    <border>
      <left/>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thin">
        <color indexed="64"/>
      </right>
      <top/>
      <bottom/>
      <diagonal/>
    </border>
    <border>
      <left style="thin">
        <color theme="4" tint="0.39997558519241921"/>
      </left>
      <right/>
      <top style="thin">
        <color theme="4" tint="0.39997558519241921"/>
      </top>
      <bottom style="thin">
        <color theme="4" tint="0.39997558519241921"/>
      </bottom>
      <diagonal/>
    </border>
    <border>
      <left style="medium">
        <color indexed="64"/>
      </left>
      <right/>
      <top/>
      <bottom style="thin">
        <color indexed="64"/>
      </bottom>
      <diagonal/>
    </border>
    <border>
      <left/>
      <right style="medium">
        <color indexed="64"/>
      </right>
      <top/>
      <bottom style="thin">
        <color indexed="64"/>
      </bottom>
      <diagonal/>
    </border>
  </borders>
  <cellStyleXfs count="1">
    <xf numFmtId="0" fontId="0" fillId="0" borderId="0"/>
  </cellStyleXfs>
  <cellXfs count="102">
    <xf numFmtId="0" fontId="0" fillId="0" borderId="0" xfId="0"/>
    <xf numFmtId="164" fontId="0" fillId="0" borderId="0" xfId="0" applyNumberFormat="1"/>
    <xf numFmtId="165" fontId="0" fillId="0" borderId="0" xfId="0" applyNumberFormat="1"/>
    <xf numFmtId="0" fontId="0" fillId="2" borderId="1" xfId="0" applyFill="1" applyBorder="1"/>
    <xf numFmtId="0" fontId="0" fillId="0" borderId="1" xfId="0" applyBorder="1"/>
    <xf numFmtId="0" fontId="0" fillId="3" borderId="0" xfId="0" applyFill="1"/>
    <xf numFmtId="0" fontId="1" fillId="3" borderId="0" xfId="0" applyFont="1" applyFill="1"/>
    <xf numFmtId="0" fontId="1" fillId="3" borderId="10" xfId="0" applyFont="1" applyFill="1" applyBorder="1"/>
    <xf numFmtId="0" fontId="0" fillId="3" borderId="11" xfId="0" applyFill="1" applyBorder="1"/>
    <xf numFmtId="0" fontId="0" fillId="3" borderId="12" xfId="0" applyFill="1" applyBorder="1"/>
    <xf numFmtId="164" fontId="0" fillId="3" borderId="13" xfId="0" applyNumberFormat="1" applyFill="1" applyBorder="1"/>
    <xf numFmtId="0" fontId="0" fillId="3" borderId="13" xfId="0" applyFill="1" applyBorder="1"/>
    <xf numFmtId="0" fontId="0" fillId="3" borderId="14" xfId="0" applyFill="1" applyBorder="1"/>
    <xf numFmtId="0" fontId="0" fillId="3" borderId="15" xfId="0" applyFill="1" applyBorder="1"/>
    <xf numFmtId="0" fontId="0" fillId="0" borderId="5" xfId="0" applyBorder="1"/>
    <xf numFmtId="0" fontId="0" fillId="0" borderId="2" xfId="0" applyBorder="1"/>
    <xf numFmtId="164" fontId="0" fillId="0" borderId="1" xfId="0" applyNumberFormat="1" applyBorder="1"/>
    <xf numFmtId="165" fontId="0" fillId="0" borderId="1" xfId="0" applyNumberFormat="1" applyBorder="1"/>
    <xf numFmtId="165" fontId="0" fillId="0" borderId="2" xfId="0" applyNumberFormat="1" applyBorder="1"/>
    <xf numFmtId="0" fontId="0" fillId="0" borderId="6" xfId="0" applyBorder="1"/>
    <xf numFmtId="164" fontId="0" fillId="0" borderId="3" xfId="0" applyNumberFormat="1" applyBorder="1"/>
    <xf numFmtId="165" fontId="0" fillId="0" borderId="3" xfId="0" applyNumberFormat="1" applyBorder="1"/>
    <xf numFmtId="165" fontId="0" fillId="0" borderId="4" xfId="0" applyNumberFormat="1" applyBorder="1"/>
    <xf numFmtId="0" fontId="0" fillId="3" borderId="0" xfId="0" applyFill="1" applyAlignment="1">
      <alignment horizontal="left"/>
    </xf>
    <xf numFmtId="0" fontId="0" fillId="3" borderId="0" xfId="0" applyFill="1" applyAlignment="1">
      <alignment horizontal="center"/>
    </xf>
    <xf numFmtId="2" fontId="0" fillId="3" borderId="0" xfId="0" applyNumberFormat="1" applyFill="1" applyAlignment="1">
      <alignment horizontal="center"/>
    </xf>
    <xf numFmtId="0" fontId="0" fillId="3" borderId="0" xfId="0" applyFill="1" applyAlignment="1">
      <alignment horizontal="right"/>
    </xf>
    <xf numFmtId="0" fontId="0" fillId="0" borderId="0" xfId="0" applyAlignment="1">
      <alignment horizontal="left"/>
    </xf>
    <xf numFmtId="0" fontId="0" fillId="5" borderId="1" xfId="0" applyFill="1" applyBorder="1"/>
    <xf numFmtId="2" fontId="0" fillId="5" borderId="1" xfId="0" applyNumberFormat="1" applyFill="1" applyBorder="1"/>
    <xf numFmtId="0" fontId="3" fillId="3" borderId="0" xfId="0" applyFont="1" applyFill="1"/>
    <xf numFmtId="0" fontId="1" fillId="3" borderId="12" xfId="0" applyFont="1" applyFill="1" applyBorder="1"/>
    <xf numFmtId="0" fontId="4" fillId="0" borderId="1" xfId="0" applyFont="1" applyBorder="1"/>
    <xf numFmtId="0" fontId="0" fillId="0" borderId="0" xfId="0" applyAlignment="1">
      <alignment horizontal="right"/>
    </xf>
    <xf numFmtId="0" fontId="0" fillId="0" borderId="0" xfId="0" applyAlignment="1">
      <alignment horizontal="center"/>
    </xf>
    <xf numFmtId="0" fontId="0" fillId="0" borderId="16" xfId="0" applyBorder="1" applyAlignment="1">
      <alignment horizontal="center"/>
    </xf>
    <xf numFmtId="2" fontId="0" fillId="0" borderId="0" xfId="0" applyNumberFormat="1" applyAlignment="1">
      <alignment horizontal="center"/>
    </xf>
    <xf numFmtId="2" fontId="0" fillId="0" borderId="0" xfId="0" applyNumberFormat="1"/>
    <xf numFmtId="1" fontId="0" fillId="5" borderId="1" xfId="0" applyNumberFormat="1" applyFill="1" applyBorder="1"/>
    <xf numFmtId="0" fontId="0" fillId="3" borderId="0" xfId="0" applyFill="1" applyAlignment="1">
      <alignment wrapText="1"/>
    </xf>
    <xf numFmtId="0" fontId="0" fillId="3" borderId="17" xfId="0" applyFill="1" applyBorder="1" applyAlignment="1">
      <alignment wrapText="1"/>
    </xf>
    <xf numFmtId="0" fontId="1" fillId="0" borderId="0" xfId="0" applyFont="1"/>
    <xf numFmtId="0" fontId="0" fillId="0" borderId="12" xfId="0" applyBorder="1" applyAlignment="1">
      <alignment horizontal="center"/>
    </xf>
    <xf numFmtId="0" fontId="0" fillId="0" borderId="14" xfId="0" applyBorder="1" applyAlignment="1">
      <alignment horizontal="center"/>
    </xf>
    <xf numFmtId="2" fontId="0" fillId="0" borderId="12" xfId="0" applyNumberFormat="1" applyBorder="1" applyAlignment="1">
      <alignment horizontal="center"/>
    </xf>
    <xf numFmtId="1" fontId="0" fillId="2" borderId="1" xfId="0" applyNumberFormat="1" applyFill="1" applyBorder="1"/>
    <xf numFmtId="0" fontId="0" fillId="0" borderId="18" xfId="0" applyBorder="1"/>
    <xf numFmtId="0" fontId="0" fillId="0" borderId="19" xfId="0" applyBorder="1"/>
    <xf numFmtId="0" fontId="0" fillId="0" borderId="20" xfId="0" applyBorder="1" applyAlignment="1">
      <alignment horizontal="center"/>
    </xf>
    <xf numFmtId="0" fontId="0" fillId="0" borderId="16" xfId="0" applyBorder="1"/>
    <xf numFmtId="0" fontId="0" fillId="0" borderId="21" xfId="0" applyBorder="1" applyAlignment="1">
      <alignment horizontal="right"/>
    </xf>
    <xf numFmtId="0" fontId="0" fillId="0" borderId="22" xfId="0" applyBorder="1" applyAlignment="1">
      <alignment horizontal="center"/>
    </xf>
    <xf numFmtId="0" fontId="0" fillId="0" borderId="23" xfId="0" applyBorder="1"/>
    <xf numFmtId="0" fontId="0" fillId="0" borderId="24" xfId="0" applyBorder="1" applyAlignment="1">
      <alignment horizontal="right"/>
    </xf>
    <xf numFmtId="0" fontId="0" fillId="0" borderId="25" xfId="0" applyBorder="1" applyAlignment="1">
      <alignment horizontal="center"/>
    </xf>
    <xf numFmtId="0" fontId="0" fillId="6" borderId="23" xfId="0" applyFill="1" applyBorder="1"/>
    <xf numFmtId="0" fontId="0" fillId="6" borderId="24" xfId="0" applyFill="1" applyBorder="1" applyAlignment="1">
      <alignment horizontal="right"/>
    </xf>
    <xf numFmtId="0" fontId="0" fillId="6" borderId="25" xfId="0" applyFill="1" applyBorder="1" applyAlignment="1">
      <alignment horizontal="center"/>
    </xf>
    <xf numFmtId="2" fontId="0" fillId="0" borderId="25" xfId="0" applyNumberFormat="1" applyBorder="1" applyAlignment="1">
      <alignment horizontal="center"/>
    </xf>
    <xf numFmtId="1" fontId="0" fillId="0" borderId="25" xfId="0" applyNumberFormat="1" applyBorder="1" applyAlignment="1">
      <alignment horizontal="center"/>
    </xf>
    <xf numFmtId="164" fontId="0" fillId="3" borderId="0" xfId="0" applyNumberFormat="1" applyFill="1"/>
    <xf numFmtId="164" fontId="0" fillId="0" borderId="0" xfId="0" applyNumberFormat="1" applyAlignment="1">
      <alignment horizontal="center"/>
    </xf>
    <xf numFmtId="0" fontId="0" fillId="5" borderId="0" xfId="0" applyFill="1"/>
    <xf numFmtId="0" fontId="0" fillId="5" borderId="26" xfId="0" applyFill="1" applyBorder="1"/>
    <xf numFmtId="0" fontId="0" fillId="0" borderId="29" xfId="0" applyBorder="1"/>
    <xf numFmtId="0" fontId="0" fillId="0" borderId="30" xfId="0" applyBorder="1" applyAlignment="1">
      <alignment horizontal="right"/>
    </xf>
    <xf numFmtId="2" fontId="0" fillId="0" borderId="31" xfId="0" applyNumberFormat="1" applyBorder="1" applyAlignment="1">
      <alignment horizontal="center"/>
    </xf>
    <xf numFmtId="0" fontId="1" fillId="5" borderId="32" xfId="0" applyFont="1" applyFill="1" applyBorder="1"/>
    <xf numFmtId="2" fontId="0" fillId="5" borderId="0" xfId="0" applyNumberFormat="1" applyFill="1"/>
    <xf numFmtId="2" fontId="0" fillId="5" borderId="26" xfId="0" applyNumberFormat="1" applyFill="1" applyBorder="1"/>
    <xf numFmtId="2" fontId="0" fillId="3" borderId="13" xfId="0" applyNumberFormat="1" applyFill="1" applyBorder="1"/>
    <xf numFmtId="2" fontId="0" fillId="3" borderId="15" xfId="0" applyNumberFormat="1" applyFill="1" applyBorder="1"/>
    <xf numFmtId="0" fontId="1" fillId="5" borderId="1" xfId="0" applyFont="1" applyFill="1" applyBorder="1"/>
    <xf numFmtId="0" fontId="5" fillId="5" borderId="1" xfId="0" applyFont="1" applyFill="1" applyBorder="1"/>
    <xf numFmtId="166" fontId="0" fillId="0" borderId="0" xfId="0" applyNumberFormat="1"/>
    <xf numFmtId="0" fontId="0" fillId="0" borderId="33" xfId="0" applyBorder="1"/>
    <xf numFmtId="166" fontId="0" fillId="0" borderId="0" xfId="0" applyNumberFormat="1" applyAlignment="1">
      <alignment horizontal="center"/>
    </xf>
    <xf numFmtId="14" fontId="0" fillId="0" borderId="0" xfId="0" applyNumberFormat="1"/>
    <xf numFmtId="0" fontId="1" fillId="0" borderId="16" xfId="0" applyFont="1" applyBorder="1" applyAlignment="1">
      <alignment horizontal="center"/>
    </xf>
    <xf numFmtId="0" fontId="1" fillId="0" borderId="34" xfId="0" applyFont="1" applyBorder="1" applyAlignment="1">
      <alignment horizontal="center"/>
    </xf>
    <xf numFmtId="0" fontId="1" fillId="0" borderId="35" xfId="0" applyFont="1" applyBorder="1" applyAlignment="1">
      <alignment horizontal="center"/>
    </xf>
    <xf numFmtId="0" fontId="0" fillId="2" borderId="0" xfId="0" applyFill="1"/>
    <xf numFmtId="0" fontId="5" fillId="3" borderId="0" xfId="0" applyFont="1" applyFill="1"/>
    <xf numFmtId="0" fontId="4" fillId="0" borderId="0" xfId="0" applyFont="1"/>
    <xf numFmtId="0" fontId="4" fillId="5" borderId="1" xfId="0" applyFont="1" applyFill="1" applyBorder="1"/>
    <xf numFmtId="0" fontId="0" fillId="5" borderId="1" xfId="0" applyFill="1" applyBorder="1" applyAlignment="1">
      <alignment horizontal="right"/>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2" fillId="4" borderId="0" xfId="0" applyFont="1" applyFill="1" applyAlignment="1">
      <alignment horizontal="center"/>
    </xf>
    <xf numFmtId="0" fontId="1" fillId="5" borderId="16" xfId="0" applyFont="1" applyFill="1" applyBorder="1" applyAlignment="1">
      <alignment horizontal="center"/>
    </xf>
    <xf numFmtId="0" fontId="0" fillId="3" borderId="12" xfId="0" applyFill="1" applyBorder="1" applyAlignment="1">
      <alignment horizontal="left" vertical="top" wrapText="1"/>
    </xf>
    <xf numFmtId="0" fontId="0" fillId="3" borderId="0" xfId="0" applyFill="1" applyAlignment="1">
      <alignment horizontal="left" vertical="top" wrapText="1"/>
    </xf>
    <xf numFmtId="0" fontId="1" fillId="5" borderId="27" xfId="0" applyFont="1" applyFill="1" applyBorder="1" applyAlignment="1">
      <alignment horizontal="center"/>
    </xf>
    <xf numFmtId="0" fontId="1" fillId="5" borderId="23" xfId="0" applyFont="1" applyFill="1" applyBorder="1" applyAlignment="1">
      <alignment horizontal="center"/>
    </xf>
    <xf numFmtId="0" fontId="1" fillId="5" borderId="28" xfId="0" applyFont="1" applyFill="1" applyBorder="1" applyAlignment="1">
      <alignment horizontal="center"/>
    </xf>
    <xf numFmtId="0" fontId="0" fillId="0" borderId="23" xfId="0" applyBorder="1" applyAlignment="1">
      <alignment horizontal="right"/>
    </xf>
    <xf numFmtId="0" fontId="0" fillId="0" borderId="24" xfId="0" applyBorder="1" applyAlignment="1">
      <alignment horizontal="right"/>
    </xf>
    <xf numFmtId="0" fontId="5" fillId="3" borderId="1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7" xfId="0" applyFont="1" applyFill="1" applyBorder="1" applyAlignment="1">
      <alignment horizontal="center" vertical="center" wrapText="1"/>
    </xf>
    <xf numFmtId="168" fontId="0" fillId="0" borderId="0" xfId="0" applyNumberFormat="1"/>
  </cellXfs>
  <cellStyles count="1">
    <cellStyle name="Normal" xfId="0" builtinId="0"/>
  </cellStyles>
  <dxfs count="17">
    <dxf>
      <font>
        <color rgb="FF9C0006"/>
      </font>
      <fill>
        <patternFill>
          <bgColor rgb="FFFFC7CE"/>
        </patternFill>
      </fill>
    </dxf>
    <dxf>
      <font>
        <color rgb="FF9C0006"/>
      </font>
      <fill>
        <patternFill>
          <bgColor rgb="FFFFC7CE"/>
        </patternFill>
      </fill>
    </dxf>
    <dxf>
      <font>
        <color auto="1"/>
      </font>
      <fill>
        <patternFill>
          <bgColor rgb="FF92D050"/>
        </patternFill>
      </fill>
    </dxf>
    <dxf>
      <font>
        <color theme="9" tint="0.79998168889431442"/>
      </font>
      <fill>
        <patternFill>
          <bgColor rgb="FF00B050"/>
        </patternFill>
      </fill>
    </dxf>
    <dxf>
      <font>
        <color rgb="FF9C0006"/>
      </font>
      <fill>
        <patternFill>
          <bgColor rgb="FFFFC7CE"/>
        </patternFill>
      </fill>
    </dxf>
    <dxf>
      <font>
        <b/>
        <i val="0"/>
        <color auto="1"/>
      </font>
      <fill>
        <patternFill>
          <bgColor rgb="FFFF7C80"/>
        </patternFill>
      </fill>
    </dxf>
    <dxf>
      <font>
        <color auto="1"/>
      </font>
      <fill>
        <patternFill>
          <bgColor rgb="FFFF7C80"/>
        </patternFill>
      </fill>
    </dxf>
    <dxf>
      <font>
        <color auto="1"/>
      </font>
      <fill>
        <patternFill>
          <bgColor rgb="FFFF7C80"/>
        </patternFill>
      </fill>
    </dxf>
    <dxf>
      <numFmt numFmtId="165" formatCode="0.0000"/>
      <border diagonalUp="0" diagonalDown="0">
        <left style="thin">
          <color indexed="64"/>
        </left>
        <right style="thin">
          <color indexed="64"/>
        </right>
        <top style="thin">
          <color indexed="64"/>
        </top>
        <bottom style="thin">
          <color indexed="64"/>
        </bottom>
        <vertical/>
        <horizontal/>
      </border>
    </dxf>
    <dxf>
      <numFmt numFmtId="165" formatCode="0.0000"/>
      <border diagonalUp="0" diagonalDown="0">
        <left style="thin">
          <color indexed="64"/>
        </left>
        <right style="thin">
          <color indexed="64"/>
        </right>
        <top style="thin">
          <color indexed="64"/>
        </top>
        <bottom style="thin">
          <color indexed="64"/>
        </bottom>
        <vertical/>
        <horizontal/>
      </border>
    </dxf>
    <dxf>
      <numFmt numFmtId="165" formatCode="0.0000"/>
      <border diagonalUp="0" diagonalDown="0">
        <left style="thin">
          <color indexed="64"/>
        </left>
        <right style="thin">
          <color indexed="64"/>
        </right>
        <top style="thin">
          <color indexed="64"/>
        </top>
        <bottom style="thin">
          <color indexed="64"/>
        </bottom>
        <vertical/>
        <horizontal/>
      </border>
    </dxf>
    <dxf>
      <numFmt numFmtId="165" formatCode="0.0000"/>
      <border diagonalUp="0" diagonalDown="0">
        <left style="thin">
          <color indexed="64"/>
        </left>
        <right style="thin">
          <color indexed="64"/>
        </right>
        <top style="thin">
          <color indexed="64"/>
        </top>
        <bottom style="thin">
          <color indexed="64"/>
        </bottom>
        <vertical/>
        <horizontal/>
      </border>
    </dxf>
    <dxf>
      <numFmt numFmtId="165" formatCode="0.0000"/>
      <border diagonalUp="0" diagonalDown="0">
        <left style="thin">
          <color indexed="64"/>
        </left>
        <right style="thin">
          <color indexed="64"/>
        </right>
        <top style="thin">
          <color indexed="64"/>
        </top>
        <bottom style="thin">
          <color indexed="64"/>
        </bottom>
        <vertical/>
        <horizontal/>
      </border>
    </dxf>
    <dxf>
      <numFmt numFmtId="165" formatCode="0.0000"/>
      <border diagonalUp="0" diagonalDown="0">
        <left style="thin">
          <color indexed="64"/>
        </left>
        <right style="thin">
          <color indexed="64"/>
        </right>
        <top style="thin">
          <color indexed="64"/>
        </top>
        <bottom style="thin">
          <color indexed="64"/>
        </bottom>
        <vertical/>
        <horizontal/>
      </border>
    </dxf>
    <dxf>
      <numFmt numFmtId="165" formatCode="0.0000"/>
      <border diagonalUp="0" diagonalDown="0">
        <left style="thin">
          <color indexed="64"/>
        </left>
        <right style="thin">
          <color indexed="64"/>
        </right>
        <top style="thin">
          <color indexed="64"/>
        </top>
        <bottom style="thin">
          <color indexed="64"/>
        </bottom>
        <vertical/>
        <horizontal/>
      </border>
    </dxf>
    <dxf>
      <numFmt numFmtId="165" formatCode="0.0000"/>
      <border diagonalUp="0" diagonalDown="0">
        <left style="thin">
          <color indexed="64"/>
        </left>
        <right style="thin">
          <color indexed="64"/>
        </right>
        <top style="thin">
          <color indexed="64"/>
        </top>
        <bottom style="thin">
          <color indexed="64"/>
        </bottom>
        <vertical/>
        <horizontal/>
      </border>
    </dxf>
    <dxf>
      <alignment horizontal="center" vertical="bottom" textRotation="0" wrapText="0" indent="0" justifyLastLine="0" shrinkToFit="0" readingOrder="0"/>
    </dxf>
  </dxfs>
  <tableStyles count="0" defaultTableStyle="TableStyleMedium2" defaultPivotStyle="PivotStyleLight16"/>
  <colors>
    <mruColors>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CMPA Graphical</a:t>
            </a:r>
            <a:r>
              <a:rPr lang="en-US" baseline="0"/>
              <a:t> Check</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497387800125827E-2"/>
          <c:y val="9.0936174719366741E-2"/>
          <c:w val="0.93499826777196671"/>
          <c:h val="0.84376219872901614"/>
        </c:manualLayout>
      </c:layout>
      <c:scatterChart>
        <c:scatterStyle val="smoothMarker"/>
        <c:varyColors val="0"/>
        <c:ser>
          <c:idx val="0"/>
          <c:order val="0"/>
          <c:spPr>
            <a:ln w="19050" cap="rnd">
              <a:solidFill>
                <a:schemeClr val="accent1"/>
              </a:solidFill>
              <a:round/>
            </a:ln>
            <a:effectLst/>
          </c:spPr>
          <c:marker>
            <c:symbol val="none"/>
          </c:marker>
          <c:xVal>
            <c:numRef>
              <c:f>CMPA!$AI$9:$AI$45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CMPA!$AJ$9:$AJ$45</c:f>
              <c:numCache>
                <c:formatCode>0.0000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formatCode="General">
                  <c:v>#N/A</c:v>
                </c:pt>
                <c:pt idx="27" formatCode="General">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0-B345-4AEC-B915-12D0CC1E9B39}"/>
            </c:ext>
          </c:extLst>
        </c:ser>
        <c:dLbls>
          <c:showLegendKey val="0"/>
          <c:showVal val="0"/>
          <c:showCatName val="0"/>
          <c:showSerName val="0"/>
          <c:showPercent val="0"/>
          <c:showBubbleSize val="0"/>
        </c:dLbls>
        <c:axId val="2026957855"/>
        <c:axId val="2026960767"/>
      </c:scatterChart>
      <c:valAx>
        <c:axId val="2026957855"/>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60767"/>
        <c:crosses val="autoZero"/>
        <c:crossBetween val="midCat"/>
      </c:valAx>
      <c:valAx>
        <c:axId val="2026960767"/>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5785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HDPE in CMPA Graphical</a:t>
            </a:r>
            <a:r>
              <a:rPr lang="en-US" baseline="0"/>
              <a:t> Check</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CMPA!$AI$9:$AI$45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CMPA!$AJ$9:$AJ$45</c:f>
              <c:numCache>
                <c:formatCode>0.0000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formatCode="General">
                  <c:v>#N/A</c:v>
                </c:pt>
                <c:pt idx="27" formatCode="General">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0-3E08-4B76-8448-9D54295AE7F9}"/>
            </c:ext>
          </c:extLst>
        </c:ser>
        <c:ser>
          <c:idx val="1"/>
          <c:order val="1"/>
          <c:spPr>
            <a:ln w="19050" cap="rnd">
              <a:solidFill>
                <a:schemeClr val="accent2"/>
              </a:solidFill>
              <a:round/>
            </a:ln>
            <a:effectLst/>
          </c:spPr>
          <c:marker>
            <c:symbol val="none"/>
          </c:marker>
          <c:xVal>
            <c:numRef>
              <c:f>'HDPE Liner'!$AI$9:$AI$45</c:f>
              <c:numCache>
                <c:formatCode>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'HDPE Liner'!$AK$9:$AK$45</c:f>
              <c:numCache>
                <c:formatCode>0.0000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1-3E08-4B76-8448-9D54295AE7F9}"/>
            </c:ext>
          </c:extLst>
        </c:ser>
        <c:ser>
          <c:idx val="2"/>
          <c:order val="2"/>
          <c:spPr>
            <a:ln w="19050" cap="rnd">
              <a:solidFill>
                <a:schemeClr val="accent4">
                  <a:lumMod val="75000"/>
                </a:schemeClr>
              </a:solidFill>
              <a:round/>
            </a:ln>
            <a:effectLst/>
          </c:spPr>
          <c:marker>
            <c:symbol val="none"/>
          </c:marker>
          <c:xVal>
            <c:numRef>
              <c:f>'HDPE Liner'!$AN$9:$AN$45</c:f>
              <c:numCache>
                <c:formatCode>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xVal>
          <c:yVal>
            <c:numRef>
              <c:f>'HDPE Liner'!$AO$9:$AO$45</c:f>
              <c:numCache>
                <c:formatCode>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1-8C01-4436-AC43-5F3B764FC520}"/>
            </c:ext>
          </c:extLst>
        </c:ser>
        <c:ser>
          <c:idx val="3"/>
          <c:order val="3"/>
          <c:tx>
            <c:v>Actual site limits</c:v>
          </c:tx>
          <c:spPr>
            <a:ln w="19050" cap="rnd">
              <a:solidFill>
                <a:schemeClr val="tx1"/>
              </a:solidFill>
              <a:prstDash val="dash"/>
              <a:round/>
            </a:ln>
            <a:effectLst/>
          </c:spPr>
          <c:marker>
            <c:symbol val="none"/>
          </c:marker>
          <c:xVal>
            <c:numRef>
              <c:f>'HDPE Liner'!$AE$8:$AE$9</c:f>
              <c:numCache>
                <c:formatCode>0.000</c:formatCode>
                <c:ptCount val="2"/>
                <c:pt idx="0">
                  <c:v>0</c:v>
                </c:pt>
                <c:pt idx="1">
                  <c:v>0</c:v>
                </c:pt>
              </c:numCache>
            </c:numRef>
          </c:xVal>
          <c:yVal>
            <c:numRef>
              <c:f>'HDPE Liner'!$AF$8:$AF$9</c:f>
              <c:numCache>
                <c:formatCode>General</c:formatCode>
                <c:ptCount val="2"/>
                <c:pt idx="0">
                  <c:v>0</c:v>
                </c:pt>
                <c:pt idx="1">
                  <c:v>0</c:v>
                </c:pt>
              </c:numCache>
            </c:numRef>
          </c:yVal>
          <c:smooth val="1"/>
          <c:extLst>
            <c:ext xmlns:c16="http://schemas.microsoft.com/office/drawing/2014/chart" uri="{C3380CC4-5D6E-409C-BE32-E72D297353CC}">
              <c16:uniqueId val="{00000001-6F0F-4A9D-83A5-80B227E06EED}"/>
            </c:ext>
          </c:extLst>
        </c:ser>
        <c:ser>
          <c:idx val="4"/>
          <c:order val="4"/>
          <c:tx>
            <c:v>actual span limits</c:v>
          </c:tx>
          <c:spPr>
            <a:ln w="19050" cap="rnd">
              <a:solidFill>
                <a:schemeClr val="tx1"/>
              </a:solidFill>
              <a:prstDash val="dash"/>
              <a:round/>
            </a:ln>
            <a:effectLst/>
          </c:spPr>
          <c:marker>
            <c:symbol val="none"/>
          </c:marker>
          <c:xVal>
            <c:numRef>
              <c:f>'HDPE Liner'!$AE$10:$AE$11</c:f>
              <c:numCache>
                <c:formatCode>0.000</c:formatCode>
                <c:ptCount val="2"/>
                <c:pt idx="0">
                  <c:v>0</c:v>
                </c:pt>
                <c:pt idx="1">
                  <c:v>0</c:v>
                </c:pt>
              </c:numCache>
            </c:numRef>
          </c:xVal>
          <c:yVal>
            <c:numRef>
              <c:f>'HDPE Liner'!$AF$10:$AF$11</c:f>
              <c:numCache>
                <c:formatCode>General</c:formatCode>
                <c:ptCount val="2"/>
                <c:pt idx="0">
                  <c:v>0</c:v>
                </c:pt>
                <c:pt idx="1">
                  <c:v>0</c:v>
                </c:pt>
              </c:numCache>
            </c:numRef>
          </c:yVal>
          <c:smooth val="1"/>
          <c:extLst>
            <c:ext xmlns:c16="http://schemas.microsoft.com/office/drawing/2014/chart" uri="{C3380CC4-5D6E-409C-BE32-E72D297353CC}">
              <c16:uniqueId val="{00000002-6F0F-4A9D-83A5-80B227E06EED}"/>
            </c:ext>
          </c:extLst>
        </c:ser>
        <c:dLbls>
          <c:showLegendKey val="0"/>
          <c:showVal val="0"/>
          <c:showCatName val="0"/>
          <c:showSerName val="0"/>
          <c:showPercent val="0"/>
          <c:showBubbleSize val="0"/>
        </c:dLbls>
        <c:axId val="2026957855"/>
        <c:axId val="2026960767"/>
      </c:scatterChart>
      <c:valAx>
        <c:axId val="2026957855"/>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60767"/>
        <c:crosses val="autoZero"/>
        <c:crossBetween val="midCat"/>
      </c:valAx>
      <c:valAx>
        <c:axId val="2026960767"/>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5785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CIPP liner in CMPA Graphical</a:t>
            </a:r>
            <a:r>
              <a:rPr lang="en-US" baseline="0"/>
              <a:t> Check</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CMPA!$AI$9:$AI$45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CMPA!$AJ$9:$AJ$45</c:f>
              <c:numCache>
                <c:formatCode>0.0000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formatCode="General">
                  <c:v>#N/A</c:v>
                </c:pt>
                <c:pt idx="27" formatCode="General">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0-3158-4159-BCA3-63FEDC59EC2A}"/>
            </c:ext>
          </c:extLst>
        </c:ser>
        <c:ser>
          <c:idx val="1"/>
          <c:order val="1"/>
          <c:spPr>
            <a:ln w="19050" cap="rnd">
              <a:solidFill>
                <a:schemeClr val="accent2"/>
              </a:solidFill>
              <a:round/>
            </a:ln>
            <a:effectLst/>
          </c:spPr>
          <c:marker>
            <c:symbol val="none"/>
          </c:marker>
          <c:xVal>
            <c:numRef>
              <c:f>'CIPP Liner'!$AI$9:$AI$45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'CIPP Liner'!$AK$9:$AK$46</c:f>
              <c:numCache>
                <c:formatCode>General</c:formatCode>
                <c:ptCount val="3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1-3158-4159-BCA3-63FEDC59EC2A}"/>
            </c:ext>
          </c:extLst>
        </c:ser>
        <c:dLbls>
          <c:showLegendKey val="0"/>
          <c:showVal val="0"/>
          <c:showCatName val="0"/>
          <c:showSerName val="0"/>
          <c:showPercent val="0"/>
          <c:showBubbleSize val="0"/>
        </c:dLbls>
        <c:axId val="2026957855"/>
        <c:axId val="2026960767"/>
      </c:scatterChart>
      <c:valAx>
        <c:axId val="2026957855"/>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60767"/>
        <c:crosses val="autoZero"/>
        <c:crossBetween val="midCat"/>
      </c:valAx>
      <c:valAx>
        <c:axId val="2026960767"/>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5785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Paved invert in CMPA Graphical</a:t>
            </a:r>
            <a:r>
              <a:rPr lang="en-US" baseline="0"/>
              <a:t> Check</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CMPA!$AI$9:$AI$45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CMPA!$AJ$9:$AJ$45</c:f>
              <c:numCache>
                <c:formatCode>0.0000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formatCode="General">
                  <c:v>#N/A</c:v>
                </c:pt>
                <c:pt idx="27" formatCode="General">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0-2CE0-4E9D-BE58-FD4CF25BE340}"/>
            </c:ext>
          </c:extLst>
        </c:ser>
        <c:ser>
          <c:idx val="1"/>
          <c:order val="1"/>
          <c:spPr>
            <a:ln w="19050" cap="rnd">
              <a:solidFill>
                <a:schemeClr val="accent2"/>
              </a:solidFill>
              <a:round/>
            </a:ln>
            <a:effectLst/>
          </c:spPr>
          <c:marker>
            <c:symbol val="none"/>
          </c:marker>
          <c:xVal>
            <c:numRef>
              <c:f>'Paved Invert'!$AI$9:$AI$45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'Paved Invert'!$AK$9:$AK$45</c:f>
              <c:numCache>
                <c:formatCode>0.0000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1-2CE0-4E9D-BE58-FD4CF25BE340}"/>
            </c:ext>
          </c:extLst>
        </c:ser>
        <c:dLbls>
          <c:showLegendKey val="0"/>
          <c:showVal val="0"/>
          <c:showCatName val="0"/>
          <c:showSerName val="0"/>
          <c:showPercent val="0"/>
          <c:showBubbleSize val="0"/>
        </c:dLbls>
        <c:axId val="2026957855"/>
        <c:axId val="2026960767"/>
      </c:scatterChart>
      <c:valAx>
        <c:axId val="2026957855"/>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60767"/>
        <c:crosses val="autoZero"/>
        <c:crossBetween val="midCat"/>
      </c:valAx>
      <c:valAx>
        <c:axId val="2026960767"/>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5785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Steel liner in CMPA Graphical</a:t>
            </a:r>
            <a:r>
              <a:rPr lang="en-US" baseline="0"/>
              <a:t> Check</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smoothMarker"/>
        <c:varyColors val="0"/>
        <c:ser>
          <c:idx val="0"/>
          <c:order val="0"/>
          <c:spPr>
            <a:ln w="19050" cap="rnd">
              <a:solidFill>
                <a:schemeClr val="accent1"/>
              </a:solidFill>
              <a:round/>
            </a:ln>
            <a:effectLst/>
          </c:spPr>
          <c:marker>
            <c:symbol val="none"/>
          </c:marker>
          <c:xVal>
            <c:numRef>
              <c:f>CMPA!$AI$9:$AI$45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CMPA!$AJ$9:$AJ$45</c:f>
              <c:numCache>
                <c:formatCode>0.0000</c:formatCode>
                <c:ptCount val="3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formatCode="General">
                  <c:v>#N/A</c:v>
                </c:pt>
                <c:pt idx="27" formatCode="General">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0-6625-4271-A55E-141DBDCCAB24}"/>
            </c:ext>
          </c:extLst>
        </c:ser>
        <c:ser>
          <c:idx val="1"/>
          <c:order val="1"/>
          <c:spPr>
            <a:ln w="19050" cap="rnd">
              <a:solidFill>
                <a:schemeClr val="accent2"/>
              </a:solidFill>
              <a:round/>
            </a:ln>
            <a:effectLst/>
          </c:spPr>
          <c:marker>
            <c:symbol val="none"/>
          </c:marker>
          <c:xVal>
            <c:numRef>
              <c:f>'Steel Liner'!$AI$9:$AI$45</c:f>
              <c:numCache>
                <c:formatCode>0.000</c:formatCode>
                <c:ptCount val="37"/>
                <c:pt idx="0">
                  <c:v>0</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0</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0</c:v>
                </c:pt>
              </c:numCache>
            </c:numRef>
          </c:xVal>
          <c:yVal>
            <c:numRef>
              <c:f>'Steel Liner'!$AK$9:$AK$46</c:f>
              <c:numCache>
                <c:formatCode>General</c:formatCode>
                <c:ptCount val="3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1-6625-4271-A55E-141DBDCCAB24}"/>
            </c:ext>
          </c:extLst>
        </c:ser>
        <c:ser>
          <c:idx val="2"/>
          <c:order val="2"/>
          <c:tx>
            <c:v>En-situ Rise</c:v>
          </c:tx>
          <c:spPr>
            <a:ln w="19050" cap="rnd">
              <a:solidFill>
                <a:schemeClr val="accent3"/>
              </a:solidFill>
              <a:round/>
            </a:ln>
            <a:effectLst/>
          </c:spPr>
          <c:marker>
            <c:symbol val="none"/>
          </c:marker>
          <c:dPt>
            <c:idx val="1"/>
            <c:marker>
              <c:symbol val="none"/>
            </c:marker>
            <c:bubble3D val="0"/>
            <c:spPr>
              <a:ln w="19050" cap="rnd">
                <a:solidFill>
                  <a:schemeClr val="tx1"/>
                </a:solidFill>
                <a:prstDash val="dash"/>
                <a:round/>
              </a:ln>
              <a:effectLst/>
            </c:spPr>
            <c:extLst>
              <c:ext xmlns:c16="http://schemas.microsoft.com/office/drawing/2014/chart" uri="{C3380CC4-5D6E-409C-BE32-E72D297353CC}">
                <c16:uniqueId val="{00000003-7D10-4986-9FB0-652D51512B97}"/>
              </c:ext>
            </c:extLst>
          </c:dPt>
          <c:xVal>
            <c:numRef>
              <c:f>'Steel Liner'!$AF$10:$AF$11</c:f>
              <c:numCache>
                <c:formatCode>0.000</c:formatCode>
                <c:ptCount val="2"/>
                <c:pt idx="0">
                  <c:v>0</c:v>
                </c:pt>
                <c:pt idx="1">
                  <c:v>0</c:v>
                </c:pt>
              </c:numCache>
            </c:numRef>
          </c:xVal>
          <c:yVal>
            <c:numRef>
              <c:f>'Steel Liner'!$AG$10:$AG$11</c:f>
              <c:numCache>
                <c:formatCode>General</c:formatCode>
                <c:ptCount val="2"/>
                <c:pt idx="0">
                  <c:v>0</c:v>
                </c:pt>
                <c:pt idx="1">
                  <c:v>0</c:v>
                </c:pt>
              </c:numCache>
            </c:numRef>
          </c:yVal>
          <c:smooth val="1"/>
          <c:extLst>
            <c:ext xmlns:c16="http://schemas.microsoft.com/office/drawing/2014/chart" uri="{C3380CC4-5D6E-409C-BE32-E72D297353CC}">
              <c16:uniqueId val="{00000001-7D10-4986-9FB0-652D51512B97}"/>
            </c:ext>
          </c:extLst>
        </c:ser>
        <c:ser>
          <c:idx val="3"/>
          <c:order val="3"/>
          <c:tx>
            <c:v>En-Situ Span</c:v>
          </c:tx>
          <c:spPr>
            <a:ln w="19050" cap="rnd">
              <a:solidFill>
                <a:sysClr val="windowText" lastClr="000000"/>
              </a:solidFill>
              <a:prstDash val="dash"/>
              <a:round/>
            </a:ln>
            <a:effectLst/>
          </c:spPr>
          <c:marker>
            <c:symbol val="none"/>
          </c:marker>
          <c:xVal>
            <c:numRef>
              <c:f>'Steel Liner'!$AF$12:$AF$13</c:f>
              <c:numCache>
                <c:formatCode>0.000</c:formatCode>
                <c:ptCount val="2"/>
                <c:pt idx="0">
                  <c:v>0</c:v>
                </c:pt>
                <c:pt idx="1">
                  <c:v>0</c:v>
                </c:pt>
              </c:numCache>
            </c:numRef>
          </c:xVal>
          <c:yVal>
            <c:numRef>
              <c:f>'Steel Liner'!$AG$12:$AG$13</c:f>
              <c:numCache>
                <c:formatCode>General</c:formatCode>
                <c:ptCount val="2"/>
                <c:pt idx="0">
                  <c:v>0</c:v>
                </c:pt>
                <c:pt idx="1">
                  <c:v>0</c:v>
                </c:pt>
              </c:numCache>
            </c:numRef>
          </c:yVal>
          <c:smooth val="1"/>
          <c:extLst>
            <c:ext xmlns:c16="http://schemas.microsoft.com/office/drawing/2014/chart" uri="{C3380CC4-5D6E-409C-BE32-E72D297353CC}">
              <c16:uniqueId val="{00000002-7D10-4986-9FB0-652D51512B97}"/>
            </c:ext>
          </c:extLst>
        </c:ser>
        <c:dLbls>
          <c:showLegendKey val="0"/>
          <c:showVal val="0"/>
          <c:showCatName val="0"/>
          <c:showSerName val="0"/>
          <c:showPercent val="0"/>
          <c:showBubbleSize val="0"/>
        </c:dLbls>
        <c:axId val="2026957855"/>
        <c:axId val="2026960767"/>
      </c:scatterChart>
      <c:valAx>
        <c:axId val="2026957855"/>
        <c:scaling>
          <c:orientation val="minMax"/>
        </c:scaling>
        <c:delete val="0"/>
        <c:axPos val="b"/>
        <c:majorGridlines>
          <c:spPr>
            <a:ln w="9525" cap="flat" cmpd="sng" algn="ctr">
              <a:solidFill>
                <a:schemeClr val="tx1">
                  <a:lumMod val="15000"/>
                  <a:lumOff val="85000"/>
                </a:schemeClr>
              </a:solidFill>
              <a:round/>
            </a:ln>
            <a:effectLst/>
          </c:spPr>
        </c:majorGridlines>
        <c:numFmt formatCode="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60767"/>
        <c:crosses val="autoZero"/>
        <c:crossBetween val="midCat"/>
      </c:valAx>
      <c:valAx>
        <c:axId val="2026960767"/>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6957855"/>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12</xdr:col>
      <xdr:colOff>200024</xdr:colOff>
      <xdr:row>0</xdr:row>
      <xdr:rowOff>90487</xdr:rowOff>
    </xdr:from>
    <xdr:to>
      <xdr:col>27</xdr:col>
      <xdr:colOff>76199</xdr:colOff>
      <xdr:row>27</xdr:row>
      <xdr:rowOff>133350</xdr:rowOff>
    </xdr:to>
    <xdr:graphicFrame macro="">
      <xdr:nvGraphicFramePr>
        <xdr:cNvPr id="4" name="Chart 3">
          <a:extLst>
            <a:ext uri="{FF2B5EF4-FFF2-40B4-BE49-F238E27FC236}">
              <a16:creationId xmlns:a16="http://schemas.microsoft.com/office/drawing/2014/main" id="{2D41A126-A01D-47AD-ABB7-A042BE8B1F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104775</xdr:colOff>
      <xdr:row>28</xdr:row>
      <xdr:rowOff>152398</xdr:rowOff>
    </xdr:from>
    <xdr:to>
      <xdr:col>10</xdr:col>
      <xdr:colOff>561975</xdr:colOff>
      <xdr:row>39</xdr:row>
      <xdr:rowOff>76200</xdr:rowOff>
    </xdr:to>
    <xdr:sp macro="" textlink="">
      <xdr:nvSpPr>
        <xdr:cNvPr id="5" name="TextBox 4">
          <a:extLst>
            <a:ext uri="{FF2B5EF4-FFF2-40B4-BE49-F238E27FC236}">
              <a16:creationId xmlns:a16="http://schemas.microsoft.com/office/drawing/2014/main" id="{0639DBD0-1B19-4EA6-BA00-91C5CA8C0C84}"/>
            </a:ext>
          </a:extLst>
        </xdr:cNvPr>
        <xdr:cNvSpPr txBox="1"/>
      </xdr:nvSpPr>
      <xdr:spPr>
        <a:xfrm>
          <a:off x="3971925" y="5200648"/>
          <a:ext cx="3505200" cy="2019302"/>
        </a:xfrm>
        <a:prstGeom prst="rect">
          <a:avLst/>
        </a:prstGeom>
        <a:solidFill>
          <a:schemeClr val="accent6">
            <a:lumMod val="20000"/>
            <a:lumOff val="80000"/>
          </a:scheme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This</a:t>
          </a:r>
          <a:r>
            <a:rPr lang="en-US" sz="1100" b="1" baseline="0"/>
            <a:t> workbook is to be used for liners of CMPA's.  Please fill in the yellow highlighted cells on this page.  The HY8 parameters can be found for each of the CMPA sizes in the structure size table in HY8. The surveyed span and rise will be illustrated by black dashed lines on the HDPE and Steel liner tabs, but all liners use the pipe size chosen in HY8. </a:t>
          </a:r>
        </a:p>
        <a:p>
          <a:endParaRPr lang="en-US" sz="1100" baseline="0"/>
        </a:p>
        <a:p>
          <a:r>
            <a:rPr lang="en-US" sz="1100" b="1" baseline="0"/>
            <a:t>Once filled out, The output plot can be used to paste into HY8 and the liner inverts adjusted in HY8 by the floor thickness</a:t>
          </a:r>
        </a:p>
        <a:p>
          <a:endParaRPr lang="en-US" sz="1100" baseline="0"/>
        </a:p>
      </xdr:txBody>
    </xdr:sp>
    <xdr:clientData/>
  </xdr:twoCellAnchor>
  <xdr:twoCellAnchor editAs="oneCell">
    <xdr:from>
      <xdr:col>0</xdr:col>
      <xdr:colOff>0</xdr:colOff>
      <xdr:row>29</xdr:row>
      <xdr:rowOff>57150</xdr:rowOff>
    </xdr:from>
    <xdr:to>
      <xdr:col>2</xdr:col>
      <xdr:colOff>1410848</xdr:colOff>
      <xdr:row>39</xdr:row>
      <xdr:rowOff>19050</xdr:rowOff>
    </xdr:to>
    <xdr:pic>
      <xdr:nvPicPr>
        <xdr:cNvPr id="2" name="Picture 1">
          <a:extLst>
            <a:ext uri="{FF2B5EF4-FFF2-40B4-BE49-F238E27FC236}">
              <a16:creationId xmlns:a16="http://schemas.microsoft.com/office/drawing/2014/main" id="{FBC8F9E3-43D3-4F4D-8C58-436C46C18A4A}"/>
            </a:ext>
          </a:extLst>
        </xdr:cNvPr>
        <xdr:cNvPicPr>
          <a:picLocks noChangeAspect="1"/>
        </xdr:cNvPicPr>
      </xdr:nvPicPr>
      <xdr:blipFill>
        <a:blip xmlns:r="http://schemas.openxmlformats.org/officeDocument/2006/relationships" r:embed="rId2"/>
        <a:stretch>
          <a:fillRect/>
        </a:stretch>
      </xdr:blipFill>
      <xdr:spPr>
        <a:xfrm>
          <a:off x="0" y="5295900"/>
          <a:ext cx="3934973" cy="1866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57150</xdr:rowOff>
    </xdr:from>
    <xdr:to>
      <xdr:col>5</xdr:col>
      <xdr:colOff>561975</xdr:colOff>
      <xdr:row>29</xdr:row>
      <xdr:rowOff>85725</xdr:rowOff>
    </xdr:to>
    <xdr:sp macro="" textlink="">
      <xdr:nvSpPr>
        <xdr:cNvPr id="2" name="TextBox 1">
          <a:extLst>
            <a:ext uri="{FF2B5EF4-FFF2-40B4-BE49-F238E27FC236}">
              <a16:creationId xmlns:a16="http://schemas.microsoft.com/office/drawing/2014/main" id="{2E3545DB-CD66-4511-B9FB-266F68AC6EDA}"/>
            </a:ext>
          </a:extLst>
        </xdr:cNvPr>
        <xdr:cNvSpPr txBox="1"/>
      </xdr:nvSpPr>
      <xdr:spPr>
        <a:xfrm>
          <a:off x="0" y="4724400"/>
          <a:ext cx="4476750" cy="790575"/>
        </a:xfrm>
        <a:prstGeom prst="rect">
          <a:avLst/>
        </a:prstGeom>
        <a:solidFill>
          <a:schemeClr val="accent6">
            <a:lumMod val="20000"/>
            <a:lumOff val="80000"/>
          </a:schemeClr>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For</a:t>
          </a:r>
          <a:r>
            <a:rPr lang="en-US" sz="1100" baseline="0"/>
            <a:t> the HDPE liner, 2 lines are optional to adjust the inputs if necessary. Please check the graph to assure proper area is available for grout between the liner and host pipe and adjust as necessary. The liner size is index based with the higher numbers being the larger pipe sizes. </a:t>
          </a:r>
          <a:endParaRPr lang="en-US" sz="1100"/>
        </a:p>
      </xdr:txBody>
    </xdr:sp>
    <xdr:clientData/>
  </xdr:twoCellAnchor>
  <xdr:twoCellAnchor>
    <xdr:from>
      <xdr:col>13</xdr:col>
      <xdr:colOff>9525</xdr:colOff>
      <xdr:row>1</xdr:row>
      <xdr:rowOff>0</xdr:rowOff>
    </xdr:from>
    <xdr:to>
      <xdr:col>27</xdr:col>
      <xdr:colOff>495300</xdr:colOff>
      <xdr:row>28</xdr:row>
      <xdr:rowOff>119063</xdr:rowOff>
    </xdr:to>
    <xdr:graphicFrame macro="">
      <xdr:nvGraphicFramePr>
        <xdr:cNvPr id="3" name="Chart 2">
          <a:extLst>
            <a:ext uri="{FF2B5EF4-FFF2-40B4-BE49-F238E27FC236}">
              <a16:creationId xmlns:a16="http://schemas.microsoft.com/office/drawing/2014/main" id="{E295D94B-72F7-42B6-A1C6-ECB98EEE3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13</xdr:col>
      <xdr:colOff>9525</xdr:colOff>
      <xdr:row>1</xdr:row>
      <xdr:rowOff>0</xdr:rowOff>
    </xdr:from>
    <xdr:to>
      <xdr:col>27</xdr:col>
      <xdr:colOff>495300</xdr:colOff>
      <xdr:row>26</xdr:row>
      <xdr:rowOff>119063</xdr:rowOff>
    </xdr:to>
    <xdr:graphicFrame macro="">
      <xdr:nvGraphicFramePr>
        <xdr:cNvPr id="3" name="Chart 2">
          <a:extLst>
            <a:ext uri="{FF2B5EF4-FFF2-40B4-BE49-F238E27FC236}">
              <a16:creationId xmlns:a16="http://schemas.microsoft.com/office/drawing/2014/main" id="{5EF394C4-009C-43DE-AD6C-45DF119273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9525</xdr:colOff>
      <xdr:row>1</xdr:row>
      <xdr:rowOff>0</xdr:rowOff>
    </xdr:from>
    <xdr:to>
      <xdr:col>27</xdr:col>
      <xdr:colOff>495300</xdr:colOff>
      <xdr:row>26</xdr:row>
      <xdr:rowOff>119063</xdr:rowOff>
    </xdr:to>
    <xdr:graphicFrame macro="">
      <xdr:nvGraphicFramePr>
        <xdr:cNvPr id="6" name="Chart 5">
          <a:extLst>
            <a:ext uri="{FF2B5EF4-FFF2-40B4-BE49-F238E27FC236}">
              <a16:creationId xmlns:a16="http://schemas.microsoft.com/office/drawing/2014/main" id="{8A45A743-206F-4F94-B8FB-A01711F6A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13</xdr:col>
      <xdr:colOff>9525</xdr:colOff>
      <xdr:row>1</xdr:row>
      <xdr:rowOff>0</xdr:rowOff>
    </xdr:from>
    <xdr:to>
      <xdr:col>27</xdr:col>
      <xdr:colOff>495300</xdr:colOff>
      <xdr:row>26</xdr:row>
      <xdr:rowOff>119063</xdr:rowOff>
    </xdr:to>
    <xdr:graphicFrame macro="">
      <xdr:nvGraphicFramePr>
        <xdr:cNvPr id="4" name="Chart 3">
          <a:extLst>
            <a:ext uri="{FF2B5EF4-FFF2-40B4-BE49-F238E27FC236}">
              <a16:creationId xmlns:a16="http://schemas.microsoft.com/office/drawing/2014/main" id="{6C0EBE88-30BE-4F37-B343-90B1B8FBFD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2C8CA2D-BE49-4542-B325-5CBE22E16E07}" name="Table1" displayName="Table1" ref="AR8:AZ17" totalsRowShown="0" headerRowDxfId="16">
  <autoFilter ref="AR8:AZ17" xr:uid="{62C8CA2D-BE49-4542-B325-5CBE22E16E07}"/>
  <tableColumns count="9">
    <tableColumn id="1" xr3:uid="{DF99DB0B-A47F-425B-B7AD-F74B9F783A9F}" name="Column1">
      <calculatedColumnFormula>-(ABS(1/($C$119/12))*($D$119/12)*AN9)/(SQRT(($C$119/12)^2-AN9^2))</calculatedColumnFormula>
    </tableColumn>
    <tableColumn id="2" xr3:uid="{E992380E-6C25-42F0-85B8-4593F5770A86}" name="CMPA slope" dataDxfId="15">
      <calculatedColumnFormula>$AS$9-AR9</calculatedColumnFormula>
    </tableColumn>
    <tableColumn id="3" xr3:uid="{F6491131-6C72-499A-9A67-FCAF20331B6E}" name="Column2" dataDxfId="14">
      <calculatedColumnFormula>$AT$9-AR9</calculatedColumnFormula>
    </tableColumn>
    <tableColumn id="4" xr3:uid="{62BBE38A-C35C-4B28-8E79-2DC9BB9E0FD3}" name="Column3" dataDxfId="13">
      <calculatedColumnFormula>$AU$9-AR9</calculatedColumnFormula>
    </tableColumn>
    <tableColumn id="5" xr3:uid="{1EB0051B-CAC7-4B44-9EBC-FBBB798FB8FF}" name="Column4" dataDxfId="12">
      <calculatedColumnFormula>$AV$9-AR9</calculatedColumnFormula>
    </tableColumn>
    <tableColumn id="6" xr3:uid="{2309F6BD-067E-464E-9C98-39075244434E}" name="Column5" dataDxfId="11">
      <calculatedColumnFormula>$AW$9-AR9</calculatedColumnFormula>
    </tableColumn>
    <tableColumn id="7" xr3:uid="{F9AD1A70-D01B-4662-9A48-DD4DB876EA42}" name="Column6" dataDxfId="10">
      <calculatedColumnFormula>$AX$9-AR9</calculatedColumnFormula>
    </tableColumn>
    <tableColumn id="8" xr3:uid="{FAE0CACE-8433-4E8A-84AC-EBB4617BD9C0}" name="Column7" dataDxfId="9">
      <calculatedColumnFormula>$AY$9-AR9</calculatedColumnFormula>
    </tableColumn>
    <tableColumn id="9" xr3:uid="{0E5AC2BB-3F7E-4577-A640-B186C1476D3F}" name="Column8" dataDxfId="8">
      <calculatedColumnFormula>$AZ$9-AR9</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F7143-525C-4312-A35F-66995C6BB524}">
  <sheetPr>
    <tabColor rgb="FFFFFF00"/>
  </sheetPr>
  <dimension ref="A1:AM180"/>
  <sheetViews>
    <sheetView tabSelected="1" workbookViewId="0">
      <selection activeCell="B9" sqref="B9"/>
    </sheetView>
  </sheetViews>
  <sheetFormatPr defaultRowHeight="15" x14ac:dyDescent="0.25"/>
  <cols>
    <col min="1" max="1" width="25.85546875" customWidth="1"/>
    <col min="2" max="2" width="12" bestFit="1" customWidth="1"/>
    <col min="3" max="3" width="26.5703125" customWidth="1"/>
    <col min="12" max="12" width="16.5703125" hidden="1" customWidth="1"/>
  </cols>
  <sheetData>
    <row r="1" spans="1:36" ht="21" x14ac:dyDescent="0.35">
      <c r="A1" s="89" t="s">
        <v>21</v>
      </c>
      <c r="B1" s="89"/>
      <c r="C1" s="89"/>
      <c r="D1" s="89"/>
      <c r="E1" s="89"/>
      <c r="F1" s="89"/>
      <c r="G1" s="89"/>
      <c r="H1" s="89"/>
      <c r="I1" s="89"/>
      <c r="J1" s="89"/>
      <c r="K1" s="89"/>
      <c r="L1" s="5"/>
    </row>
    <row r="2" spans="1:36" ht="15.75" thickBot="1" x14ac:dyDescent="0.3">
      <c r="A2" s="90" t="s">
        <v>23</v>
      </c>
      <c r="B2" s="90"/>
      <c r="C2" s="90"/>
      <c r="D2" s="5"/>
      <c r="E2" s="5"/>
      <c r="F2" s="5"/>
      <c r="G2" s="5"/>
      <c r="H2" s="5"/>
      <c r="I2" s="5"/>
      <c r="J2" s="5"/>
      <c r="K2" s="5"/>
      <c r="L2" s="5"/>
    </row>
    <row r="3" spans="1:36" x14ac:dyDescent="0.25">
      <c r="A3" s="84" t="s">
        <v>35</v>
      </c>
      <c r="B3" s="84"/>
      <c r="C3" s="84"/>
      <c r="D3" s="5"/>
      <c r="E3" s="5"/>
      <c r="F3" s="5"/>
      <c r="G3" s="86" t="s">
        <v>22</v>
      </c>
      <c r="H3" s="87"/>
      <c r="I3" s="87"/>
      <c r="J3" s="88"/>
      <c r="K3" s="5"/>
      <c r="L3" s="23" t="s">
        <v>25</v>
      </c>
    </row>
    <row r="4" spans="1:36" x14ac:dyDescent="0.25">
      <c r="A4" s="4" t="s">
        <v>37</v>
      </c>
      <c r="B4" s="3"/>
      <c r="C4" s="4" t="s">
        <v>6</v>
      </c>
      <c r="D4" s="5"/>
      <c r="E4" s="5"/>
      <c r="F4" s="5"/>
      <c r="G4" s="79"/>
      <c r="H4" s="78"/>
      <c r="I4" s="78"/>
      <c r="J4" s="80"/>
      <c r="K4" s="5"/>
      <c r="L4" s="5"/>
    </row>
    <row r="5" spans="1:36" x14ac:dyDescent="0.25">
      <c r="A5" s="4" t="s">
        <v>36</v>
      </c>
      <c r="B5" s="3"/>
      <c r="C5" s="4" t="s">
        <v>6</v>
      </c>
      <c r="D5" s="5"/>
      <c r="E5" s="5"/>
      <c r="F5" s="5"/>
      <c r="G5" s="14"/>
      <c r="H5" s="4" t="s">
        <v>11</v>
      </c>
      <c r="I5" s="4" t="s">
        <v>12</v>
      </c>
      <c r="J5" s="15" t="s">
        <v>13</v>
      </c>
      <c r="K5" s="5"/>
      <c r="L5" s="23" t="e">
        <f t="shared" ref="L5:L6" si="0">(I6+I7)/2*(H7-H6)-(J6+J7)/2*(H7-H6)</f>
        <v>#N/A</v>
      </c>
    </row>
    <row r="6" spans="1:36" x14ac:dyDescent="0.25">
      <c r="A6" s="4" t="s">
        <v>106</v>
      </c>
      <c r="B6" s="3"/>
      <c r="C6" s="4" t="s">
        <v>10</v>
      </c>
      <c r="D6" s="5"/>
      <c r="E6" s="5"/>
      <c r="F6" s="5"/>
      <c r="G6" s="14">
        <v>1</v>
      </c>
      <c r="H6" s="16" t="e">
        <f>-H24</f>
        <v>#N/A</v>
      </c>
      <c r="I6" s="17" t="e">
        <f>B18/12</f>
        <v>#N/A</v>
      </c>
      <c r="J6" s="18" t="e">
        <f>I6</f>
        <v>#N/A</v>
      </c>
      <c r="K6" s="5"/>
      <c r="L6" s="23" t="e">
        <f t="shared" si="0"/>
        <v>#N/A</v>
      </c>
    </row>
    <row r="7" spans="1:36" x14ac:dyDescent="0.25">
      <c r="A7" s="4" t="s">
        <v>107</v>
      </c>
      <c r="B7" s="3"/>
      <c r="C7" s="4" t="s">
        <v>10</v>
      </c>
      <c r="D7" s="5"/>
      <c r="E7" s="5"/>
      <c r="F7" s="5"/>
      <c r="G7" s="14">
        <v>2</v>
      </c>
      <c r="H7" s="16" t="e">
        <f>-H23</f>
        <v>#N/A</v>
      </c>
      <c r="I7" s="17" t="e">
        <f t="shared" ref="I7:I14" si="1">$B$24+SQRT($D$16^2-H7^2)</f>
        <v>#N/A</v>
      </c>
      <c r="J7" s="18" t="e">
        <f>IF(ABS(H7)&gt;$B$21,$B$26-SQRT(($B$17/12)^2-(H7+$B$27)^2),$B$29-SQRT($D$15^2-H7^2))</f>
        <v>#N/A</v>
      </c>
      <c r="K7" s="5"/>
      <c r="L7" s="23" t="e">
        <f t="shared" ref="L7:L22" si="2">(I8+I9)/2*(H9-H8)-(J8+J9)/2*(H9-H8)</f>
        <v>#N/A</v>
      </c>
    </row>
    <row r="8" spans="1:36" x14ac:dyDescent="0.25">
      <c r="A8" s="84" t="s">
        <v>34</v>
      </c>
      <c r="B8" s="28"/>
      <c r="C8" s="28"/>
      <c r="D8" s="5"/>
      <c r="E8" s="5"/>
      <c r="F8" s="5"/>
      <c r="G8" s="14">
        <v>3</v>
      </c>
      <c r="H8" s="16" t="e">
        <f>-H22</f>
        <v>#N/A</v>
      </c>
      <c r="I8" s="17" t="e">
        <f t="shared" si="1"/>
        <v>#N/A</v>
      </c>
      <c r="J8" s="18" t="e">
        <f>IF(ABS(H8)&gt;$B$21,$B$26-SQRT(($B$17/12)^2-(H8+$B$27)^2),$B$29-SQRT($D$15^2-H8^2))</f>
        <v>#N/A</v>
      </c>
      <c r="K8" s="5"/>
      <c r="L8" s="23" t="e">
        <f t="shared" si="2"/>
        <v>#N/A</v>
      </c>
      <c r="AH8" t="s">
        <v>123</v>
      </c>
      <c r="AI8" t="s">
        <v>20</v>
      </c>
    </row>
    <row r="9" spans="1:36" x14ac:dyDescent="0.25">
      <c r="A9" s="32" t="s">
        <v>291</v>
      </c>
      <c r="B9" s="3"/>
      <c r="C9" s="4" t="s">
        <v>6</v>
      </c>
      <c r="D9" s="5"/>
      <c r="E9" s="5"/>
      <c r="F9" s="5"/>
      <c r="G9" s="14">
        <v>4</v>
      </c>
      <c r="H9" s="16" t="e">
        <f>-H21</f>
        <v>#N/A</v>
      </c>
      <c r="I9" s="17" t="e">
        <f t="shared" si="1"/>
        <v>#N/A</v>
      </c>
      <c r="J9" s="18" t="e">
        <f>IF(ABS(H9)&gt;$B$21,AVERAGE($B$26-SQRT(($B$17/12)^2-(H9+$B$27)^2),$B$29-SQRT($D$15^2-H9^2)),$B$29-SQRT($D$15^2-H9^2))</f>
        <v>#N/A</v>
      </c>
      <c r="K9" s="5"/>
      <c r="L9" s="23" t="e">
        <f t="shared" si="2"/>
        <v>#N/A</v>
      </c>
      <c r="AH9" s="1" t="e">
        <f t="shared" ref="AH9:AH18" si="3">-AI9/SQRT($D$16^2-AI9^2)</f>
        <v>#N/A</v>
      </c>
      <c r="AI9" s="1">
        <f t="shared" ref="AI9:AI18" si="4">H15</f>
        <v>0</v>
      </c>
      <c r="AJ9" s="2" t="e">
        <f t="shared" ref="AJ9:AJ18" si="5">I15</f>
        <v>#N/A</v>
      </c>
    </row>
    <row r="10" spans="1:36" x14ac:dyDescent="0.25">
      <c r="A10" s="28" t="s">
        <v>284</v>
      </c>
      <c r="B10" s="28" t="e">
        <f>INDEX(B45:B161,MATCH(B9,A45:A161,0))</f>
        <v>#N/A</v>
      </c>
      <c r="C10" s="28" t="e" cm="1">
        <f t="array" ref="C10">IF(INDEX(K45:K161,MATCH(TRUE,B9=A45:A161,0))=1,"current variable corner radii",IF(INDEX(K45:K161,MATCH(TRUE,B9=A45:A161,0))=2,"historic variable corner radii",IF(INDEX(K45:K161,MATCH(TRUE,B9=A45:A161,0))=3,"*current 18 in. corner radii",IF(INDEX(K45:K161,MATCH(TRUE,B9=A45:A161,0))=4,"historic 18 in. corner radii",IF(INDEX(K45:K161,MATCH(TRUE,B9=A45:A161,0))=5,"steel structural plate -18in.",IF(INDEX(K45:K161,MATCH(TRUE,B9=A45:A161,0))=6,"steel structural plate-31 in.","steel structural plate - 47 in"))))))</f>
        <v>#N/A</v>
      </c>
      <c r="D10" s="5"/>
      <c r="E10" s="5"/>
      <c r="F10" s="5"/>
      <c r="G10" s="14">
        <v>5</v>
      </c>
      <c r="H10" s="16" t="e">
        <f>-H20</f>
        <v>#N/A</v>
      </c>
      <c r="I10" s="17" t="e">
        <f t="shared" si="1"/>
        <v>#N/A</v>
      </c>
      <c r="J10" s="18" t="e">
        <f>IF(ABS(H10)&gt;$B$21,$B$26-SQRT(($B$17/12)^2-(H10+$B$27)^2),$B$29-SQRT($D$15^2-H10^2))</f>
        <v>#N/A</v>
      </c>
      <c r="K10" s="5"/>
      <c r="L10" s="23" t="e">
        <f t="shared" si="2"/>
        <v>#N/A</v>
      </c>
      <c r="AH10" s="1" t="e">
        <f t="shared" si="3"/>
        <v>#N/A</v>
      </c>
      <c r="AI10" s="1" t="e">
        <f t="shared" si="4"/>
        <v>#N/A</v>
      </c>
      <c r="AJ10" s="2" t="e">
        <f t="shared" si="5"/>
        <v>#N/A</v>
      </c>
    </row>
    <row r="11" spans="1:36" x14ac:dyDescent="0.25">
      <c r="A11" s="28" t="s">
        <v>8</v>
      </c>
      <c r="B11" s="28" t="e" cm="1">
        <f t="array" ref="B11">INDEX(C45:C161,MATCH(TRUE,B9=A45:A161,0))</f>
        <v>#N/A</v>
      </c>
      <c r="C11" s="28" t="s">
        <v>6</v>
      </c>
      <c r="D11" s="5" t="e">
        <f>B11/12</f>
        <v>#N/A</v>
      </c>
      <c r="E11" s="5" t="s">
        <v>10</v>
      </c>
      <c r="F11" s="5"/>
      <c r="G11" s="14">
        <v>6</v>
      </c>
      <c r="H11" s="16" t="e">
        <f>-H19</f>
        <v>#N/A</v>
      </c>
      <c r="I11" s="17" t="e">
        <f t="shared" si="1"/>
        <v>#N/A</v>
      </c>
      <c r="J11" s="18" t="e">
        <f t="shared" ref="J11:J19" si="6">$B$29-SQRT($D$15^2-H11^2)</f>
        <v>#N/A</v>
      </c>
      <c r="K11" s="5"/>
      <c r="L11" s="23" t="e">
        <f t="shared" si="2"/>
        <v>#N/A</v>
      </c>
      <c r="AH11" s="1" t="e">
        <f t="shared" si="3"/>
        <v>#N/A</v>
      </c>
      <c r="AI11" s="1" t="e">
        <f t="shared" si="4"/>
        <v>#N/A</v>
      </c>
      <c r="AJ11" s="2" t="e">
        <f t="shared" si="5"/>
        <v>#N/A</v>
      </c>
    </row>
    <row r="12" spans="1:36" x14ac:dyDescent="0.25">
      <c r="A12" s="28" t="s">
        <v>9</v>
      </c>
      <c r="B12" s="28" t="e" cm="1">
        <f t="array" ref="B12">INDEX(D45:D161,MATCH(TRUE,B9=A45:A161,0))</f>
        <v>#N/A</v>
      </c>
      <c r="C12" s="28" t="s">
        <v>6</v>
      </c>
      <c r="D12" s="5" t="e">
        <f>B12/12</f>
        <v>#N/A</v>
      </c>
      <c r="E12" s="5" t="s">
        <v>10</v>
      </c>
      <c r="F12" s="5"/>
      <c r="G12" s="14">
        <v>7</v>
      </c>
      <c r="H12" s="16" t="e">
        <f>-H18</f>
        <v>#N/A</v>
      </c>
      <c r="I12" s="17" t="e">
        <f t="shared" si="1"/>
        <v>#N/A</v>
      </c>
      <c r="J12" s="18" t="e">
        <f t="shared" si="6"/>
        <v>#N/A</v>
      </c>
      <c r="K12" s="5"/>
      <c r="L12" s="23" t="e">
        <f t="shared" si="2"/>
        <v>#N/A</v>
      </c>
      <c r="AH12" s="1" t="e">
        <f t="shared" si="3"/>
        <v>#N/A</v>
      </c>
      <c r="AI12" s="1" t="e">
        <f t="shared" si="4"/>
        <v>#N/A</v>
      </c>
      <c r="AJ12" s="2" t="e">
        <f t="shared" si="5"/>
        <v>#N/A</v>
      </c>
    </row>
    <row r="13" spans="1:36" x14ac:dyDescent="0.25">
      <c r="A13" s="28" t="s">
        <v>1</v>
      </c>
      <c r="B13" s="28" t="e" cm="1">
        <f t="array" ref="B13">INDEX(E45:E161,MATCH(TRUE,B9=A45:A161,0))</f>
        <v>#N/A</v>
      </c>
      <c r="C13" s="28" t="s">
        <v>7</v>
      </c>
      <c r="D13" s="5"/>
      <c r="E13" s="5"/>
      <c r="F13" s="5"/>
      <c r="G13" s="14">
        <v>8</v>
      </c>
      <c r="H13" s="16" t="e">
        <f>-H17</f>
        <v>#N/A</v>
      </c>
      <c r="I13" s="17" t="e">
        <f t="shared" si="1"/>
        <v>#N/A</v>
      </c>
      <c r="J13" s="18" t="e">
        <f t="shared" si="6"/>
        <v>#N/A</v>
      </c>
      <c r="K13" s="5"/>
      <c r="L13" s="23" t="e">
        <f t="shared" si="2"/>
        <v>#N/A</v>
      </c>
      <c r="AH13" s="1" t="e">
        <f t="shared" si="3"/>
        <v>#N/A</v>
      </c>
      <c r="AI13" s="1" t="e">
        <f t="shared" si="4"/>
        <v>#N/A</v>
      </c>
      <c r="AJ13" s="2" t="e">
        <f t="shared" si="5"/>
        <v>#N/A</v>
      </c>
    </row>
    <row r="14" spans="1:36" x14ac:dyDescent="0.25">
      <c r="A14" s="28" t="s">
        <v>288</v>
      </c>
      <c r="B14" s="28" t="e" cm="1">
        <f t="array" ref="B14">INDEX(F45:F161,MATCH(TRUE,B9=A45:A161,0))</f>
        <v>#N/A</v>
      </c>
      <c r="C14" s="28"/>
      <c r="D14" s="5"/>
      <c r="E14" s="5"/>
      <c r="F14" s="5"/>
      <c r="G14" s="14">
        <v>9</v>
      </c>
      <c r="H14" s="16" t="e">
        <f>-H16</f>
        <v>#N/A</v>
      </c>
      <c r="I14" s="17" t="e">
        <f t="shared" si="1"/>
        <v>#N/A</v>
      </c>
      <c r="J14" s="18" t="e">
        <f t="shared" si="6"/>
        <v>#N/A</v>
      </c>
      <c r="K14" s="5"/>
      <c r="L14" s="23" t="e">
        <f t="shared" si="2"/>
        <v>#N/A</v>
      </c>
      <c r="AH14" s="1" t="e">
        <f t="shared" si="3"/>
        <v>#N/A</v>
      </c>
      <c r="AI14" s="1" t="e">
        <f t="shared" si="4"/>
        <v>#N/A</v>
      </c>
      <c r="AJ14" s="2" t="e">
        <f t="shared" si="5"/>
        <v>#N/A</v>
      </c>
    </row>
    <row r="15" spans="1:36" x14ac:dyDescent="0.25">
      <c r="A15" s="28" t="s">
        <v>29</v>
      </c>
      <c r="B15" s="28" t="e" cm="1">
        <f t="array" ref="B15">INDEX(G45:G161,MATCH(TRUE,B9=A45:A161,0))</f>
        <v>#N/A</v>
      </c>
      <c r="C15" s="28" t="s">
        <v>6</v>
      </c>
      <c r="D15" s="5" t="e">
        <f>B15/12</f>
        <v>#N/A</v>
      </c>
      <c r="E15" s="5" t="s">
        <v>10</v>
      </c>
      <c r="F15" s="5"/>
      <c r="G15" s="14">
        <v>10</v>
      </c>
      <c r="H15" s="16">
        <v>0</v>
      </c>
      <c r="I15" s="17" t="e">
        <f>D12</f>
        <v>#N/A</v>
      </c>
      <c r="J15" s="18" t="e">
        <f t="shared" si="6"/>
        <v>#N/A</v>
      </c>
      <c r="K15" s="5"/>
      <c r="L15" s="23" t="e">
        <f t="shared" si="2"/>
        <v>#N/A</v>
      </c>
      <c r="AH15" s="1" t="e">
        <f t="shared" si="3"/>
        <v>#N/A</v>
      </c>
      <c r="AI15" s="1" t="e">
        <f t="shared" si="4"/>
        <v>#N/A</v>
      </c>
      <c r="AJ15" s="2" t="e">
        <f t="shared" si="5"/>
        <v>#N/A</v>
      </c>
    </row>
    <row r="16" spans="1:36" x14ac:dyDescent="0.25">
      <c r="A16" s="28" t="s">
        <v>30</v>
      </c>
      <c r="B16" s="28" t="e" cm="1">
        <f t="array" ref="B16">INDEX(H45:H161,MATCH(TRUE,B9=A45:A161,0))</f>
        <v>#N/A</v>
      </c>
      <c r="C16" s="28" t="s">
        <v>6</v>
      </c>
      <c r="D16" s="5" t="e">
        <f>B16/12</f>
        <v>#N/A</v>
      </c>
      <c r="E16" s="5" t="s">
        <v>10</v>
      </c>
      <c r="F16" s="5"/>
      <c r="G16" s="14">
        <v>11</v>
      </c>
      <c r="H16" s="16" t="e">
        <f>$H$15+$D$11/18*(G16-$G$15)</f>
        <v>#N/A</v>
      </c>
      <c r="I16" s="17" t="e">
        <f t="shared" ref="I16:I23" si="7">$B$24+SQRT($D$16^2-H16^2)</f>
        <v>#N/A</v>
      </c>
      <c r="J16" s="18" t="e">
        <f t="shared" si="6"/>
        <v>#N/A</v>
      </c>
      <c r="K16" s="5"/>
      <c r="L16" s="23" t="e">
        <f t="shared" si="2"/>
        <v>#N/A</v>
      </c>
      <c r="AH16" s="1" t="e">
        <f t="shared" si="3"/>
        <v>#N/A</v>
      </c>
      <c r="AI16" s="1" t="e">
        <f t="shared" si="4"/>
        <v>#N/A</v>
      </c>
      <c r="AJ16" s="2" t="e">
        <f t="shared" si="5"/>
        <v>#N/A</v>
      </c>
    </row>
    <row r="17" spans="1:39" x14ac:dyDescent="0.25">
      <c r="A17" s="28" t="s">
        <v>28</v>
      </c>
      <c r="B17" s="28" t="e" cm="1">
        <f t="array" ref="B17">INDEX(I45:I161,MATCH(TRUE,B9=A45:A161,0))</f>
        <v>#N/A</v>
      </c>
      <c r="C17" s="28" t="s">
        <v>6</v>
      </c>
      <c r="D17" s="5" t="e">
        <f>B17/12</f>
        <v>#N/A</v>
      </c>
      <c r="E17" s="5" t="s">
        <v>10</v>
      </c>
      <c r="F17" s="5"/>
      <c r="G17" s="14">
        <v>12</v>
      </c>
      <c r="H17" s="16" t="e">
        <f>$H$15+$D$11/18*(G17-$G$15)</f>
        <v>#N/A</v>
      </c>
      <c r="I17" s="17" t="e">
        <f t="shared" si="7"/>
        <v>#N/A</v>
      </c>
      <c r="J17" s="18" t="e">
        <f t="shared" si="6"/>
        <v>#N/A</v>
      </c>
      <c r="K17" s="5"/>
      <c r="L17" s="23" t="e">
        <f t="shared" si="2"/>
        <v>#N/A</v>
      </c>
      <c r="AH17" s="1" t="e">
        <f t="shared" si="3"/>
        <v>#N/A</v>
      </c>
      <c r="AI17" s="1" t="e">
        <f t="shared" si="4"/>
        <v>#N/A</v>
      </c>
      <c r="AJ17" s="2" t="e">
        <f t="shared" si="5"/>
        <v>#N/A</v>
      </c>
    </row>
    <row r="18" spans="1:39" x14ac:dyDescent="0.25">
      <c r="A18" s="28" t="s">
        <v>2</v>
      </c>
      <c r="B18" s="28" t="e" cm="1">
        <f t="array" ref="B18">INDEX(J45:J161,MATCH(TRUE,B9=A45:A161,0))</f>
        <v>#N/A</v>
      </c>
      <c r="C18" s="28" t="s">
        <v>6</v>
      </c>
      <c r="D18" s="5" t="e">
        <f>B18/12</f>
        <v>#N/A</v>
      </c>
      <c r="E18" s="5" t="s">
        <v>10</v>
      </c>
      <c r="F18" s="5"/>
      <c r="G18" s="14">
        <v>13</v>
      </c>
      <c r="H18" s="16" t="e">
        <f>$H$15+$D$11/18*(G18-$G$15)</f>
        <v>#N/A</v>
      </c>
      <c r="I18" s="17" t="e">
        <f t="shared" si="7"/>
        <v>#N/A</v>
      </c>
      <c r="J18" s="18" t="e">
        <f t="shared" si="6"/>
        <v>#N/A</v>
      </c>
      <c r="K18" s="5"/>
      <c r="L18" s="23" t="e">
        <f t="shared" si="2"/>
        <v>#N/A</v>
      </c>
      <c r="AH18" s="1" t="e">
        <f t="shared" si="3"/>
        <v>#N/A</v>
      </c>
      <c r="AI18" s="1" t="e">
        <f t="shared" si="4"/>
        <v>#N/A</v>
      </c>
      <c r="AJ18" s="2" t="e">
        <f t="shared" si="5"/>
        <v>#N/A</v>
      </c>
    </row>
    <row r="19" spans="1:39" x14ac:dyDescent="0.25">
      <c r="A19" s="5"/>
      <c r="B19" s="5"/>
      <c r="C19" s="5"/>
      <c r="D19" s="5"/>
      <c r="E19" s="5"/>
      <c r="F19" s="5"/>
      <c r="G19" s="14">
        <v>14</v>
      </c>
      <c r="H19" s="16" t="e">
        <f>$H$15+$D$11/18*(G19-$G$15)</f>
        <v>#N/A</v>
      </c>
      <c r="I19" s="17" t="e">
        <f t="shared" si="7"/>
        <v>#N/A</v>
      </c>
      <c r="J19" s="18" t="e">
        <f t="shared" si="6"/>
        <v>#N/A</v>
      </c>
      <c r="K19" s="5"/>
      <c r="L19" s="23" t="e">
        <f t="shared" si="2"/>
        <v>#N/A</v>
      </c>
      <c r="AI19" s="1" t="e">
        <f>AI17</f>
        <v>#N/A</v>
      </c>
      <c r="AJ19" s="2" t="e">
        <f>J23</f>
        <v>#N/A</v>
      </c>
      <c r="AM19" s="1"/>
    </row>
    <row r="20" spans="1:39" ht="15" customHeight="1" x14ac:dyDescent="0.25">
      <c r="A20" s="7" t="s">
        <v>24</v>
      </c>
      <c r="B20" s="8"/>
      <c r="C20" s="91" t="e">
        <f>IF(C10="*current 18 in. corner radii", AB48,IF(B9=A145,AB49,""))</f>
        <v>#N/A</v>
      </c>
      <c r="D20" s="92"/>
      <c r="E20" s="92"/>
      <c r="F20" s="92"/>
      <c r="G20" s="14">
        <v>15</v>
      </c>
      <c r="H20" s="16" t="e">
        <f>$H$15+$D$11/18*(G20-$G$15)</f>
        <v>#N/A</v>
      </c>
      <c r="I20" s="17" t="e">
        <f t="shared" si="7"/>
        <v>#N/A</v>
      </c>
      <c r="J20" s="18" t="e">
        <f>IF(ABS(H20)&gt;$B$21,$B$26-SQRT(($B$17/12)^2-(H20-$B$27)^2),$B$29-SQRT($D$15^2-H20^2))</f>
        <v>#N/A</v>
      </c>
      <c r="K20" s="5"/>
      <c r="L20" s="23" t="e">
        <f t="shared" si="2"/>
        <v>#N/A</v>
      </c>
      <c r="AI20" s="1" t="e">
        <f>AI16</f>
        <v>#N/A</v>
      </c>
      <c r="AJ20" s="2" t="e">
        <f>J22</f>
        <v>#N/A</v>
      </c>
      <c r="AM20" s="1"/>
    </row>
    <row r="21" spans="1:39" x14ac:dyDescent="0.25">
      <c r="A21" s="9" t="s">
        <v>18</v>
      </c>
      <c r="B21" s="10" t="e">
        <f>H24-B17/12</f>
        <v>#N/A</v>
      </c>
      <c r="C21" s="91"/>
      <c r="D21" s="92"/>
      <c r="E21" s="92"/>
      <c r="F21" s="92"/>
      <c r="G21" s="14">
        <v>16</v>
      </c>
      <c r="H21" s="16" t="e">
        <f>$H$15+$D$11/36*((G21-$G$15)*2+1)</f>
        <v>#N/A</v>
      </c>
      <c r="I21" s="17" t="e">
        <f t="shared" si="7"/>
        <v>#N/A</v>
      </c>
      <c r="J21" s="18" t="e">
        <f>IF(ABS(H21)&gt;$B$21,AVERAGE($B$26-SQRT(($B$17/12)^2-(H21-$B$27)^2),$B$29-SQRT($D$15^2-H21^2)),$B$29-SQRT($D$15^2-H21^2))</f>
        <v>#N/A</v>
      </c>
      <c r="K21" s="5"/>
      <c r="L21" s="23" t="e">
        <f t="shared" si="2"/>
        <v>#N/A</v>
      </c>
      <c r="AI21" s="1" t="e">
        <f>AI15</f>
        <v>#N/A</v>
      </c>
      <c r="AJ21" s="2" t="e">
        <f>J21</f>
        <v>#N/A</v>
      </c>
      <c r="AM21" s="1"/>
    </row>
    <row r="22" spans="1:39" x14ac:dyDescent="0.25">
      <c r="A22" s="9"/>
      <c r="B22" s="11"/>
      <c r="C22" s="91"/>
      <c r="D22" s="92"/>
      <c r="E22" s="92"/>
      <c r="F22" s="92"/>
      <c r="G22" s="14">
        <v>17</v>
      </c>
      <c r="H22" s="16" t="e">
        <f>$H$15+$D$11/36*((G22-$G$15)*2+1)</f>
        <v>#N/A</v>
      </c>
      <c r="I22" s="17" t="e">
        <f t="shared" si="7"/>
        <v>#N/A</v>
      </c>
      <c r="J22" s="18" t="e">
        <f>IF(ABS(H22)&gt;$B$21,$B$26-SQRT(($B$17/12)^2-(H22-$B$27)^2),$B$29-SQRT($D$15^2-H22^2))</f>
        <v>#N/A</v>
      </c>
      <c r="K22" s="5"/>
      <c r="L22" s="23" t="e">
        <f t="shared" si="2"/>
        <v>#N/A</v>
      </c>
      <c r="AI22" s="1" t="e">
        <f>AI14</f>
        <v>#N/A</v>
      </c>
      <c r="AJ22" s="2" t="e">
        <f>J20</f>
        <v>#N/A</v>
      </c>
      <c r="AM22" s="1"/>
    </row>
    <row r="23" spans="1:39" x14ac:dyDescent="0.25">
      <c r="A23" s="9" t="s">
        <v>17</v>
      </c>
      <c r="B23" s="11"/>
      <c r="C23" s="91"/>
      <c r="D23" s="92"/>
      <c r="E23" s="92"/>
      <c r="F23" s="92"/>
      <c r="G23" s="14">
        <v>18</v>
      </c>
      <c r="H23" s="16" t="e">
        <f>$H$15+$D$11/36*((G23-$G$15)*2+1)</f>
        <v>#N/A</v>
      </c>
      <c r="I23" s="17" t="e">
        <f t="shared" si="7"/>
        <v>#N/A</v>
      </c>
      <c r="J23" s="18" t="e">
        <f>IF(ABS(H23)&gt;$B$21,$B$26-SQRT(($B$17/12)^2-(H23-$B$27)^2),$B$29-SQRT($D$15^2-H23^2))</f>
        <v>#N/A</v>
      </c>
      <c r="K23" s="5"/>
      <c r="AI23" s="1" t="e">
        <f>AI13</f>
        <v>#N/A</v>
      </c>
      <c r="AJ23" s="2" t="e">
        <f>J19</f>
        <v>#N/A</v>
      </c>
      <c r="AM23" s="1"/>
    </row>
    <row r="24" spans="1:39" ht="15.75" thickBot="1" x14ac:dyDescent="0.3">
      <c r="A24" s="9" t="s">
        <v>14</v>
      </c>
      <c r="B24" s="11" t="e">
        <f>D12-D16</f>
        <v>#N/A</v>
      </c>
      <c r="C24" s="91"/>
      <c r="D24" s="92"/>
      <c r="E24" s="92"/>
      <c r="F24" s="92"/>
      <c r="G24" s="19">
        <v>19</v>
      </c>
      <c r="H24" s="20" t="e">
        <f>$H$15+$D$11/18*(G24-$G$15)</f>
        <v>#N/A</v>
      </c>
      <c r="I24" s="21" t="e">
        <f>B18/12</f>
        <v>#N/A</v>
      </c>
      <c r="J24" s="22" t="e">
        <f>I24</f>
        <v>#N/A</v>
      </c>
      <c r="K24" s="5"/>
      <c r="AI24" s="1" t="e">
        <f>AI12</f>
        <v>#N/A</v>
      </c>
      <c r="AJ24" s="2" t="e">
        <f>J18</f>
        <v>#N/A</v>
      </c>
      <c r="AM24" s="1"/>
    </row>
    <row r="25" spans="1:39" x14ac:dyDescent="0.25">
      <c r="A25" s="9"/>
      <c r="B25" s="11"/>
      <c r="C25" s="91"/>
      <c r="D25" s="92"/>
      <c r="E25" s="92"/>
      <c r="F25" s="92"/>
      <c r="G25" s="5"/>
      <c r="H25" s="5"/>
      <c r="I25" s="5"/>
      <c r="J25" s="5"/>
      <c r="K25" s="5"/>
      <c r="L25" s="5"/>
      <c r="AI25" s="1" t="e">
        <f>AI11</f>
        <v>#N/A</v>
      </c>
      <c r="AJ25" s="2" t="e">
        <f>J17</f>
        <v>#N/A</v>
      </c>
      <c r="AM25" s="1"/>
    </row>
    <row r="26" spans="1:39" x14ac:dyDescent="0.25">
      <c r="A26" s="9" t="s">
        <v>15</v>
      </c>
      <c r="B26" s="11" t="e">
        <f>B18/12</f>
        <v>#N/A</v>
      </c>
      <c r="C26" s="91"/>
      <c r="D26" s="92"/>
      <c r="E26" s="92"/>
      <c r="F26" s="92"/>
      <c r="G26" s="5"/>
      <c r="H26" s="5"/>
      <c r="I26" s="5"/>
      <c r="J26" s="5"/>
      <c r="K26" s="5"/>
      <c r="L26" s="5"/>
      <c r="AI26" s="1" t="e">
        <f>AI10</f>
        <v>#N/A</v>
      </c>
      <c r="AJ26" s="2" t="e">
        <f>J16</f>
        <v>#N/A</v>
      </c>
      <c r="AM26" s="1"/>
    </row>
    <row r="27" spans="1:39" x14ac:dyDescent="0.25">
      <c r="A27" s="9" t="s">
        <v>16</v>
      </c>
      <c r="B27" s="10" t="e">
        <f>B21</f>
        <v>#N/A</v>
      </c>
      <c r="C27" s="91"/>
      <c r="D27" s="92"/>
      <c r="E27" s="92"/>
      <c r="F27" s="92"/>
      <c r="G27" s="5"/>
      <c r="H27" s="5"/>
      <c r="I27" s="24" t="s">
        <v>26</v>
      </c>
      <c r="J27" s="5"/>
      <c r="K27" s="5"/>
      <c r="L27" s="5"/>
      <c r="AI27" s="1">
        <f>AI9</f>
        <v>0</v>
      </c>
      <c r="AJ27" s="2" t="e">
        <f>J15</f>
        <v>#N/A</v>
      </c>
      <c r="AM27" s="1"/>
    </row>
    <row r="28" spans="1:39" x14ac:dyDescent="0.25">
      <c r="A28" s="9"/>
      <c r="B28" s="11"/>
      <c r="C28" s="91"/>
      <c r="D28" s="92"/>
      <c r="E28" s="92"/>
      <c r="F28" s="92"/>
      <c r="G28" s="5"/>
      <c r="H28" s="26"/>
      <c r="I28" s="25" t="e">
        <f>SUM(L5:L22)</f>
        <v>#N/A</v>
      </c>
      <c r="J28" s="5"/>
      <c r="K28" s="5"/>
      <c r="L28" s="5"/>
      <c r="AI28" s="1" t="e">
        <f>AI44</f>
        <v>#N/A</v>
      </c>
      <c r="AJ28" s="2" t="e">
        <f>J14</f>
        <v>#N/A</v>
      </c>
    </row>
    <row r="29" spans="1:39" x14ac:dyDescent="0.25">
      <c r="A29" s="12" t="s">
        <v>19</v>
      </c>
      <c r="B29" s="13" t="e">
        <f>D15</f>
        <v>#N/A</v>
      </c>
      <c r="C29" s="91"/>
      <c r="D29" s="92"/>
      <c r="E29" s="92"/>
      <c r="F29" s="92"/>
      <c r="G29" s="5"/>
      <c r="H29" s="5"/>
      <c r="I29" s="5"/>
      <c r="J29" s="5"/>
      <c r="K29" s="5"/>
      <c r="AI29" s="1" t="e">
        <f>AI43</f>
        <v>#N/A</v>
      </c>
      <c r="AJ29" s="2" t="e">
        <f>J13</f>
        <v>#N/A</v>
      </c>
    </row>
    <row r="30" spans="1:39" x14ac:dyDescent="0.25">
      <c r="A30" s="5"/>
      <c r="B30" s="5"/>
      <c r="C30" s="5"/>
      <c r="D30" s="5"/>
      <c r="E30" s="5"/>
      <c r="F30" s="5"/>
      <c r="G30" s="5"/>
      <c r="H30" s="5"/>
      <c r="I30" s="5"/>
      <c r="J30" s="5"/>
      <c r="K30" s="5"/>
      <c r="AI30" s="1" t="e">
        <f>AI42</f>
        <v>#N/A</v>
      </c>
      <c r="AJ30" s="2" t="e">
        <f>J12</f>
        <v>#N/A</v>
      </c>
    </row>
    <row r="31" spans="1:39" x14ac:dyDescent="0.25">
      <c r="A31" s="5"/>
      <c r="B31" s="5"/>
      <c r="C31" s="5"/>
      <c r="D31" s="5"/>
      <c r="E31" s="30"/>
      <c r="F31" s="30"/>
      <c r="G31" s="30"/>
      <c r="H31" s="30"/>
      <c r="I31" s="30"/>
      <c r="J31" s="30"/>
      <c r="K31" s="30"/>
      <c r="AI31" s="1" t="e">
        <f>AI41</f>
        <v>#N/A</v>
      </c>
      <c r="AJ31" s="2" t="e">
        <f>J11</f>
        <v>#N/A</v>
      </c>
    </row>
    <row r="32" spans="1:39" x14ac:dyDescent="0.25">
      <c r="A32" s="5"/>
      <c r="B32" s="5"/>
      <c r="C32" s="5"/>
      <c r="D32" s="5"/>
      <c r="E32" s="30"/>
      <c r="F32" s="30"/>
      <c r="G32" s="30"/>
      <c r="H32" s="30"/>
      <c r="I32" s="30"/>
      <c r="J32" s="30"/>
      <c r="K32" s="30"/>
      <c r="AI32" s="1" t="e">
        <f>AI40</f>
        <v>#N/A</v>
      </c>
      <c r="AJ32" s="2" t="e">
        <f>J10</f>
        <v>#N/A</v>
      </c>
    </row>
    <row r="33" spans="1:36" x14ac:dyDescent="0.25">
      <c r="A33" s="5"/>
      <c r="B33" s="5"/>
      <c r="C33" s="5"/>
      <c r="D33" s="5"/>
      <c r="E33" s="30"/>
      <c r="F33" s="30"/>
      <c r="G33" s="30"/>
      <c r="H33" s="30"/>
      <c r="I33" s="30"/>
      <c r="J33" s="30"/>
      <c r="K33" s="30"/>
      <c r="AI33" s="1" t="e">
        <f>AI39</f>
        <v>#N/A</v>
      </c>
      <c r="AJ33" s="2" t="e">
        <f>J9</f>
        <v>#N/A</v>
      </c>
    </row>
    <row r="34" spans="1:36" x14ac:dyDescent="0.25">
      <c r="A34" s="30"/>
      <c r="B34" s="30"/>
      <c r="C34" s="30"/>
      <c r="D34" s="5"/>
      <c r="E34" s="30"/>
      <c r="F34" s="30"/>
      <c r="G34" s="30"/>
      <c r="H34" s="30"/>
      <c r="I34" s="30"/>
      <c r="J34" s="30"/>
      <c r="K34" s="30"/>
      <c r="AI34" s="1" t="e">
        <f>AI38</f>
        <v>#N/A</v>
      </c>
      <c r="AJ34" s="2" t="e">
        <f>J8</f>
        <v>#N/A</v>
      </c>
    </row>
    <row r="35" spans="1:36" x14ac:dyDescent="0.25">
      <c r="A35" s="30"/>
      <c r="B35" s="30"/>
      <c r="C35" s="30"/>
      <c r="D35" s="30"/>
      <c r="E35" s="30"/>
      <c r="F35" s="30"/>
      <c r="G35" s="30"/>
      <c r="H35" s="30"/>
      <c r="I35" s="30"/>
      <c r="J35" s="30"/>
      <c r="K35" s="30"/>
      <c r="AI35" s="1" t="e">
        <f>AI37</f>
        <v>#N/A</v>
      </c>
      <c r="AJ35" t="e">
        <f>J7</f>
        <v>#N/A</v>
      </c>
    </row>
    <row r="36" spans="1:36" x14ac:dyDescent="0.25">
      <c r="A36" s="30"/>
      <c r="B36" s="30"/>
      <c r="C36" s="30"/>
      <c r="D36" s="30"/>
      <c r="E36" s="5"/>
      <c r="F36" s="5"/>
      <c r="G36" s="5"/>
      <c r="H36" s="5"/>
      <c r="I36" s="5"/>
      <c r="J36" s="5"/>
      <c r="K36" s="5"/>
      <c r="AI36" s="1" t="e">
        <f t="shared" ref="AI36" si="8">H6</f>
        <v>#N/A</v>
      </c>
      <c r="AJ36" t="e">
        <f>J6</f>
        <v>#N/A</v>
      </c>
    </row>
    <row r="37" spans="1:36" x14ac:dyDescent="0.25">
      <c r="A37" s="30"/>
      <c r="B37" s="30"/>
      <c r="C37" s="30"/>
      <c r="D37" s="30"/>
      <c r="E37" s="5"/>
      <c r="F37" s="5"/>
      <c r="G37" s="5"/>
      <c r="H37" s="5"/>
      <c r="I37" s="5"/>
      <c r="J37" s="5"/>
      <c r="K37" s="5"/>
      <c r="AI37" s="1" t="e">
        <f t="shared" ref="AI37:AI38" si="9">H7</f>
        <v>#N/A</v>
      </c>
      <c r="AJ37" s="2" t="e">
        <f t="shared" ref="AJ37:AJ38" si="10">I7</f>
        <v>#N/A</v>
      </c>
    </row>
    <row r="38" spans="1:36" x14ac:dyDescent="0.25">
      <c r="A38" s="30"/>
      <c r="B38" s="30"/>
      <c r="C38" s="30"/>
      <c r="D38" s="30"/>
      <c r="E38" s="5"/>
      <c r="F38" s="5"/>
      <c r="G38" s="5"/>
      <c r="H38" s="5"/>
      <c r="I38" s="5"/>
      <c r="J38" s="5"/>
      <c r="K38" s="5"/>
      <c r="AI38" s="1" t="e">
        <f t="shared" si="9"/>
        <v>#N/A</v>
      </c>
      <c r="AJ38" s="2" t="e">
        <f t="shared" si="10"/>
        <v>#N/A</v>
      </c>
    </row>
    <row r="39" spans="1:36" x14ac:dyDescent="0.25">
      <c r="A39" s="5"/>
      <c r="B39" s="5"/>
      <c r="C39" s="5"/>
      <c r="D39" s="30"/>
      <c r="E39" s="5"/>
      <c r="F39" s="5"/>
      <c r="G39" s="5"/>
      <c r="H39" s="5"/>
      <c r="I39" s="5"/>
      <c r="J39" s="5"/>
      <c r="K39" s="5"/>
      <c r="AI39" s="1" t="e">
        <f t="shared" ref="AI39:AJ44" si="11">H9</f>
        <v>#N/A</v>
      </c>
      <c r="AJ39" s="2" t="e">
        <f t="shared" si="11"/>
        <v>#N/A</v>
      </c>
    </row>
    <row r="40" spans="1:36" x14ac:dyDescent="0.25">
      <c r="A40" s="5"/>
      <c r="B40" s="5"/>
      <c r="C40" s="5"/>
      <c r="D40" s="5"/>
      <c r="E40" s="5"/>
      <c r="F40" s="5"/>
      <c r="G40" s="5"/>
      <c r="H40" s="5"/>
      <c r="I40" s="5"/>
      <c r="J40" s="5"/>
      <c r="K40" s="5"/>
      <c r="S40" t="s">
        <v>166</v>
      </c>
      <c r="AI40" s="1" t="e">
        <f t="shared" si="11"/>
        <v>#N/A</v>
      </c>
      <c r="AJ40" s="2" t="e">
        <f t="shared" si="11"/>
        <v>#N/A</v>
      </c>
    </row>
    <row r="41" spans="1:36" x14ac:dyDescent="0.25">
      <c r="P41" t="s">
        <v>167</v>
      </c>
      <c r="R41" t="e" cm="1">
        <f t="array" ref="R41">INDEX(C45:C161,MATCH(FALSE,C45:C161&lt;B11,0))</f>
        <v>#N/A</v>
      </c>
      <c r="S41" t="e" cm="1">
        <f t="array" ref="S41">INDEX(D45:D161,MATCH(TRUE,C45:C161=R41,0))</f>
        <v>#N/A</v>
      </c>
      <c r="AI41" s="1" t="e">
        <f t="shared" si="11"/>
        <v>#N/A</v>
      </c>
      <c r="AJ41" s="2" t="e">
        <f t="shared" si="11"/>
        <v>#N/A</v>
      </c>
    </row>
    <row r="42" spans="1:36" x14ac:dyDescent="0.25">
      <c r="P42" t="s">
        <v>165</v>
      </c>
      <c r="R42" t="e" cm="1">
        <f t="array" ref="R42">INDEX(C45:C161,MATCH(TRUE,C45:C161&gt;B11,0))</f>
        <v>#N/A</v>
      </c>
      <c r="S42" t="e" cm="1">
        <f t="array" ref="S42">INDEX(D45:D161,MATCH(TRUE,C45:C161=R42,0))</f>
        <v>#N/A</v>
      </c>
      <c r="AI42" s="1" t="e">
        <f t="shared" si="11"/>
        <v>#N/A</v>
      </c>
      <c r="AJ42" s="2" t="e">
        <f t="shared" si="11"/>
        <v>#N/A</v>
      </c>
    </row>
    <row r="43" spans="1:36" x14ac:dyDescent="0.25">
      <c r="A43" t="s">
        <v>282</v>
      </c>
      <c r="B43" t="s">
        <v>302</v>
      </c>
      <c r="C43" t="s">
        <v>149</v>
      </c>
      <c r="D43" t="s">
        <v>52</v>
      </c>
      <c r="E43" t="s">
        <v>150</v>
      </c>
      <c r="F43" t="s">
        <v>151</v>
      </c>
      <c r="G43" t="s">
        <v>152</v>
      </c>
      <c r="H43" t="s">
        <v>153</v>
      </c>
      <c r="I43" t="s">
        <v>154</v>
      </c>
      <c r="J43" t="s">
        <v>155</v>
      </c>
      <c r="K43" t="s">
        <v>283</v>
      </c>
      <c r="AI43" s="1" t="e">
        <f t="shared" si="11"/>
        <v>#N/A</v>
      </c>
      <c r="AJ43" s="2" t="e">
        <f t="shared" si="11"/>
        <v>#N/A</v>
      </c>
    </row>
    <row r="44" spans="1:36" x14ac:dyDescent="0.25">
      <c r="A44" s="83" t="s">
        <v>308</v>
      </c>
      <c r="O44">
        <v>1</v>
      </c>
      <c r="P44" t="s">
        <v>164</v>
      </c>
      <c r="AI44" s="1" t="e">
        <f t="shared" si="11"/>
        <v>#N/A</v>
      </c>
      <c r="AJ44" s="2" t="e">
        <f t="shared" si="11"/>
        <v>#N/A</v>
      </c>
    </row>
    <row r="45" spans="1:36" x14ac:dyDescent="0.25">
      <c r="A45" t="s">
        <v>168</v>
      </c>
      <c r="B45" t="str">
        <f>IF(K45=3,INDEX($P$76:$P$87,MATCH(E45,$U$76:$U$87,0)),A45)</f>
        <v>17x13</v>
      </c>
      <c r="C45">
        <v>17</v>
      </c>
      <c r="D45">
        <v>13</v>
      </c>
      <c r="E45">
        <v>1.1000000000000001</v>
      </c>
      <c r="F45">
        <v>2.5000000000000001E-2</v>
      </c>
      <c r="G45">
        <v>25.625</v>
      </c>
      <c r="H45">
        <v>8.625</v>
      </c>
      <c r="I45">
        <v>3.5</v>
      </c>
      <c r="J45">
        <v>4.38</v>
      </c>
      <c r="K45">
        <v>1</v>
      </c>
      <c r="P45" t="s">
        <v>148</v>
      </c>
      <c r="Q45" t="s">
        <v>149</v>
      </c>
      <c r="R45" t="s">
        <v>52</v>
      </c>
      <c r="S45" t="s">
        <v>150</v>
      </c>
      <c r="T45" t="s">
        <v>151</v>
      </c>
      <c r="U45" t="s">
        <v>152</v>
      </c>
      <c r="V45" t="s">
        <v>153</v>
      </c>
      <c r="W45" t="s">
        <v>154</v>
      </c>
      <c r="X45" t="s">
        <v>155</v>
      </c>
      <c r="AI45" s="1">
        <f>AI9</f>
        <v>0</v>
      </c>
      <c r="AJ45" s="2" t="e">
        <f>AJ9</f>
        <v>#N/A</v>
      </c>
    </row>
    <row r="46" spans="1:36" x14ac:dyDescent="0.25">
      <c r="A46" t="s">
        <v>169</v>
      </c>
      <c r="B46" t="str">
        <f t="shared" ref="B46:B109" si="12">IF(K46=3,INDEX($P$76:$P$87,MATCH(E46,$U$76:$U$87,0)),A46)</f>
        <v>18.1x11</v>
      </c>
      <c r="C46">
        <v>18.100000000000001</v>
      </c>
      <c r="D46">
        <v>11</v>
      </c>
      <c r="E46">
        <v>1.07</v>
      </c>
      <c r="F46">
        <v>2.5000000000000001E-2</v>
      </c>
      <c r="G46">
        <v>19.12</v>
      </c>
      <c r="H46">
        <v>10.06</v>
      </c>
      <c r="I46">
        <v>3.5</v>
      </c>
      <c r="J46">
        <v>4.5</v>
      </c>
      <c r="K46">
        <v>2</v>
      </c>
      <c r="P46" t="s">
        <v>168</v>
      </c>
      <c r="Q46">
        <v>17</v>
      </c>
      <c r="R46">
        <v>13</v>
      </c>
      <c r="S46">
        <v>1.1000000000000001</v>
      </c>
      <c r="T46">
        <v>2.5000000000000001E-2</v>
      </c>
      <c r="U46">
        <v>25.625</v>
      </c>
      <c r="V46">
        <v>8.625</v>
      </c>
      <c r="W46">
        <v>3.5</v>
      </c>
      <c r="X46">
        <v>4.38</v>
      </c>
    </row>
    <row r="47" spans="1:36" x14ac:dyDescent="0.25">
      <c r="A47" t="s">
        <v>170</v>
      </c>
      <c r="B47" t="str">
        <f t="shared" si="12"/>
        <v>21x15</v>
      </c>
      <c r="C47">
        <v>21</v>
      </c>
      <c r="D47">
        <v>15</v>
      </c>
      <c r="E47">
        <v>1.6</v>
      </c>
      <c r="F47">
        <v>2.5000000000000001E-2</v>
      </c>
      <c r="G47">
        <v>33.125</v>
      </c>
      <c r="H47">
        <v>10.75</v>
      </c>
      <c r="I47">
        <v>4.13</v>
      </c>
      <c r="J47">
        <v>4.875</v>
      </c>
      <c r="K47">
        <v>1</v>
      </c>
      <c r="P47" t="s">
        <v>170</v>
      </c>
      <c r="Q47">
        <v>21</v>
      </c>
      <c r="R47">
        <v>15</v>
      </c>
      <c r="S47">
        <v>1.6</v>
      </c>
      <c r="T47">
        <v>2.5000000000000001E-2</v>
      </c>
      <c r="U47">
        <v>33.125</v>
      </c>
      <c r="V47">
        <v>10.75</v>
      </c>
      <c r="W47">
        <v>4.13</v>
      </c>
      <c r="X47">
        <v>4.875</v>
      </c>
    </row>
    <row r="48" spans="1:36" x14ac:dyDescent="0.25">
      <c r="A48" t="s">
        <v>171</v>
      </c>
      <c r="B48" t="str">
        <f t="shared" si="12"/>
        <v>21.7x13.3</v>
      </c>
      <c r="C48">
        <v>21.7</v>
      </c>
      <c r="D48">
        <v>13.3</v>
      </c>
      <c r="E48">
        <v>1.59</v>
      </c>
      <c r="F48">
        <v>2.5000000000000001E-2</v>
      </c>
      <c r="G48">
        <v>37.06</v>
      </c>
      <c r="H48">
        <v>11.87</v>
      </c>
      <c r="I48">
        <v>4</v>
      </c>
      <c r="J48">
        <v>4.75</v>
      </c>
      <c r="K48">
        <v>2</v>
      </c>
      <c r="P48" t="s">
        <v>172</v>
      </c>
      <c r="Q48">
        <v>24</v>
      </c>
      <c r="R48">
        <v>18</v>
      </c>
      <c r="S48">
        <v>2.2000000000000002</v>
      </c>
      <c r="T48">
        <v>2.5000000000000001E-2</v>
      </c>
      <c r="U48">
        <v>34.625</v>
      </c>
      <c r="V48">
        <v>11.875</v>
      </c>
      <c r="W48">
        <v>4.875</v>
      </c>
      <c r="X48">
        <v>5.625</v>
      </c>
      <c r="AB48" t="s">
        <v>300</v>
      </c>
    </row>
    <row r="49" spans="1:28" x14ac:dyDescent="0.25">
      <c r="A49" t="s">
        <v>172</v>
      </c>
      <c r="B49" t="str">
        <f t="shared" si="12"/>
        <v>24x18</v>
      </c>
      <c r="C49">
        <v>24</v>
      </c>
      <c r="D49">
        <v>18</v>
      </c>
      <c r="E49">
        <v>2.2000000000000002</v>
      </c>
      <c r="F49">
        <v>2.5000000000000001E-2</v>
      </c>
      <c r="G49">
        <v>34.625</v>
      </c>
      <c r="H49">
        <v>11.875</v>
      </c>
      <c r="I49">
        <v>4.875</v>
      </c>
      <c r="J49">
        <v>5.625</v>
      </c>
      <c r="K49">
        <v>1</v>
      </c>
      <c r="P49" t="s">
        <v>174</v>
      </c>
      <c r="Q49">
        <v>28</v>
      </c>
      <c r="R49">
        <v>20</v>
      </c>
      <c r="S49">
        <v>2.9</v>
      </c>
      <c r="T49">
        <v>2.5000000000000001E-2</v>
      </c>
      <c r="U49">
        <v>42.25</v>
      </c>
      <c r="V49">
        <v>14</v>
      </c>
      <c r="W49">
        <v>5.5</v>
      </c>
      <c r="X49">
        <v>6.5</v>
      </c>
      <c r="AB49" t="s">
        <v>301</v>
      </c>
    </row>
    <row r="50" spans="1:28" x14ac:dyDescent="0.25">
      <c r="A50" t="s">
        <v>173</v>
      </c>
      <c r="B50" t="str">
        <f t="shared" si="12"/>
        <v>25.3x15.5</v>
      </c>
      <c r="C50">
        <v>25.3</v>
      </c>
      <c r="D50">
        <v>15.5</v>
      </c>
      <c r="E50">
        <v>2.1</v>
      </c>
      <c r="F50">
        <v>2.5000000000000001E-2</v>
      </c>
      <c r="G50">
        <v>33.5</v>
      </c>
      <c r="H50">
        <v>12.75</v>
      </c>
      <c r="I50">
        <v>4</v>
      </c>
      <c r="J50">
        <v>5.25</v>
      </c>
      <c r="K50">
        <v>2</v>
      </c>
      <c r="P50" t="s">
        <v>176</v>
      </c>
      <c r="Q50">
        <v>35</v>
      </c>
      <c r="R50">
        <v>24</v>
      </c>
      <c r="S50">
        <v>4.5</v>
      </c>
      <c r="T50">
        <v>2.5000000000000001E-2</v>
      </c>
      <c r="U50">
        <v>55.125</v>
      </c>
      <c r="V50">
        <v>17.875</v>
      </c>
      <c r="W50">
        <v>6.875</v>
      </c>
      <c r="X50">
        <v>8.125</v>
      </c>
    </row>
    <row r="51" spans="1:28" x14ac:dyDescent="0.25">
      <c r="A51" t="s">
        <v>174</v>
      </c>
      <c r="B51" t="str">
        <f t="shared" si="12"/>
        <v>28x20</v>
      </c>
      <c r="C51">
        <v>28</v>
      </c>
      <c r="D51">
        <v>20</v>
      </c>
      <c r="E51">
        <v>2.9</v>
      </c>
      <c r="F51">
        <v>2.5000000000000001E-2</v>
      </c>
      <c r="G51">
        <v>42.25</v>
      </c>
      <c r="H51">
        <v>14</v>
      </c>
      <c r="I51">
        <v>5.5</v>
      </c>
      <c r="J51">
        <v>6.5</v>
      </c>
      <c r="K51">
        <v>1</v>
      </c>
      <c r="P51" t="s">
        <v>178</v>
      </c>
      <c r="Q51">
        <v>42</v>
      </c>
      <c r="R51">
        <v>29</v>
      </c>
      <c r="S51">
        <v>6.5</v>
      </c>
      <c r="T51">
        <v>2.5000000000000001E-2</v>
      </c>
      <c r="U51">
        <v>66.125</v>
      </c>
      <c r="V51">
        <v>21.5</v>
      </c>
      <c r="W51">
        <v>8.25</v>
      </c>
      <c r="X51">
        <v>9.75</v>
      </c>
    </row>
    <row r="52" spans="1:28" x14ac:dyDescent="0.25">
      <c r="A52" t="s">
        <v>175</v>
      </c>
      <c r="B52" t="str">
        <f t="shared" si="12"/>
        <v>28.9x17.8</v>
      </c>
      <c r="C52">
        <v>28.9</v>
      </c>
      <c r="D52">
        <v>17.8</v>
      </c>
      <c r="E52">
        <v>2.81</v>
      </c>
      <c r="F52">
        <v>2.5000000000000001E-2</v>
      </c>
      <c r="G52">
        <v>55</v>
      </c>
      <c r="H52">
        <v>14.75</v>
      </c>
      <c r="I52">
        <v>4.5</v>
      </c>
      <c r="J52">
        <v>5.5</v>
      </c>
      <c r="K52">
        <v>2</v>
      </c>
      <c r="P52" t="s">
        <v>181</v>
      </c>
      <c r="Q52">
        <v>49</v>
      </c>
      <c r="R52">
        <v>33</v>
      </c>
      <c r="S52">
        <v>8.9</v>
      </c>
      <c r="T52">
        <v>2.4E-2</v>
      </c>
      <c r="U52">
        <v>77.25</v>
      </c>
      <c r="V52">
        <v>25.125</v>
      </c>
      <c r="W52">
        <v>9.625</v>
      </c>
      <c r="X52">
        <v>11.375</v>
      </c>
    </row>
    <row r="53" spans="1:28" x14ac:dyDescent="0.25">
      <c r="A53" t="s">
        <v>176</v>
      </c>
      <c r="B53" t="str">
        <f t="shared" si="12"/>
        <v>35x24</v>
      </c>
      <c r="C53">
        <v>35</v>
      </c>
      <c r="D53">
        <v>24</v>
      </c>
      <c r="E53">
        <v>4.5</v>
      </c>
      <c r="F53">
        <v>2.5000000000000001E-2</v>
      </c>
      <c r="G53">
        <v>55.125</v>
      </c>
      <c r="H53">
        <v>17.875</v>
      </c>
      <c r="I53">
        <v>6.875</v>
      </c>
      <c r="J53">
        <v>8.125</v>
      </c>
      <c r="K53">
        <v>1</v>
      </c>
      <c r="P53" t="s">
        <v>184</v>
      </c>
      <c r="Q53">
        <v>57</v>
      </c>
      <c r="R53">
        <v>38</v>
      </c>
      <c r="S53">
        <v>11.6</v>
      </c>
      <c r="T53">
        <v>2.4E-2</v>
      </c>
      <c r="U53">
        <v>88.25</v>
      </c>
      <c r="V53">
        <v>28.625</v>
      </c>
      <c r="W53">
        <v>11</v>
      </c>
      <c r="X53">
        <v>13</v>
      </c>
    </row>
    <row r="54" spans="1:28" x14ac:dyDescent="0.25">
      <c r="A54" t="s">
        <v>177</v>
      </c>
      <c r="B54" t="str">
        <f t="shared" si="12"/>
        <v>36.1x22.2</v>
      </c>
      <c r="C54">
        <v>36.1</v>
      </c>
      <c r="D54">
        <v>22.2</v>
      </c>
      <c r="E54">
        <v>4.3899999999999997</v>
      </c>
      <c r="F54">
        <v>2.5000000000000001E-2</v>
      </c>
      <c r="G54">
        <v>73.25</v>
      </c>
      <c r="H54">
        <v>18.25</v>
      </c>
      <c r="I54">
        <v>5</v>
      </c>
      <c r="J54">
        <v>6.25</v>
      </c>
      <c r="K54">
        <v>2</v>
      </c>
      <c r="P54" t="s">
        <v>188</v>
      </c>
      <c r="Q54">
        <v>64</v>
      </c>
      <c r="R54">
        <v>43</v>
      </c>
      <c r="S54">
        <v>14.7</v>
      </c>
      <c r="T54">
        <v>2.4E-2</v>
      </c>
      <c r="U54">
        <v>99.25</v>
      </c>
      <c r="V54">
        <v>32.25</v>
      </c>
      <c r="W54">
        <v>12.375</v>
      </c>
      <c r="X54">
        <v>14.625</v>
      </c>
    </row>
    <row r="55" spans="1:28" x14ac:dyDescent="0.25">
      <c r="A55" t="s">
        <v>178</v>
      </c>
      <c r="B55" t="str">
        <f t="shared" si="12"/>
        <v>42x29</v>
      </c>
      <c r="C55">
        <v>42</v>
      </c>
      <c r="D55">
        <v>29</v>
      </c>
      <c r="E55">
        <v>6.5</v>
      </c>
      <c r="F55">
        <v>2.5000000000000001E-2</v>
      </c>
      <c r="G55">
        <v>66.125</v>
      </c>
      <c r="H55">
        <v>21.5</v>
      </c>
      <c r="I55">
        <v>8.25</v>
      </c>
      <c r="J55">
        <v>9.75</v>
      </c>
      <c r="K55">
        <v>1</v>
      </c>
      <c r="P55" t="s">
        <v>191</v>
      </c>
      <c r="Q55">
        <v>71</v>
      </c>
      <c r="R55">
        <v>47</v>
      </c>
      <c r="S55">
        <v>18.100000000000001</v>
      </c>
      <c r="T55">
        <v>2.4E-2</v>
      </c>
      <c r="U55">
        <v>110.25</v>
      </c>
      <c r="V55">
        <v>35.75</v>
      </c>
      <c r="W55">
        <v>13.75</v>
      </c>
      <c r="X55">
        <v>16.25</v>
      </c>
    </row>
    <row r="56" spans="1:28" x14ac:dyDescent="0.25">
      <c r="A56" t="s">
        <v>179</v>
      </c>
      <c r="B56" t="str">
        <f t="shared" si="12"/>
        <v>43x27</v>
      </c>
      <c r="C56">
        <v>43</v>
      </c>
      <c r="D56">
        <v>27</v>
      </c>
      <c r="E56">
        <v>6.3</v>
      </c>
      <c r="F56">
        <v>2.8000000000000001E-2</v>
      </c>
      <c r="G56">
        <v>54.75</v>
      </c>
      <c r="H56">
        <v>22.5</v>
      </c>
      <c r="I56">
        <v>7.75</v>
      </c>
      <c r="J56">
        <v>9.75</v>
      </c>
      <c r="K56">
        <v>4</v>
      </c>
      <c r="P56" t="s">
        <v>197</v>
      </c>
      <c r="Q56">
        <v>77</v>
      </c>
      <c r="R56">
        <v>52</v>
      </c>
      <c r="S56">
        <v>21.9</v>
      </c>
      <c r="T56">
        <v>2.4E-2</v>
      </c>
      <c r="U56">
        <v>121.25</v>
      </c>
      <c r="V56">
        <v>39.375</v>
      </c>
      <c r="W56">
        <v>15.125</v>
      </c>
      <c r="X56">
        <v>17.875</v>
      </c>
    </row>
    <row r="57" spans="1:28" x14ac:dyDescent="0.25">
      <c r="A57" t="s">
        <v>180</v>
      </c>
      <c r="B57" t="str">
        <f t="shared" si="12"/>
        <v>43.3x26.6</v>
      </c>
      <c r="C57">
        <v>43.3</v>
      </c>
      <c r="D57">
        <v>26.6</v>
      </c>
      <c r="E57">
        <v>6.28</v>
      </c>
      <c r="F57">
        <v>2.5000000000000001E-2</v>
      </c>
      <c r="G57">
        <v>91.56</v>
      </c>
      <c r="H57">
        <v>21.56</v>
      </c>
      <c r="I57">
        <v>5.5</v>
      </c>
      <c r="J57">
        <v>7</v>
      </c>
      <c r="K57">
        <v>2</v>
      </c>
      <c r="P57" t="s">
        <v>202</v>
      </c>
      <c r="Q57">
        <v>83</v>
      </c>
      <c r="R57">
        <v>57</v>
      </c>
      <c r="S57">
        <v>26</v>
      </c>
      <c r="T57">
        <v>2.4E-2</v>
      </c>
      <c r="U57">
        <v>132.25</v>
      </c>
      <c r="V57">
        <v>43</v>
      </c>
      <c r="W57">
        <v>16.25</v>
      </c>
      <c r="X57">
        <v>19.5</v>
      </c>
    </row>
    <row r="58" spans="1:28" x14ac:dyDescent="0.25">
      <c r="A58" t="s">
        <v>181</v>
      </c>
      <c r="B58" t="str">
        <f t="shared" si="12"/>
        <v>49x33</v>
      </c>
      <c r="C58">
        <v>49</v>
      </c>
      <c r="D58">
        <v>33</v>
      </c>
      <c r="E58">
        <v>8.9</v>
      </c>
      <c r="F58">
        <v>2.4E-2</v>
      </c>
      <c r="G58">
        <v>77.25</v>
      </c>
      <c r="H58">
        <v>25.125</v>
      </c>
      <c r="I58">
        <v>9.625</v>
      </c>
      <c r="J58">
        <v>11.375</v>
      </c>
      <c r="K58">
        <v>1</v>
      </c>
    </row>
    <row r="59" spans="1:28" x14ac:dyDescent="0.25">
      <c r="A59" t="s">
        <v>182</v>
      </c>
      <c r="B59" t="str">
        <f t="shared" si="12"/>
        <v>50x31</v>
      </c>
      <c r="C59">
        <v>50</v>
      </c>
      <c r="D59">
        <v>31</v>
      </c>
      <c r="E59">
        <v>8.41</v>
      </c>
      <c r="F59">
        <v>2.8000000000000001E-2</v>
      </c>
      <c r="G59">
        <v>67</v>
      </c>
      <c r="H59">
        <v>26.25</v>
      </c>
      <c r="I59">
        <v>9</v>
      </c>
      <c r="J59">
        <v>11.25</v>
      </c>
      <c r="K59">
        <v>4</v>
      </c>
      <c r="O59">
        <v>2</v>
      </c>
      <c r="P59" t="s">
        <v>159</v>
      </c>
    </row>
    <row r="60" spans="1:28" x14ac:dyDescent="0.25">
      <c r="A60" t="s">
        <v>183</v>
      </c>
      <c r="B60" t="str">
        <f t="shared" si="12"/>
        <v>50.6x31.7</v>
      </c>
      <c r="C60">
        <v>50.6</v>
      </c>
      <c r="D60">
        <v>31.7</v>
      </c>
      <c r="E60">
        <v>8.75</v>
      </c>
      <c r="F60">
        <v>2.4E-2</v>
      </c>
      <c r="G60">
        <v>97.25</v>
      </c>
      <c r="H60">
        <v>25.12</v>
      </c>
      <c r="I60">
        <v>6</v>
      </c>
      <c r="J60">
        <v>8</v>
      </c>
      <c r="K60">
        <v>2</v>
      </c>
      <c r="P60" t="s">
        <v>148</v>
      </c>
      <c r="Q60" t="s">
        <v>149</v>
      </c>
      <c r="R60" t="s">
        <v>52</v>
      </c>
      <c r="S60" t="s">
        <v>150</v>
      </c>
      <c r="T60" t="s">
        <v>151</v>
      </c>
      <c r="U60" t="s">
        <v>152</v>
      </c>
      <c r="V60" t="s">
        <v>153</v>
      </c>
      <c r="W60" t="s">
        <v>154</v>
      </c>
      <c r="X60" t="s">
        <v>155</v>
      </c>
    </row>
    <row r="61" spans="1:28" x14ac:dyDescent="0.25">
      <c r="A61" t="s">
        <v>184</v>
      </c>
      <c r="B61" t="str">
        <f t="shared" si="12"/>
        <v>57x38</v>
      </c>
      <c r="C61">
        <v>57</v>
      </c>
      <c r="D61">
        <v>38</v>
      </c>
      <c r="E61">
        <v>11.6</v>
      </c>
      <c r="F61">
        <v>2.4E-2</v>
      </c>
      <c r="G61">
        <v>88.25</v>
      </c>
      <c r="H61">
        <v>28.625</v>
      </c>
      <c r="I61">
        <v>11</v>
      </c>
      <c r="J61">
        <v>13</v>
      </c>
      <c r="K61">
        <v>1</v>
      </c>
      <c r="P61" t="s">
        <v>169</v>
      </c>
      <c r="Q61">
        <v>18.100000000000001</v>
      </c>
      <c r="R61">
        <v>11</v>
      </c>
      <c r="S61">
        <v>1.07</v>
      </c>
      <c r="T61">
        <v>2.5000000000000001E-2</v>
      </c>
      <c r="U61">
        <v>19.12</v>
      </c>
      <c r="V61">
        <v>10.06</v>
      </c>
      <c r="W61">
        <v>3.5</v>
      </c>
      <c r="X61">
        <v>4.5</v>
      </c>
    </row>
    <row r="62" spans="1:28" x14ac:dyDescent="0.25">
      <c r="A62" t="s">
        <v>185</v>
      </c>
      <c r="B62" t="str">
        <f t="shared" si="12"/>
        <v>57.8x35.5</v>
      </c>
      <c r="C62">
        <v>57.8</v>
      </c>
      <c r="D62">
        <v>35.5</v>
      </c>
      <c r="E62">
        <v>11.23</v>
      </c>
      <c r="F62">
        <v>2.4E-2</v>
      </c>
      <c r="G62">
        <v>115.69</v>
      </c>
      <c r="H62">
        <v>29.12</v>
      </c>
      <c r="I62">
        <v>7</v>
      </c>
      <c r="J62">
        <v>9.25</v>
      </c>
      <c r="K62">
        <v>2</v>
      </c>
      <c r="P62" t="s">
        <v>171</v>
      </c>
      <c r="Q62">
        <v>21.7</v>
      </c>
      <c r="R62">
        <v>13.3</v>
      </c>
      <c r="S62">
        <v>1.59</v>
      </c>
      <c r="T62">
        <v>2.5000000000000001E-2</v>
      </c>
      <c r="U62">
        <v>37.06</v>
      </c>
      <c r="V62">
        <v>11.87</v>
      </c>
      <c r="W62">
        <v>4</v>
      </c>
      <c r="X62">
        <v>4.75</v>
      </c>
    </row>
    <row r="63" spans="1:28" x14ac:dyDescent="0.25">
      <c r="A63" t="s">
        <v>186</v>
      </c>
      <c r="B63" t="str">
        <f t="shared" si="12"/>
        <v>58x36</v>
      </c>
      <c r="C63">
        <v>58</v>
      </c>
      <c r="D63">
        <v>36</v>
      </c>
      <c r="E63">
        <v>11.36</v>
      </c>
      <c r="F63">
        <v>2.8000000000000001E-2</v>
      </c>
      <c r="G63">
        <v>82</v>
      </c>
      <c r="H63">
        <v>30.5</v>
      </c>
      <c r="I63">
        <v>10.5</v>
      </c>
      <c r="J63">
        <v>13</v>
      </c>
      <c r="K63">
        <v>4</v>
      </c>
      <c r="P63" t="s">
        <v>173</v>
      </c>
      <c r="Q63">
        <v>25.3</v>
      </c>
      <c r="R63">
        <v>15.5</v>
      </c>
      <c r="S63">
        <v>2.1</v>
      </c>
      <c r="T63">
        <v>2.5000000000000001E-2</v>
      </c>
      <c r="U63">
        <v>33.5</v>
      </c>
      <c r="V63">
        <v>12.75</v>
      </c>
      <c r="W63">
        <v>4</v>
      </c>
      <c r="X63">
        <v>5.25</v>
      </c>
    </row>
    <row r="64" spans="1:28" x14ac:dyDescent="0.25">
      <c r="A64" t="s">
        <v>187</v>
      </c>
      <c r="B64" t="str">
        <f t="shared" si="12"/>
        <v>60x46</v>
      </c>
      <c r="C64">
        <v>58.5</v>
      </c>
      <c r="D64">
        <v>48.5</v>
      </c>
      <c r="E64">
        <v>15.6</v>
      </c>
      <c r="F64">
        <v>2.8000000000000001E-2</v>
      </c>
      <c r="G64">
        <v>51.125</v>
      </c>
      <c r="H64">
        <v>29.375</v>
      </c>
      <c r="I64">
        <v>18.75</v>
      </c>
      <c r="J64">
        <v>20.5</v>
      </c>
      <c r="K64">
        <v>3</v>
      </c>
      <c r="P64" t="s">
        <v>175</v>
      </c>
      <c r="Q64">
        <v>28.9</v>
      </c>
      <c r="R64">
        <v>17.8</v>
      </c>
      <c r="S64">
        <v>2.81</v>
      </c>
      <c r="T64">
        <v>2.5000000000000001E-2</v>
      </c>
      <c r="U64">
        <v>55</v>
      </c>
      <c r="V64">
        <v>14.75</v>
      </c>
      <c r="W64">
        <v>4.5</v>
      </c>
      <c r="X64">
        <v>5.5</v>
      </c>
    </row>
    <row r="65" spans="1:26" x14ac:dyDescent="0.25">
      <c r="A65" t="s">
        <v>188</v>
      </c>
      <c r="B65" t="str">
        <f t="shared" si="12"/>
        <v>64x43</v>
      </c>
      <c r="C65">
        <v>64</v>
      </c>
      <c r="D65">
        <v>43</v>
      </c>
      <c r="E65">
        <v>14.7</v>
      </c>
      <c r="F65">
        <v>2.4E-2</v>
      </c>
      <c r="G65">
        <v>99.25</v>
      </c>
      <c r="H65">
        <v>32.25</v>
      </c>
      <c r="I65">
        <v>12.375</v>
      </c>
      <c r="J65">
        <v>14.625</v>
      </c>
      <c r="K65">
        <v>1</v>
      </c>
      <c r="P65" t="s">
        <v>177</v>
      </c>
      <c r="Q65">
        <v>36.1</v>
      </c>
      <c r="R65">
        <v>22.2</v>
      </c>
      <c r="S65">
        <v>4.3899999999999997</v>
      </c>
      <c r="T65">
        <v>2.5000000000000001E-2</v>
      </c>
      <c r="U65">
        <v>73.25</v>
      </c>
      <c r="V65">
        <v>18.25</v>
      </c>
      <c r="W65">
        <v>5</v>
      </c>
      <c r="X65">
        <v>6.25</v>
      </c>
    </row>
    <row r="66" spans="1:26" x14ac:dyDescent="0.25">
      <c r="A66" t="s">
        <v>189</v>
      </c>
      <c r="B66" t="str">
        <f t="shared" si="12"/>
        <v>65x40</v>
      </c>
      <c r="C66">
        <v>65</v>
      </c>
      <c r="D66">
        <v>40</v>
      </c>
      <c r="E66">
        <v>14.23</v>
      </c>
      <c r="F66">
        <v>2.4E-2</v>
      </c>
      <c r="G66">
        <v>129.31</v>
      </c>
      <c r="H66">
        <v>32.75</v>
      </c>
      <c r="I66">
        <v>8</v>
      </c>
      <c r="J66">
        <v>10.5</v>
      </c>
      <c r="K66">
        <v>2</v>
      </c>
      <c r="P66" t="s">
        <v>180</v>
      </c>
      <c r="Q66">
        <v>43.3</v>
      </c>
      <c r="R66">
        <v>26.6</v>
      </c>
      <c r="S66">
        <v>6.28</v>
      </c>
      <c r="T66">
        <v>2.5000000000000001E-2</v>
      </c>
      <c r="U66">
        <v>91.56</v>
      </c>
      <c r="V66">
        <v>21.56</v>
      </c>
      <c r="W66">
        <v>5.5</v>
      </c>
      <c r="X66">
        <v>7</v>
      </c>
    </row>
    <row r="67" spans="1:26" x14ac:dyDescent="0.25">
      <c r="A67" t="s">
        <v>190</v>
      </c>
      <c r="B67" t="str">
        <f t="shared" si="12"/>
        <v>66x51</v>
      </c>
      <c r="C67">
        <v>65</v>
      </c>
      <c r="D67">
        <v>54</v>
      </c>
      <c r="E67">
        <v>19.3</v>
      </c>
      <c r="F67">
        <v>2.8000000000000001E-2</v>
      </c>
      <c r="G67">
        <v>56.25</v>
      </c>
      <c r="H67">
        <v>32.625</v>
      </c>
      <c r="I67">
        <v>20.75</v>
      </c>
      <c r="J67">
        <v>22.75</v>
      </c>
      <c r="K67">
        <v>3</v>
      </c>
      <c r="P67" t="s">
        <v>183</v>
      </c>
      <c r="Q67">
        <v>50.6</v>
      </c>
      <c r="R67">
        <v>31.7</v>
      </c>
      <c r="S67">
        <v>8.75</v>
      </c>
      <c r="T67">
        <v>2.4E-2</v>
      </c>
      <c r="U67">
        <v>97.25</v>
      </c>
      <c r="V67">
        <v>25.12</v>
      </c>
      <c r="W67">
        <v>6</v>
      </c>
      <c r="X67">
        <v>8</v>
      </c>
    </row>
    <row r="68" spans="1:26" x14ac:dyDescent="0.25">
      <c r="A68" t="s">
        <v>287</v>
      </c>
      <c r="B68" t="str">
        <f t="shared" si="12"/>
        <v xml:space="preserve">65x40 </v>
      </c>
      <c r="C68">
        <v>65</v>
      </c>
      <c r="D68">
        <v>40</v>
      </c>
      <c r="E68">
        <v>14.14</v>
      </c>
      <c r="F68">
        <v>2.8000000000000001E-2</v>
      </c>
      <c r="G68">
        <v>91.25</v>
      </c>
      <c r="H68">
        <v>34.5</v>
      </c>
      <c r="I68">
        <v>12</v>
      </c>
      <c r="J68">
        <v>14.75</v>
      </c>
      <c r="K68">
        <v>4</v>
      </c>
      <c r="P68" t="s">
        <v>185</v>
      </c>
      <c r="Q68">
        <v>57.8</v>
      </c>
      <c r="R68">
        <v>35.5</v>
      </c>
      <c r="S68">
        <v>11.23</v>
      </c>
      <c r="T68">
        <v>2.4E-2</v>
      </c>
      <c r="U68">
        <v>115.69</v>
      </c>
      <c r="V68">
        <v>29.12</v>
      </c>
      <c r="W68">
        <v>7</v>
      </c>
      <c r="X68">
        <v>9.25</v>
      </c>
    </row>
    <row r="69" spans="1:26" x14ac:dyDescent="0.25">
      <c r="A69" t="s">
        <v>191</v>
      </c>
      <c r="B69" t="str">
        <f t="shared" si="12"/>
        <v>71x47</v>
      </c>
      <c r="C69">
        <v>71</v>
      </c>
      <c r="D69">
        <v>47</v>
      </c>
      <c r="E69">
        <v>18.100000000000001</v>
      </c>
      <c r="F69">
        <v>2.4E-2</v>
      </c>
      <c r="G69">
        <v>110.25</v>
      </c>
      <c r="H69">
        <v>35.75</v>
      </c>
      <c r="I69">
        <v>13.75</v>
      </c>
      <c r="J69">
        <v>16.25</v>
      </c>
      <c r="K69">
        <v>1</v>
      </c>
      <c r="P69" t="s">
        <v>189</v>
      </c>
      <c r="Q69">
        <v>65</v>
      </c>
      <c r="R69">
        <v>40</v>
      </c>
      <c r="S69">
        <v>14.23</v>
      </c>
      <c r="T69">
        <v>2.4E-2</v>
      </c>
      <c r="U69">
        <v>129.31</v>
      </c>
      <c r="V69">
        <v>32.75</v>
      </c>
      <c r="W69">
        <v>8</v>
      </c>
      <c r="X69">
        <v>10.5</v>
      </c>
    </row>
    <row r="70" spans="1:26" x14ac:dyDescent="0.25">
      <c r="A70" t="s">
        <v>192</v>
      </c>
      <c r="B70" t="str">
        <f t="shared" si="12"/>
        <v>72x44</v>
      </c>
      <c r="C70">
        <v>72</v>
      </c>
      <c r="D70">
        <v>44</v>
      </c>
      <c r="E70">
        <v>17.239999999999998</v>
      </c>
      <c r="F70">
        <v>2.8000000000000001E-2</v>
      </c>
      <c r="G70">
        <v>98.5</v>
      </c>
      <c r="H70">
        <v>38.5</v>
      </c>
      <c r="I70">
        <v>13.25</v>
      </c>
      <c r="J70">
        <v>16.25</v>
      </c>
      <c r="K70">
        <v>4</v>
      </c>
      <c r="P70" t="s">
        <v>193</v>
      </c>
      <c r="Q70">
        <v>72.2</v>
      </c>
      <c r="R70">
        <v>44.4</v>
      </c>
      <c r="S70">
        <v>17.52</v>
      </c>
      <c r="T70">
        <v>2.4E-2</v>
      </c>
      <c r="U70">
        <v>142.94</v>
      </c>
      <c r="V70">
        <v>36.31</v>
      </c>
      <c r="W70">
        <v>9</v>
      </c>
      <c r="X70">
        <v>11.75</v>
      </c>
    </row>
    <row r="71" spans="1:26" x14ac:dyDescent="0.25">
      <c r="A71" t="s">
        <v>193</v>
      </c>
      <c r="B71" t="str">
        <f t="shared" si="12"/>
        <v>72.2x44.4</v>
      </c>
      <c r="C71">
        <v>72.2</v>
      </c>
      <c r="D71">
        <v>44.4</v>
      </c>
      <c r="E71">
        <v>17.52</v>
      </c>
      <c r="F71">
        <v>2.4E-2</v>
      </c>
      <c r="G71">
        <v>142.94</v>
      </c>
      <c r="H71">
        <v>36.31</v>
      </c>
      <c r="I71">
        <v>9</v>
      </c>
      <c r="J71">
        <v>11.75</v>
      </c>
      <c r="K71">
        <v>2</v>
      </c>
      <c r="P71" t="s">
        <v>199</v>
      </c>
      <c r="Q71">
        <v>79.400000000000006</v>
      </c>
      <c r="R71">
        <v>48.7</v>
      </c>
      <c r="S71">
        <v>21.01</v>
      </c>
      <c r="T71">
        <v>2.4E-2</v>
      </c>
      <c r="U71">
        <v>145.55000000000001</v>
      </c>
      <c r="V71">
        <v>39.75</v>
      </c>
      <c r="W71">
        <v>10</v>
      </c>
      <c r="X71">
        <v>13.25</v>
      </c>
    </row>
    <row r="72" spans="1:26" x14ac:dyDescent="0.25">
      <c r="A72" t="s">
        <v>194</v>
      </c>
      <c r="B72" t="str">
        <f t="shared" si="12"/>
        <v>73x55</v>
      </c>
      <c r="C72">
        <v>72.5</v>
      </c>
      <c r="D72">
        <v>58.25</v>
      </c>
      <c r="E72">
        <v>23.2</v>
      </c>
      <c r="F72">
        <v>2.8000000000000001E-2</v>
      </c>
      <c r="G72">
        <v>63.75</v>
      </c>
      <c r="H72">
        <v>36.75</v>
      </c>
      <c r="I72">
        <v>22.875</v>
      </c>
      <c r="J72">
        <v>25.125</v>
      </c>
      <c r="K72">
        <v>3</v>
      </c>
      <c r="P72" t="s">
        <v>204</v>
      </c>
      <c r="Q72">
        <v>85</v>
      </c>
      <c r="R72">
        <v>54</v>
      </c>
      <c r="S72">
        <v>25.17</v>
      </c>
      <c r="T72">
        <v>2.4E-2</v>
      </c>
      <c r="U72">
        <v>154.5</v>
      </c>
      <c r="V72">
        <v>42.63</v>
      </c>
      <c r="W72">
        <v>11</v>
      </c>
      <c r="X72">
        <v>14.5</v>
      </c>
    </row>
    <row r="73" spans="1:26" x14ac:dyDescent="0.25">
      <c r="A73" t="s">
        <v>195</v>
      </c>
      <c r="B73" t="str">
        <f t="shared" si="12"/>
        <v>73x55</v>
      </c>
      <c r="C73">
        <v>73</v>
      </c>
      <c r="D73">
        <v>55</v>
      </c>
      <c r="E73">
        <v>22.08</v>
      </c>
      <c r="F73">
        <v>2.8000000000000001E-2</v>
      </c>
      <c r="G73">
        <v>76.25</v>
      </c>
      <c r="H73">
        <v>36.75</v>
      </c>
      <c r="I73">
        <v>18</v>
      </c>
      <c r="J73">
        <v>21</v>
      </c>
      <c r="K73">
        <v>4</v>
      </c>
    </row>
    <row r="74" spans="1:26" x14ac:dyDescent="0.25">
      <c r="A74" t="s">
        <v>286</v>
      </c>
      <c r="B74" t="str">
        <f t="shared" si="12"/>
        <v>73x55 (w/ bolts)</v>
      </c>
      <c r="C74">
        <v>73</v>
      </c>
      <c r="D74">
        <v>55</v>
      </c>
      <c r="E74">
        <v>22.09</v>
      </c>
      <c r="F74">
        <v>3.5000000000000003E-2</v>
      </c>
      <c r="G74">
        <v>76.3</v>
      </c>
      <c r="H74">
        <v>36.799999999999997</v>
      </c>
      <c r="I74">
        <v>18</v>
      </c>
      <c r="J74">
        <v>21</v>
      </c>
      <c r="K74">
        <v>5</v>
      </c>
      <c r="O74">
        <v>3</v>
      </c>
      <c r="P74" t="s">
        <v>158</v>
      </c>
    </row>
    <row r="75" spans="1:26" x14ac:dyDescent="0.25">
      <c r="A75" t="s">
        <v>196</v>
      </c>
      <c r="B75" t="str">
        <f t="shared" si="12"/>
        <v>76x57.1</v>
      </c>
      <c r="C75">
        <v>76</v>
      </c>
      <c r="D75">
        <v>57.1</v>
      </c>
      <c r="E75">
        <v>24.1</v>
      </c>
      <c r="F75">
        <v>3.5000000000000003E-2</v>
      </c>
      <c r="G75">
        <v>98.6</v>
      </c>
      <c r="H75">
        <v>38.1</v>
      </c>
      <c r="I75">
        <v>18</v>
      </c>
      <c r="J75">
        <v>20.5</v>
      </c>
      <c r="K75">
        <v>5</v>
      </c>
      <c r="P75" t="s">
        <v>148</v>
      </c>
      <c r="Q75" t="s">
        <v>149</v>
      </c>
      <c r="R75" t="s">
        <v>52</v>
      </c>
      <c r="S75" t="s">
        <v>156</v>
      </c>
      <c r="T75" t="s">
        <v>157</v>
      </c>
      <c r="U75" t="s">
        <v>150</v>
      </c>
      <c r="V75" t="s">
        <v>151</v>
      </c>
      <c r="W75" t="s">
        <v>152</v>
      </c>
      <c r="X75" t="s">
        <v>153</v>
      </c>
      <c r="Y75" t="s">
        <v>154</v>
      </c>
      <c r="Z75" t="s">
        <v>155</v>
      </c>
    </row>
    <row r="76" spans="1:26" x14ac:dyDescent="0.25">
      <c r="A76" t="s">
        <v>197</v>
      </c>
      <c r="B76" t="str">
        <f t="shared" si="12"/>
        <v>77x52</v>
      </c>
      <c r="C76">
        <v>77</v>
      </c>
      <c r="D76">
        <v>52</v>
      </c>
      <c r="E76">
        <v>21.9</v>
      </c>
      <c r="F76">
        <v>2.4E-2</v>
      </c>
      <c r="G76">
        <v>121.25</v>
      </c>
      <c r="H76">
        <v>39.375</v>
      </c>
      <c r="I76">
        <v>15.125</v>
      </c>
      <c r="J76">
        <v>17.875</v>
      </c>
      <c r="K76">
        <v>1</v>
      </c>
      <c r="P76" t="s">
        <v>289</v>
      </c>
      <c r="Q76">
        <v>60</v>
      </c>
      <c r="R76">
        <v>46</v>
      </c>
      <c r="S76">
        <v>58.5</v>
      </c>
      <c r="T76">
        <v>48.5</v>
      </c>
      <c r="U76">
        <v>15.6</v>
      </c>
      <c r="V76">
        <v>2.8000000000000001E-2</v>
      </c>
      <c r="W76">
        <v>51.125</v>
      </c>
      <c r="X76">
        <v>29.375</v>
      </c>
      <c r="Y76">
        <v>18.75</v>
      </c>
      <c r="Z76">
        <v>20.5</v>
      </c>
    </row>
    <row r="77" spans="1:26" x14ac:dyDescent="0.25">
      <c r="A77" t="s">
        <v>198</v>
      </c>
      <c r="B77" t="str">
        <f t="shared" si="12"/>
        <v>81x59</v>
      </c>
      <c r="C77">
        <v>79</v>
      </c>
      <c r="D77">
        <v>62.5</v>
      </c>
      <c r="E77">
        <v>27.4</v>
      </c>
      <c r="F77">
        <v>2.8000000000000001E-2</v>
      </c>
      <c r="G77">
        <v>82.625</v>
      </c>
      <c r="H77">
        <v>39.5</v>
      </c>
      <c r="I77">
        <v>20.875</v>
      </c>
      <c r="J77">
        <v>23.75</v>
      </c>
      <c r="K77">
        <v>3</v>
      </c>
      <c r="P77" t="s">
        <v>290</v>
      </c>
      <c r="Q77">
        <v>66</v>
      </c>
      <c r="R77">
        <v>51</v>
      </c>
      <c r="S77">
        <v>65</v>
      </c>
      <c r="T77">
        <v>54</v>
      </c>
      <c r="U77">
        <v>19.3</v>
      </c>
      <c r="V77">
        <v>2.8000000000000001E-2</v>
      </c>
      <c r="W77">
        <v>56.25</v>
      </c>
      <c r="X77">
        <v>32.625</v>
      </c>
      <c r="Y77">
        <v>20.75</v>
      </c>
      <c r="Z77">
        <v>22.75</v>
      </c>
    </row>
    <row r="78" spans="1:26" x14ac:dyDescent="0.25">
      <c r="A78" t="s">
        <v>199</v>
      </c>
      <c r="B78" t="str">
        <f t="shared" si="12"/>
        <v>79.4x48.7</v>
      </c>
      <c r="C78">
        <v>79.400000000000006</v>
      </c>
      <c r="D78">
        <v>48.7</v>
      </c>
      <c r="E78">
        <v>21.01</v>
      </c>
      <c r="F78">
        <v>2.4E-2</v>
      </c>
      <c r="G78">
        <v>145.55000000000001</v>
      </c>
      <c r="H78">
        <v>39.75</v>
      </c>
      <c r="I78">
        <v>10</v>
      </c>
      <c r="J78">
        <v>13.25</v>
      </c>
      <c r="K78">
        <v>2</v>
      </c>
      <c r="P78" t="s">
        <v>195</v>
      </c>
      <c r="Q78">
        <v>73</v>
      </c>
      <c r="R78">
        <v>55</v>
      </c>
      <c r="S78">
        <v>72.5</v>
      </c>
      <c r="T78">
        <v>58.25</v>
      </c>
      <c r="U78">
        <v>23.2</v>
      </c>
      <c r="V78">
        <v>2.8000000000000001E-2</v>
      </c>
      <c r="W78">
        <v>63.75</v>
      </c>
      <c r="X78">
        <v>36.75</v>
      </c>
      <c r="Y78">
        <v>22.875</v>
      </c>
      <c r="Z78">
        <v>25.125</v>
      </c>
    </row>
    <row r="79" spans="1:26" x14ac:dyDescent="0.25">
      <c r="A79" t="s">
        <v>200</v>
      </c>
      <c r="B79" t="str">
        <f t="shared" si="12"/>
        <v>81x59</v>
      </c>
      <c r="C79">
        <v>81</v>
      </c>
      <c r="D79">
        <v>59</v>
      </c>
      <c r="E79">
        <v>26.26</v>
      </c>
      <c r="F79">
        <v>2.8000000000000001E-2</v>
      </c>
      <c r="G79">
        <v>92.75</v>
      </c>
      <c r="H79">
        <v>40.75</v>
      </c>
      <c r="I79">
        <v>18</v>
      </c>
      <c r="J79">
        <v>21.5</v>
      </c>
      <c r="K79">
        <v>4</v>
      </c>
      <c r="P79" t="s">
        <v>200</v>
      </c>
      <c r="Q79">
        <v>81</v>
      </c>
      <c r="R79">
        <v>59</v>
      </c>
      <c r="S79">
        <v>79</v>
      </c>
      <c r="T79">
        <v>62.5</v>
      </c>
      <c r="U79">
        <v>27.4</v>
      </c>
      <c r="V79">
        <v>2.8000000000000001E-2</v>
      </c>
      <c r="W79">
        <v>82.625</v>
      </c>
      <c r="X79">
        <v>39.5</v>
      </c>
      <c r="Y79">
        <v>20.875</v>
      </c>
      <c r="Z79">
        <v>23.75</v>
      </c>
    </row>
    <row r="80" spans="1:26" x14ac:dyDescent="0.25">
      <c r="A80" t="s">
        <v>201</v>
      </c>
      <c r="B80" t="str">
        <f t="shared" si="12"/>
        <v>81.2x58.9</v>
      </c>
      <c r="C80">
        <v>81.2</v>
      </c>
      <c r="D80">
        <v>58.9</v>
      </c>
      <c r="E80">
        <v>26.16</v>
      </c>
      <c r="F80">
        <v>3.5000000000000003E-2</v>
      </c>
      <c r="G80">
        <v>83.5</v>
      </c>
      <c r="H80">
        <v>41</v>
      </c>
      <c r="I80">
        <v>18</v>
      </c>
      <c r="J80">
        <v>22</v>
      </c>
      <c r="K80">
        <v>5</v>
      </c>
      <c r="P80" t="s">
        <v>206</v>
      </c>
      <c r="Q80">
        <v>87</v>
      </c>
      <c r="R80">
        <v>63</v>
      </c>
      <c r="S80">
        <v>86.5</v>
      </c>
      <c r="T80">
        <v>67.25</v>
      </c>
      <c r="U80">
        <v>32.1</v>
      </c>
      <c r="V80">
        <v>2.8000000000000001E-2</v>
      </c>
      <c r="W80">
        <v>92.25</v>
      </c>
      <c r="X80">
        <v>43.375</v>
      </c>
      <c r="Y80">
        <v>22.625</v>
      </c>
      <c r="Z80">
        <v>25.75</v>
      </c>
    </row>
    <row r="81" spans="1:26" x14ac:dyDescent="0.25">
      <c r="A81" t="s">
        <v>202</v>
      </c>
      <c r="B81" t="str">
        <f t="shared" si="12"/>
        <v>83x57</v>
      </c>
      <c r="C81">
        <v>83</v>
      </c>
      <c r="D81">
        <v>57</v>
      </c>
      <c r="E81">
        <v>26</v>
      </c>
      <c r="F81">
        <v>2.4E-2</v>
      </c>
      <c r="G81">
        <v>132.25</v>
      </c>
      <c r="H81">
        <v>43</v>
      </c>
      <c r="I81">
        <v>16.25</v>
      </c>
      <c r="J81">
        <v>19.5</v>
      </c>
      <c r="K81">
        <v>1</v>
      </c>
      <c r="P81" t="s">
        <v>210</v>
      </c>
      <c r="Q81">
        <v>95</v>
      </c>
      <c r="R81">
        <v>67</v>
      </c>
      <c r="S81">
        <v>93.5</v>
      </c>
      <c r="T81">
        <v>71.75</v>
      </c>
      <c r="U81">
        <v>37</v>
      </c>
      <c r="V81">
        <v>2.8000000000000001E-2</v>
      </c>
      <c r="W81">
        <v>100.25</v>
      </c>
      <c r="X81">
        <v>47</v>
      </c>
      <c r="Y81">
        <v>24.375</v>
      </c>
      <c r="Z81">
        <v>27.75</v>
      </c>
    </row>
    <row r="82" spans="1:26" x14ac:dyDescent="0.25">
      <c r="A82" t="s">
        <v>203</v>
      </c>
      <c r="B82" t="str">
        <f t="shared" si="12"/>
        <v>84.2x61.1</v>
      </c>
      <c r="C82">
        <v>84.2</v>
      </c>
      <c r="D82">
        <v>61.1</v>
      </c>
      <c r="E82">
        <v>28.4</v>
      </c>
      <c r="F82">
        <v>3.5000000000000003E-2</v>
      </c>
      <c r="G82">
        <v>104.2</v>
      </c>
      <c r="H82">
        <v>42.3</v>
      </c>
      <c r="I82">
        <v>18</v>
      </c>
      <c r="J82">
        <v>21.4</v>
      </c>
      <c r="K82">
        <v>5</v>
      </c>
      <c r="P82" t="s">
        <v>214</v>
      </c>
      <c r="Q82">
        <v>103</v>
      </c>
      <c r="R82">
        <v>71</v>
      </c>
      <c r="S82">
        <v>101.5</v>
      </c>
      <c r="T82">
        <v>76</v>
      </c>
      <c r="U82">
        <v>42.4</v>
      </c>
      <c r="V82">
        <v>2.8000000000000001E-2</v>
      </c>
      <c r="W82">
        <v>111.625</v>
      </c>
      <c r="X82">
        <v>51.25</v>
      </c>
      <c r="Y82">
        <v>26.125</v>
      </c>
      <c r="Z82">
        <v>29.75</v>
      </c>
    </row>
    <row r="83" spans="1:26" x14ac:dyDescent="0.25">
      <c r="A83" t="s">
        <v>204</v>
      </c>
      <c r="B83" t="str">
        <f t="shared" si="12"/>
        <v>85x54</v>
      </c>
      <c r="C83">
        <v>85</v>
      </c>
      <c r="D83">
        <v>54</v>
      </c>
      <c r="E83">
        <v>25.17</v>
      </c>
      <c r="F83">
        <v>2.4E-2</v>
      </c>
      <c r="G83">
        <v>154.5</v>
      </c>
      <c r="H83">
        <v>42.63</v>
      </c>
      <c r="I83">
        <v>11</v>
      </c>
      <c r="J83">
        <v>14.5</v>
      </c>
      <c r="K83">
        <v>2</v>
      </c>
      <c r="P83" t="s">
        <v>219</v>
      </c>
      <c r="Q83">
        <v>112</v>
      </c>
      <c r="R83">
        <v>75</v>
      </c>
      <c r="S83">
        <v>108.5</v>
      </c>
      <c r="T83">
        <v>80.5</v>
      </c>
      <c r="U83">
        <v>48</v>
      </c>
      <c r="V83">
        <v>2.8000000000000001E-2</v>
      </c>
      <c r="W83">
        <v>120.25</v>
      </c>
      <c r="X83">
        <v>54.875</v>
      </c>
      <c r="Y83">
        <v>27.75</v>
      </c>
      <c r="Z83">
        <v>31.625</v>
      </c>
    </row>
    <row r="84" spans="1:26" x14ac:dyDescent="0.25">
      <c r="A84" t="s">
        <v>205</v>
      </c>
      <c r="B84" t="str">
        <f t="shared" si="12"/>
        <v>87x63</v>
      </c>
      <c r="C84">
        <v>86.5</v>
      </c>
      <c r="D84">
        <v>67.25</v>
      </c>
      <c r="E84">
        <v>32.1</v>
      </c>
      <c r="F84">
        <v>2.8000000000000001E-2</v>
      </c>
      <c r="G84">
        <v>92.25</v>
      </c>
      <c r="H84">
        <v>43.375</v>
      </c>
      <c r="I84">
        <v>22.625</v>
      </c>
      <c r="J84">
        <v>25.75</v>
      </c>
      <c r="K84">
        <v>3</v>
      </c>
      <c r="P84" t="s">
        <v>223</v>
      </c>
      <c r="Q84">
        <v>117</v>
      </c>
      <c r="R84">
        <v>79</v>
      </c>
      <c r="S84">
        <v>116.5</v>
      </c>
      <c r="T84">
        <v>84.75</v>
      </c>
      <c r="U84">
        <v>54.2</v>
      </c>
      <c r="V84">
        <v>2.8000000000000001E-2</v>
      </c>
      <c r="W84">
        <v>131.75</v>
      </c>
      <c r="X84">
        <v>59.375</v>
      </c>
      <c r="Y84">
        <v>29.5</v>
      </c>
      <c r="Z84">
        <v>33.625</v>
      </c>
    </row>
    <row r="85" spans="1:26" x14ac:dyDescent="0.25">
      <c r="A85" t="s">
        <v>206</v>
      </c>
      <c r="B85" t="str">
        <f t="shared" si="12"/>
        <v>87x63</v>
      </c>
      <c r="C85">
        <v>87</v>
      </c>
      <c r="D85">
        <v>63</v>
      </c>
      <c r="E85">
        <v>30.09</v>
      </c>
      <c r="F85">
        <v>2.8000000000000001E-2</v>
      </c>
      <c r="G85">
        <v>100.5</v>
      </c>
      <c r="H85">
        <v>43.5</v>
      </c>
      <c r="I85">
        <v>18</v>
      </c>
      <c r="J85">
        <v>22</v>
      </c>
      <c r="K85">
        <v>4</v>
      </c>
      <c r="P85" t="s">
        <v>226</v>
      </c>
      <c r="Q85">
        <v>128</v>
      </c>
      <c r="R85">
        <v>83</v>
      </c>
      <c r="S85">
        <v>123.5</v>
      </c>
      <c r="T85">
        <v>89.25</v>
      </c>
      <c r="U85">
        <v>60.5</v>
      </c>
      <c r="V85">
        <v>2.7E-2</v>
      </c>
      <c r="W85">
        <v>139.75</v>
      </c>
      <c r="X85">
        <v>63.25</v>
      </c>
      <c r="Y85">
        <v>31.25</v>
      </c>
      <c r="Z85">
        <v>35.625</v>
      </c>
    </row>
    <row r="86" spans="1:26" x14ac:dyDescent="0.25">
      <c r="A86" t="s">
        <v>207</v>
      </c>
      <c r="B86" t="str">
        <f t="shared" si="12"/>
        <v>87x63.2</v>
      </c>
      <c r="C86">
        <v>87</v>
      </c>
      <c r="D86">
        <v>63.2</v>
      </c>
      <c r="E86">
        <v>30.62</v>
      </c>
      <c r="F86">
        <v>3.4000000000000002E-2</v>
      </c>
      <c r="G86">
        <v>136.19999999999999</v>
      </c>
      <c r="H86">
        <v>43.5</v>
      </c>
      <c r="I86">
        <v>18</v>
      </c>
      <c r="J86">
        <v>20.8</v>
      </c>
      <c r="K86">
        <v>5</v>
      </c>
      <c r="P86" t="s">
        <v>231</v>
      </c>
      <c r="Q86">
        <v>137</v>
      </c>
      <c r="R86">
        <v>87</v>
      </c>
      <c r="S86">
        <v>131</v>
      </c>
      <c r="T86">
        <v>93.75</v>
      </c>
      <c r="U86">
        <v>67.400000000000006</v>
      </c>
      <c r="V86">
        <v>2.7E-2</v>
      </c>
      <c r="W86">
        <v>149.5</v>
      </c>
      <c r="X86">
        <v>67.375</v>
      </c>
      <c r="Y86">
        <v>33</v>
      </c>
      <c r="Z86">
        <v>37.625</v>
      </c>
    </row>
    <row r="87" spans="1:26" x14ac:dyDescent="0.25">
      <c r="A87" t="s">
        <v>208</v>
      </c>
      <c r="B87" t="str">
        <f t="shared" si="12"/>
        <v>92.4x65</v>
      </c>
      <c r="C87">
        <v>92.4</v>
      </c>
      <c r="D87">
        <v>65</v>
      </c>
      <c r="E87">
        <v>32.909999999999997</v>
      </c>
      <c r="F87">
        <v>3.4000000000000002E-2</v>
      </c>
      <c r="G87">
        <v>109.8</v>
      </c>
      <c r="H87">
        <v>46.5</v>
      </c>
      <c r="I87">
        <v>18</v>
      </c>
      <c r="J87">
        <v>22.4</v>
      </c>
      <c r="K87">
        <v>5</v>
      </c>
      <c r="P87" t="s">
        <v>235</v>
      </c>
      <c r="Q87">
        <v>142</v>
      </c>
      <c r="R87">
        <v>91</v>
      </c>
      <c r="S87">
        <v>138.5</v>
      </c>
      <c r="T87">
        <v>98</v>
      </c>
      <c r="U87">
        <v>74.5</v>
      </c>
      <c r="V87">
        <v>2.7E-2</v>
      </c>
      <c r="W87">
        <v>162.375</v>
      </c>
      <c r="X87">
        <v>71.625</v>
      </c>
      <c r="Y87">
        <v>34.75</v>
      </c>
      <c r="Z87">
        <v>39.5</v>
      </c>
    </row>
    <row r="88" spans="1:26" x14ac:dyDescent="0.25">
      <c r="A88" t="s">
        <v>209</v>
      </c>
      <c r="B88" t="str">
        <f t="shared" si="12"/>
        <v>95x67</v>
      </c>
      <c r="C88">
        <v>93.5</v>
      </c>
      <c r="D88">
        <v>71.75</v>
      </c>
      <c r="E88">
        <v>37</v>
      </c>
      <c r="F88">
        <v>2.8000000000000001E-2</v>
      </c>
      <c r="G88">
        <v>100.25</v>
      </c>
      <c r="H88">
        <v>47</v>
      </c>
      <c r="I88">
        <v>24.375</v>
      </c>
      <c r="J88">
        <v>27.75</v>
      </c>
      <c r="K88">
        <v>3</v>
      </c>
    </row>
    <row r="89" spans="1:26" x14ac:dyDescent="0.25">
      <c r="A89" t="s">
        <v>210</v>
      </c>
      <c r="B89" t="str">
        <f t="shared" si="12"/>
        <v>95x67</v>
      </c>
      <c r="C89">
        <v>95</v>
      </c>
      <c r="D89">
        <v>67</v>
      </c>
      <c r="E89">
        <v>34.97</v>
      </c>
      <c r="F89">
        <v>2.8000000000000001E-2</v>
      </c>
      <c r="G89">
        <v>116</v>
      </c>
      <c r="H89">
        <v>47.75</v>
      </c>
      <c r="I89">
        <v>18</v>
      </c>
      <c r="J89">
        <v>22.5</v>
      </c>
      <c r="K89">
        <v>4</v>
      </c>
      <c r="O89">
        <v>4</v>
      </c>
      <c r="P89" t="s">
        <v>160</v>
      </c>
    </row>
    <row r="90" spans="1:26" x14ac:dyDescent="0.25">
      <c r="A90" t="s">
        <v>211</v>
      </c>
      <c r="B90" t="str">
        <f t="shared" si="12"/>
        <v>95.2x67.2</v>
      </c>
      <c r="C90">
        <v>95.2</v>
      </c>
      <c r="D90">
        <v>67.2</v>
      </c>
      <c r="E90">
        <v>35.39</v>
      </c>
      <c r="F90">
        <v>3.4000000000000002E-2</v>
      </c>
      <c r="G90">
        <v>137.9</v>
      </c>
      <c r="H90">
        <v>47.7</v>
      </c>
      <c r="I90">
        <v>18</v>
      </c>
      <c r="J90">
        <v>21.7</v>
      </c>
      <c r="K90">
        <v>5</v>
      </c>
      <c r="P90" t="s">
        <v>148</v>
      </c>
      <c r="Q90" t="s">
        <v>149</v>
      </c>
      <c r="R90" t="s">
        <v>52</v>
      </c>
      <c r="S90" t="s">
        <v>150</v>
      </c>
      <c r="T90" t="s">
        <v>151</v>
      </c>
      <c r="U90" t="s">
        <v>152</v>
      </c>
      <c r="V90" t="s">
        <v>153</v>
      </c>
      <c r="W90" t="s">
        <v>154</v>
      </c>
      <c r="X90" t="s">
        <v>155</v>
      </c>
    </row>
    <row r="91" spans="1:26" x14ac:dyDescent="0.25">
      <c r="A91" t="s">
        <v>212</v>
      </c>
      <c r="B91" t="str">
        <f t="shared" si="12"/>
        <v>97.8x69.4</v>
      </c>
      <c r="C91">
        <v>97.8</v>
      </c>
      <c r="D91">
        <v>69.400000000000006</v>
      </c>
      <c r="E91">
        <v>37.96</v>
      </c>
      <c r="F91">
        <v>3.4000000000000002E-2</v>
      </c>
      <c r="G91">
        <v>182.9</v>
      </c>
      <c r="H91">
        <v>48.9</v>
      </c>
      <c r="I91">
        <v>18</v>
      </c>
      <c r="J91">
        <v>20.9</v>
      </c>
      <c r="K91">
        <v>5</v>
      </c>
      <c r="P91" t="s">
        <v>179</v>
      </c>
      <c r="Q91">
        <v>43</v>
      </c>
      <c r="R91">
        <v>27</v>
      </c>
      <c r="S91">
        <v>6.3</v>
      </c>
      <c r="T91">
        <v>2.8000000000000001E-2</v>
      </c>
      <c r="U91">
        <v>54.75</v>
      </c>
      <c r="V91">
        <v>22.5</v>
      </c>
      <c r="W91">
        <v>7.75</v>
      </c>
      <c r="X91">
        <v>9.75</v>
      </c>
    </row>
    <row r="92" spans="1:26" x14ac:dyDescent="0.25">
      <c r="A92" t="s">
        <v>213</v>
      </c>
      <c r="B92" t="str">
        <f t="shared" si="12"/>
        <v>103x71</v>
      </c>
      <c r="C92">
        <v>101.5</v>
      </c>
      <c r="D92">
        <v>76</v>
      </c>
      <c r="E92">
        <v>42.4</v>
      </c>
      <c r="F92">
        <v>2.8000000000000001E-2</v>
      </c>
      <c r="G92">
        <v>111.625</v>
      </c>
      <c r="H92">
        <v>51.25</v>
      </c>
      <c r="I92">
        <v>26.125</v>
      </c>
      <c r="J92">
        <v>29.75</v>
      </c>
      <c r="K92">
        <v>3</v>
      </c>
      <c r="P92" t="s">
        <v>182</v>
      </c>
      <c r="Q92">
        <v>50</v>
      </c>
      <c r="R92">
        <v>31</v>
      </c>
      <c r="S92">
        <v>8.41</v>
      </c>
      <c r="T92">
        <v>2.8000000000000001E-2</v>
      </c>
      <c r="U92">
        <v>67</v>
      </c>
      <c r="V92">
        <v>26.25</v>
      </c>
      <c r="W92">
        <v>9</v>
      </c>
      <c r="X92">
        <v>11.25</v>
      </c>
    </row>
    <row r="93" spans="1:26" x14ac:dyDescent="0.25">
      <c r="A93" t="s">
        <v>214</v>
      </c>
      <c r="B93" t="str">
        <f t="shared" si="12"/>
        <v>103x71</v>
      </c>
      <c r="C93">
        <v>103</v>
      </c>
      <c r="D93">
        <v>71</v>
      </c>
      <c r="E93">
        <v>40.11</v>
      </c>
      <c r="F93">
        <v>2.8000000000000001E-2</v>
      </c>
      <c r="G93">
        <v>132.25</v>
      </c>
      <c r="H93">
        <v>51.75</v>
      </c>
      <c r="I93">
        <v>18</v>
      </c>
      <c r="J93">
        <v>23</v>
      </c>
      <c r="K93">
        <v>4</v>
      </c>
      <c r="P93" t="s">
        <v>186</v>
      </c>
      <c r="Q93">
        <v>58</v>
      </c>
      <c r="R93">
        <v>36</v>
      </c>
      <c r="S93">
        <v>11.36</v>
      </c>
      <c r="T93">
        <v>2.8000000000000001E-2</v>
      </c>
      <c r="U93">
        <v>82</v>
      </c>
      <c r="V93">
        <v>30.5</v>
      </c>
      <c r="W93">
        <v>10.5</v>
      </c>
      <c r="X93">
        <v>13</v>
      </c>
    </row>
    <row r="94" spans="1:26" x14ac:dyDescent="0.25">
      <c r="A94" t="s">
        <v>215</v>
      </c>
      <c r="B94" t="str">
        <f t="shared" si="12"/>
        <v>103.4x71.7</v>
      </c>
      <c r="C94">
        <v>103.4</v>
      </c>
      <c r="D94">
        <v>71.7</v>
      </c>
      <c r="E94">
        <v>40.46</v>
      </c>
      <c r="F94">
        <v>3.4000000000000002E-2</v>
      </c>
      <c r="G94">
        <v>141</v>
      </c>
      <c r="H94">
        <v>51.9</v>
      </c>
      <c r="I94">
        <v>18</v>
      </c>
      <c r="J94">
        <v>22.7</v>
      </c>
      <c r="K94">
        <v>5</v>
      </c>
      <c r="P94" t="s">
        <v>189</v>
      </c>
      <c r="Q94">
        <v>65</v>
      </c>
      <c r="R94">
        <v>40</v>
      </c>
      <c r="S94">
        <v>14.14</v>
      </c>
      <c r="T94">
        <v>2.8000000000000001E-2</v>
      </c>
      <c r="U94">
        <v>91.25</v>
      </c>
      <c r="V94">
        <v>34.5</v>
      </c>
      <c r="W94">
        <v>12</v>
      </c>
      <c r="X94">
        <v>14.75</v>
      </c>
    </row>
    <row r="95" spans="1:26" x14ac:dyDescent="0.25">
      <c r="A95" t="s">
        <v>216</v>
      </c>
      <c r="B95" t="str">
        <f t="shared" si="12"/>
        <v>106x73.3</v>
      </c>
      <c r="C95">
        <v>106</v>
      </c>
      <c r="D95">
        <v>73.3</v>
      </c>
      <c r="E95">
        <v>43.1</v>
      </c>
      <c r="F95">
        <v>3.4000000000000002E-2</v>
      </c>
      <c r="G95">
        <v>178.7</v>
      </c>
      <c r="H95">
        <v>53</v>
      </c>
      <c r="I95">
        <v>18</v>
      </c>
      <c r="J95">
        <v>21.9</v>
      </c>
      <c r="K95">
        <v>5</v>
      </c>
      <c r="P95" t="s">
        <v>192</v>
      </c>
      <c r="Q95">
        <v>72</v>
      </c>
      <c r="R95">
        <v>44</v>
      </c>
      <c r="S95">
        <v>17.239999999999998</v>
      </c>
      <c r="T95">
        <v>2.8000000000000001E-2</v>
      </c>
      <c r="U95">
        <v>98.5</v>
      </c>
      <c r="V95">
        <v>38.5</v>
      </c>
      <c r="W95">
        <v>13.25</v>
      </c>
      <c r="X95">
        <v>16.25</v>
      </c>
    </row>
    <row r="96" spans="1:26" x14ac:dyDescent="0.25">
      <c r="A96" t="s">
        <v>217</v>
      </c>
      <c r="B96" t="str">
        <f t="shared" si="12"/>
        <v>112x75</v>
      </c>
      <c r="C96">
        <v>108.5</v>
      </c>
      <c r="D96">
        <v>80.5</v>
      </c>
      <c r="E96">
        <v>48</v>
      </c>
      <c r="F96">
        <v>2.8000000000000001E-2</v>
      </c>
      <c r="G96">
        <v>120.25</v>
      </c>
      <c r="H96">
        <v>54.875</v>
      </c>
      <c r="I96">
        <v>27.75</v>
      </c>
      <c r="J96">
        <v>31.625</v>
      </c>
      <c r="K96">
        <v>3</v>
      </c>
      <c r="P96" t="s">
        <v>195</v>
      </c>
      <c r="Q96">
        <v>73</v>
      </c>
      <c r="R96">
        <v>55</v>
      </c>
      <c r="S96">
        <v>22.08</v>
      </c>
      <c r="T96">
        <v>2.8000000000000001E-2</v>
      </c>
      <c r="U96">
        <v>76.25</v>
      </c>
      <c r="V96">
        <v>36.75</v>
      </c>
      <c r="W96">
        <v>18</v>
      </c>
      <c r="X96">
        <v>21</v>
      </c>
    </row>
    <row r="97" spans="1:24" x14ac:dyDescent="0.25">
      <c r="A97" t="s">
        <v>218</v>
      </c>
      <c r="B97" t="str">
        <f t="shared" si="12"/>
        <v>111.8x75.1</v>
      </c>
      <c r="C97">
        <v>111.8</v>
      </c>
      <c r="D97">
        <v>75.099999999999994</v>
      </c>
      <c r="E97">
        <v>45.83</v>
      </c>
      <c r="F97">
        <v>3.4000000000000002E-2</v>
      </c>
      <c r="G97">
        <v>144.6</v>
      </c>
      <c r="H97">
        <v>56.2</v>
      </c>
      <c r="I97">
        <v>18</v>
      </c>
      <c r="J97">
        <v>23.8</v>
      </c>
      <c r="K97">
        <v>5</v>
      </c>
      <c r="P97" t="s">
        <v>200</v>
      </c>
      <c r="Q97">
        <v>81</v>
      </c>
      <c r="R97">
        <v>59</v>
      </c>
      <c r="S97">
        <v>26.26</v>
      </c>
      <c r="T97">
        <v>2.8000000000000001E-2</v>
      </c>
      <c r="U97">
        <v>92.75</v>
      </c>
      <c r="V97">
        <v>40.75</v>
      </c>
      <c r="W97">
        <v>18</v>
      </c>
      <c r="X97">
        <v>21.5</v>
      </c>
    </row>
    <row r="98" spans="1:24" x14ac:dyDescent="0.25">
      <c r="A98" t="s">
        <v>219</v>
      </c>
      <c r="B98" t="str">
        <f t="shared" si="12"/>
        <v>112x75</v>
      </c>
      <c r="C98">
        <v>112</v>
      </c>
      <c r="D98">
        <v>75</v>
      </c>
      <c r="E98">
        <v>45.92</v>
      </c>
      <c r="F98">
        <v>2.8000000000000001E-2</v>
      </c>
      <c r="G98">
        <v>151.75</v>
      </c>
      <c r="H98">
        <v>56.25</v>
      </c>
      <c r="I98">
        <v>18</v>
      </c>
      <c r="J98">
        <v>23.5</v>
      </c>
      <c r="K98">
        <v>4</v>
      </c>
      <c r="P98" t="s">
        <v>206</v>
      </c>
      <c r="Q98">
        <v>87</v>
      </c>
      <c r="R98">
        <v>63</v>
      </c>
      <c r="S98">
        <v>30.09</v>
      </c>
      <c r="T98">
        <v>2.8000000000000001E-2</v>
      </c>
      <c r="U98">
        <v>100.5</v>
      </c>
      <c r="V98">
        <v>43.5</v>
      </c>
      <c r="W98">
        <v>18</v>
      </c>
      <c r="X98">
        <v>22</v>
      </c>
    </row>
    <row r="99" spans="1:24" x14ac:dyDescent="0.25">
      <c r="A99" t="s">
        <v>220</v>
      </c>
      <c r="B99" t="str">
        <f t="shared" si="12"/>
        <v>114.2x77.3</v>
      </c>
      <c r="C99">
        <v>114.2</v>
      </c>
      <c r="D99">
        <v>77.3</v>
      </c>
      <c r="E99">
        <v>48.69</v>
      </c>
      <c r="F99">
        <v>3.4000000000000002E-2</v>
      </c>
      <c r="G99">
        <v>177.5</v>
      </c>
      <c r="H99">
        <v>57.3</v>
      </c>
      <c r="I99">
        <v>18</v>
      </c>
      <c r="J99">
        <v>22.9</v>
      </c>
      <c r="K99">
        <v>5</v>
      </c>
      <c r="P99" t="s">
        <v>210</v>
      </c>
      <c r="Q99">
        <v>95</v>
      </c>
      <c r="R99">
        <v>67</v>
      </c>
      <c r="S99">
        <v>34.97</v>
      </c>
      <c r="T99">
        <v>2.8000000000000001E-2</v>
      </c>
      <c r="U99">
        <v>116</v>
      </c>
      <c r="V99">
        <v>47.75</v>
      </c>
      <c r="W99">
        <v>18</v>
      </c>
      <c r="X99">
        <v>22.5</v>
      </c>
    </row>
    <row r="100" spans="1:24" x14ac:dyDescent="0.25">
      <c r="A100" t="s">
        <v>221</v>
      </c>
      <c r="B100" t="str">
        <f t="shared" si="12"/>
        <v>117x79</v>
      </c>
      <c r="C100">
        <v>116.5</v>
      </c>
      <c r="D100">
        <v>84.75</v>
      </c>
      <c r="E100">
        <v>54.2</v>
      </c>
      <c r="F100">
        <v>2.8000000000000001E-2</v>
      </c>
      <c r="G100">
        <v>131.75</v>
      </c>
      <c r="H100">
        <v>59.375</v>
      </c>
      <c r="I100">
        <v>29.5</v>
      </c>
      <c r="J100">
        <v>33.625</v>
      </c>
      <c r="K100">
        <v>3</v>
      </c>
      <c r="P100" t="s">
        <v>214</v>
      </c>
      <c r="Q100">
        <v>103</v>
      </c>
      <c r="R100">
        <v>71</v>
      </c>
      <c r="S100">
        <v>40.11</v>
      </c>
      <c r="T100">
        <v>2.8000000000000001E-2</v>
      </c>
      <c r="U100">
        <v>132.25</v>
      </c>
      <c r="V100">
        <v>51.75</v>
      </c>
      <c r="W100">
        <v>18</v>
      </c>
      <c r="X100">
        <v>23</v>
      </c>
    </row>
    <row r="101" spans="1:24" x14ac:dyDescent="0.25">
      <c r="A101" t="s">
        <v>222</v>
      </c>
      <c r="B101" t="str">
        <f t="shared" si="12"/>
        <v>116.6x79.5</v>
      </c>
      <c r="C101">
        <v>116.6</v>
      </c>
      <c r="D101">
        <v>79.5</v>
      </c>
      <c r="E101">
        <v>51.67</v>
      </c>
      <c r="F101">
        <v>3.4000000000000002E-2</v>
      </c>
      <c r="G101">
        <v>227.7</v>
      </c>
      <c r="H101">
        <v>58.3</v>
      </c>
      <c r="I101">
        <v>18</v>
      </c>
      <c r="J101">
        <v>21.9</v>
      </c>
      <c r="K101">
        <v>5</v>
      </c>
      <c r="P101" t="s">
        <v>219</v>
      </c>
      <c r="Q101">
        <v>112</v>
      </c>
      <c r="R101">
        <v>75</v>
      </c>
      <c r="S101">
        <v>45.92</v>
      </c>
      <c r="T101">
        <v>2.8000000000000001E-2</v>
      </c>
      <c r="U101">
        <v>151.75</v>
      </c>
      <c r="V101">
        <v>56.25</v>
      </c>
      <c r="W101">
        <v>18</v>
      </c>
      <c r="X101">
        <v>23.5</v>
      </c>
    </row>
    <row r="102" spans="1:24" x14ac:dyDescent="0.25">
      <c r="A102" t="s">
        <v>223</v>
      </c>
      <c r="B102" t="str">
        <f t="shared" si="12"/>
        <v>117x79</v>
      </c>
      <c r="C102">
        <v>117</v>
      </c>
      <c r="D102">
        <v>79</v>
      </c>
      <c r="E102">
        <v>50.68</v>
      </c>
      <c r="F102">
        <v>2.8000000000000001E-2</v>
      </c>
      <c r="G102">
        <v>160.5</v>
      </c>
      <c r="H102">
        <v>58.75</v>
      </c>
      <c r="I102">
        <v>18</v>
      </c>
      <c r="J102">
        <v>24</v>
      </c>
      <c r="K102">
        <v>4</v>
      </c>
      <c r="P102" t="s">
        <v>223</v>
      </c>
      <c r="Q102">
        <v>117</v>
      </c>
      <c r="R102">
        <v>79</v>
      </c>
      <c r="S102">
        <v>50.68</v>
      </c>
      <c r="T102">
        <v>2.8000000000000001E-2</v>
      </c>
      <c r="U102">
        <v>160.5</v>
      </c>
      <c r="V102">
        <v>58.75</v>
      </c>
      <c r="W102">
        <v>18</v>
      </c>
      <c r="X102">
        <v>24</v>
      </c>
    </row>
    <row r="103" spans="1:24" x14ac:dyDescent="0.25">
      <c r="A103" t="s">
        <v>224</v>
      </c>
      <c r="B103" t="str">
        <f t="shared" si="12"/>
        <v>122.6x81.2</v>
      </c>
      <c r="C103">
        <v>122.6</v>
      </c>
      <c r="D103">
        <v>81.2</v>
      </c>
      <c r="E103">
        <v>54.51</v>
      </c>
      <c r="F103">
        <v>3.4000000000000002E-2</v>
      </c>
      <c r="G103">
        <v>178.3</v>
      </c>
      <c r="H103">
        <v>61.5</v>
      </c>
      <c r="I103">
        <v>18</v>
      </c>
      <c r="J103">
        <v>24</v>
      </c>
      <c r="K103">
        <v>5</v>
      </c>
      <c r="P103" t="s">
        <v>226</v>
      </c>
      <c r="Q103">
        <v>128</v>
      </c>
      <c r="R103">
        <v>83</v>
      </c>
      <c r="S103">
        <v>57.98</v>
      </c>
      <c r="T103">
        <v>2.7E-2</v>
      </c>
      <c r="U103">
        <v>185</v>
      </c>
      <c r="V103">
        <v>64.5</v>
      </c>
      <c r="W103">
        <v>18</v>
      </c>
      <c r="X103">
        <v>24.5</v>
      </c>
    </row>
    <row r="104" spans="1:24" x14ac:dyDescent="0.25">
      <c r="A104" t="s">
        <v>225</v>
      </c>
      <c r="B104" t="str">
        <f t="shared" si="12"/>
        <v>128x83</v>
      </c>
      <c r="C104">
        <v>123.5</v>
      </c>
      <c r="D104">
        <v>89.25</v>
      </c>
      <c r="E104">
        <v>60.5</v>
      </c>
      <c r="F104">
        <v>2.7E-2</v>
      </c>
      <c r="G104">
        <v>139.75</v>
      </c>
      <c r="H104">
        <v>63.25</v>
      </c>
      <c r="I104">
        <v>31.25</v>
      </c>
      <c r="J104">
        <v>35.625</v>
      </c>
      <c r="K104">
        <v>3</v>
      </c>
      <c r="P104" t="s">
        <v>231</v>
      </c>
      <c r="Q104">
        <v>137</v>
      </c>
      <c r="R104">
        <v>87</v>
      </c>
      <c r="S104">
        <v>64.81</v>
      </c>
      <c r="T104">
        <v>2.7E-2</v>
      </c>
      <c r="U104">
        <v>201</v>
      </c>
      <c r="V104">
        <v>69</v>
      </c>
      <c r="W104">
        <v>18</v>
      </c>
      <c r="X104">
        <v>25</v>
      </c>
    </row>
    <row r="105" spans="1:24" x14ac:dyDescent="0.25">
      <c r="A105" t="s">
        <v>226</v>
      </c>
      <c r="B105" t="str">
        <f t="shared" si="12"/>
        <v>128x83</v>
      </c>
      <c r="C105">
        <v>128</v>
      </c>
      <c r="D105">
        <v>83</v>
      </c>
      <c r="E105">
        <v>57.98</v>
      </c>
      <c r="F105">
        <v>2.7E-2</v>
      </c>
      <c r="G105">
        <v>185</v>
      </c>
      <c r="H105">
        <v>64.5</v>
      </c>
      <c r="I105">
        <v>18</v>
      </c>
      <c r="J105">
        <v>24.5</v>
      </c>
      <c r="K105">
        <v>4</v>
      </c>
      <c r="P105" t="s">
        <v>235</v>
      </c>
      <c r="Q105">
        <v>142</v>
      </c>
      <c r="R105">
        <v>91</v>
      </c>
      <c r="S105">
        <v>70.36</v>
      </c>
      <c r="T105">
        <v>2.7E-2</v>
      </c>
      <c r="U105">
        <v>210</v>
      </c>
      <c r="V105">
        <v>71.25</v>
      </c>
      <c r="W105">
        <v>18</v>
      </c>
      <c r="X105">
        <v>25.5</v>
      </c>
    </row>
    <row r="106" spans="1:24" x14ac:dyDescent="0.25">
      <c r="A106" t="s">
        <v>227</v>
      </c>
      <c r="B106" t="str">
        <f t="shared" si="12"/>
        <v>128.4x82.9</v>
      </c>
      <c r="C106">
        <v>128.4</v>
      </c>
      <c r="D106">
        <v>82.9</v>
      </c>
      <c r="E106">
        <v>57.46</v>
      </c>
      <c r="F106">
        <v>3.4000000000000002E-2</v>
      </c>
      <c r="G106">
        <v>153.19999999999999</v>
      </c>
      <c r="H106">
        <v>64.900000000000006</v>
      </c>
      <c r="I106">
        <v>18</v>
      </c>
      <c r="J106">
        <v>26.1</v>
      </c>
      <c r="K106">
        <v>5</v>
      </c>
    </row>
    <row r="107" spans="1:24" x14ac:dyDescent="0.25">
      <c r="A107" t="s">
        <v>228</v>
      </c>
      <c r="B107" t="str">
        <f t="shared" si="12"/>
        <v>137x87</v>
      </c>
      <c r="C107">
        <v>131</v>
      </c>
      <c r="D107">
        <v>93.75</v>
      </c>
      <c r="E107">
        <v>67.400000000000006</v>
      </c>
      <c r="F107">
        <v>2.7E-2</v>
      </c>
      <c r="G107">
        <v>149.5</v>
      </c>
      <c r="H107">
        <v>67.375</v>
      </c>
      <c r="I107">
        <v>33</v>
      </c>
      <c r="J107">
        <v>37.625</v>
      </c>
      <c r="K107">
        <v>3</v>
      </c>
      <c r="O107">
        <v>5</v>
      </c>
      <c r="P107" t="s">
        <v>161</v>
      </c>
    </row>
    <row r="108" spans="1:24" x14ac:dyDescent="0.25">
      <c r="A108" t="s">
        <v>229</v>
      </c>
      <c r="B108" t="str">
        <f t="shared" si="12"/>
        <v>131x85.1</v>
      </c>
      <c r="C108">
        <v>131</v>
      </c>
      <c r="D108">
        <v>85.1</v>
      </c>
      <c r="E108">
        <v>60.72</v>
      </c>
      <c r="F108">
        <v>3.4000000000000002E-2</v>
      </c>
      <c r="G108">
        <v>180.4</v>
      </c>
      <c r="H108">
        <v>65.900000000000006</v>
      </c>
      <c r="I108">
        <v>18</v>
      </c>
      <c r="J108">
        <v>25.1</v>
      </c>
      <c r="K108">
        <v>5</v>
      </c>
      <c r="P108" t="s">
        <v>148</v>
      </c>
      <c r="Q108" t="s">
        <v>149</v>
      </c>
      <c r="R108" t="s">
        <v>52</v>
      </c>
      <c r="S108" t="s">
        <v>150</v>
      </c>
      <c r="T108" t="s">
        <v>151</v>
      </c>
      <c r="U108" t="s">
        <v>152</v>
      </c>
      <c r="V108" t="s">
        <v>153</v>
      </c>
      <c r="W108" t="s">
        <v>154</v>
      </c>
      <c r="X108" t="s">
        <v>155</v>
      </c>
    </row>
    <row r="109" spans="1:24" x14ac:dyDescent="0.25">
      <c r="A109" t="s">
        <v>230</v>
      </c>
      <c r="B109" t="str">
        <f t="shared" si="12"/>
        <v>136.8x86.9</v>
      </c>
      <c r="C109">
        <v>136.80000000000001</v>
      </c>
      <c r="D109">
        <v>86.9</v>
      </c>
      <c r="E109">
        <v>63.86</v>
      </c>
      <c r="F109">
        <v>3.4000000000000002E-2</v>
      </c>
      <c r="G109">
        <v>157.9</v>
      </c>
      <c r="H109">
        <v>69.400000000000006</v>
      </c>
      <c r="I109">
        <v>18</v>
      </c>
      <c r="J109">
        <v>27.4</v>
      </c>
      <c r="K109">
        <v>5</v>
      </c>
      <c r="P109" t="s">
        <v>195</v>
      </c>
      <c r="Q109">
        <v>73</v>
      </c>
      <c r="R109">
        <v>55</v>
      </c>
      <c r="S109">
        <v>22.09</v>
      </c>
      <c r="T109">
        <v>3.5000000000000003E-2</v>
      </c>
      <c r="U109">
        <v>76.3</v>
      </c>
      <c r="V109">
        <v>36.799999999999997</v>
      </c>
      <c r="W109">
        <v>18</v>
      </c>
      <c r="X109">
        <v>21</v>
      </c>
    </row>
    <row r="110" spans="1:24" x14ac:dyDescent="0.25">
      <c r="A110" t="s">
        <v>231</v>
      </c>
      <c r="B110" t="str">
        <f t="shared" ref="B110:B161" si="13">IF(K110=3,INDEX($P$76:$P$87,MATCH(E110,$U$76:$U$87,0)),A110)</f>
        <v>137x87</v>
      </c>
      <c r="C110">
        <v>137</v>
      </c>
      <c r="D110">
        <v>87</v>
      </c>
      <c r="E110">
        <v>64.81</v>
      </c>
      <c r="F110">
        <v>2.7E-2</v>
      </c>
      <c r="G110">
        <v>201</v>
      </c>
      <c r="H110">
        <v>69</v>
      </c>
      <c r="I110">
        <v>18</v>
      </c>
      <c r="J110">
        <v>25</v>
      </c>
      <c r="K110">
        <v>4</v>
      </c>
      <c r="P110" t="s">
        <v>196</v>
      </c>
      <c r="Q110">
        <v>76</v>
      </c>
      <c r="R110">
        <v>57.1</v>
      </c>
      <c r="S110">
        <v>24.1</v>
      </c>
      <c r="T110">
        <v>3.5000000000000003E-2</v>
      </c>
      <c r="U110">
        <v>98.6</v>
      </c>
      <c r="V110">
        <v>38.1</v>
      </c>
      <c r="W110">
        <v>18</v>
      </c>
      <c r="X110">
        <v>20.5</v>
      </c>
    </row>
    <row r="111" spans="1:24" x14ac:dyDescent="0.25">
      <c r="A111" t="s">
        <v>232</v>
      </c>
      <c r="B111" t="str">
        <f t="shared" si="13"/>
        <v>142x91</v>
      </c>
      <c r="C111">
        <v>138.5</v>
      </c>
      <c r="D111">
        <v>98</v>
      </c>
      <c r="E111">
        <v>74.5</v>
      </c>
      <c r="F111">
        <v>2.7E-2</v>
      </c>
      <c r="G111">
        <v>162.375</v>
      </c>
      <c r="H111">
        <v>71.625</v>
      </c>
      <c r="I111">
        <v>34.75</v>
      </c>
      <c r="J111">
        <v>39.5</v>
      </c>
      <c r="K111">
        <v>3</v>
      </c>
      <c r="P111" t="s">
        <v>201</v>
      </c>
      <c r="Q111">
        <v>81.2</v>
      </c>
      <c r="R111">
        <v>58.9</v>
      </c>
      <c r="S111">
        <v>26.16</v>
      </c>
      <c r="T111">
        <v>3.5000000000000003E-2</v>
      </c>
      <c r="U111">
        <v>83.5</v>
      </c>
      <c r="V111">
        <v>41</v>
      </c>
      <c r="W111">
        <v>18</v>
      </c>
      <c r="X111">
        <v>22</v>
      </c>
    </row>
    <row r="112" spans="1:24" x14ac:dyDescent="0.25">
      <c r="A112" t="s">
        <v>233</v>
      </c>
      <c r="B112" t="str">
        <f t="shared" si="13"/>
        <v>139.4x89.1</v>
      </c>
      <c r="C112">
        <v>139.4</v>
      </c>
      <c r="D112">
        <v>89.1</v>
      </c>
      <c r="E112">
        <v>76.239999999999995</v>
      </c>
      <c r="F112">
        <v>3.4000000000000002E-2</v>
      </c>
      <c r="G112">
        <v>183.2</v>
      </c>
      <c r="H112">
        <v>70.2</v>
      </c>
      <c r="I112">
        <v>18</v>
      </c>
      <c r="J112">
        <v>26.3</v>
      </c>
      <c r="K112">
        <v>5</v>
      </c>
      <c r="P112" t="s">
        <v>203</v>
      </c>
      <c r="Q112">
        <v>84.2</v>
      </c>
      <c r="R112">
        <v>61.1</v>
      </c>
      <c r="S112">
        <v>28.4</v>
      </c>
      <c r="T112">
        <v>3.5000000000000003E-2</v>
      </c>
      <c r="U112">
        <v>104.2</v>
      </c>
      <c r="V112">
        <v>42.3</v>
      </c>
      <c r="W112">
        <v>18</v>
      </c>
      <c r="X112">
        <v>21.4</v>
      </c>
    </row>
    <row r="113" spans="1:24" x14ac:dyDescent="0.25">
      <c r="A113" t="s">
        <v>234</v>
      </c>
      <c r="B113" t="str">
        <f t="shared" si="13"/>
        <v>141.8x91.3</v>
      </c>
      <c r="C113">
        <v>141.80000000000001</v>
      </c>
      <c r="D113">
        <v>91.3</v>
      </c>
      <c r="E113">
        <v>70.7</v>
      </c>
      <c r="F113">
        <v>3.3000000000000002E-2</v>
      </c>
      <c r="G113">
        <v>216.4</v>
      </c>
      <c r="H113">
        <v>71.099999999999994</v>
      </c>
      <c r="I113">
        <v>18</v>
      </c>
      <c r="J113">
        <v>25.2</v>
      </c>
      <c r="K113">
        <v>5</v>
      </c>
      <c r="P113" t="s">
        <v>207</v>
      </c>
      <c r="Q113">
        <v>87</v>
      </c>
      <c r="R113">
        <v>63.2</v>
      </c>
      <c r="S113">
        <v>30.62</v>
      </c>
      <c r="T113">
        <v>3.4000000000000002E-2</v>
      </c>
      <c r="U113">
        <v>136.19999999999999</v>
      </c>
      <c r="V113">
        <v>43.5</v>
      </c>
      <c r="W113">
        <v>18</v>
      </c>
      <c r="X113">
        <v>20.8</v>
      </c>
    </row>
    <row r="114" spans="1:24" x14ac:dyDescent="0.25">
      <c r="A114" t="s">
        <v>235</v>
      </c>
      <c r="B114" t="str">
        <f t="shared" si="13"/>
        <v>142x91</v>
      </c>
      <c r="C114">
        <v>142</v>
      </c>
      <c r="D114">
        <v>91</v>
      </c>
      <c r="E114">
        <v>70.36</v>
      </c>
      <c r="F114">
        <v>2.7E-2</v>
      </c>
      <c r="G114">
        <v>210</v>
      </c>
      <c r="H114">
        <v>71.25</v>
      </c>
      <c r="I114">
        <v>18</v>
      </c>
      <c r="J114">
        <v>25.5</v>
      </c>
      <c r="K114">
        <v>4</v>
      </c>
      <c r="P114" t="s">
        <v>208</v>
      </c>
      <c r="Q114">
        <v>92.4</v>
      </c>
      <c r="R114">
        <v>65</v>
      </c>
      <c r="S114">
        <v>32.909999999999997</v>
      </c>
      <c r="T114">
        <v>3.4000000000000002E-2</v>
      </c>
      <c r="U114">
        <v>109.8</v>
      </c>
      <c r="V114">
        <v>46.5</v>
      </c>
      <c r="W114">
        <v>18</v>
      </c>
      <c r="X114">
        <v>22.4</v>
      </c>
    </row>
    <row r="115" spans="1:24" x14ac:dyDescent="0.25">
      <c r="A115" t="s">
        <v>236</v>
      </c>
      <c r="B115" t="str">
        <f t="shared" si="13"/>
        <v>147.8x93</v>
      </c>
      <c r="C115">
        <v>147.80000000000001</v>
      </c>
      <c r="D115">
        <v>93</v>
      </c>
      <c r="E115">
        <v>74.08</v>
      </c>
      <c r="F115">
        <v>3.3000000000000002E-2</v>
      </c>
      <c r="G115">
        <v>186.5</v>
      </c>
      <c r="H115">
        <v>74.7</v>
      </c>
      <c r="I115">
        <v>18</v>
      </c>
      <c r="J115">
        <v>27.5</v>
      </c>
      <c r="K115">
        <v>5</v>
      </c>
      <c r="P115" t="s">
        <v>211</v>
      </c>
      <c r="Q115">
        <v>95.2</v>
      </c>
      <c r="R115">
        <v>67.2</v>
      </c>
      <c r="S115">
        <v>35.39</v>
      </c>
      <c r="T115">
        <v>3.4000000000000002E-2</v>
      </c>
      <c r="U115">
        <v>137.9</v>
      </c>
      <c r="V115">
        <v>47.7</v>
      </c>
      <c r="W115">
        <v>18</v>
      </c>
      <c r="X115">
        <v>21.7</v>
      </c>
    </row>
    <row r="116" spans="1:24" x14ac:dyDescent="0.25">
      <c r="A116" t="s">
        <v>237</v>
      </c>
      <c r="B116" t="str">
        <f t="shared" si="13"/>
        <v>150.2x95.2</v>
      </c>
      <c r="C116">
        <v>150.19999999999999</v>
      </c>
      <c r="D116">
        <v>95.2</v>
      </c>
      <c r="E116">
        <v>77.64</v>
      </c>
      <c r="F116">
        <v>3.3000000000000002E-2</v>
      </c>
      <c r="G116">
        <v>216.8</v>
      </c>
      <c r="H116">
        <v>75.5</v>
      </c>
      <c r="I116">
        <v>18</v>
      </c>
      <c r="J116">
        <v>26.4</v>
      </c>
      <c r="K116">
        <v>5</v>
      </c>
      <c r="P116" t="s">
        <v>212</v>
      </c>
      <c r="Q116">
        <v>97.8</v>
      </c>
      <c r="R116">
        <v>69.400000000000006</v>
      </c>
      <c r="S116">
        <v>37.96</v>
      </c>
      <c r="T116">
        <v>3.4000000000000002E-2</v>
      </c>
      <c r="U116">
        <v>182.9</v>
      </c>
      <c r="V116">
        <v>48.9</v>
      </c>
      <c r="W116">
        <v>18</v>
      </c>
      <c r="X116">
        <v>20.9</v>
      </c>
    </row>
    <row r="117" spans="1:24" x14ac:dyDescent="0.25">
      <c r="A117" t="s">
        <v>238</v>
      </c>
      <c r="B117" t="str">
        <f t="shared" si="13"/>
        <v>152.4x97.4</v>
      </c>
      <c r="C117">
        <v>152.4</v>
      </c>
      <c r="D117">
        <v>97.4</v>
      </c>
      <c r="E117">
        <v>81.37</v>
      </c>
      <c r="F117">
        <v>3.3000000000000002E-2</v>
      </c>
      <c r="G117">
        <v>257.39999999999998</v>
      </c>
      <c r="H117">
        <v>76.400000000000006</v>
      </c>
      <c r="I117">
        <v>18</v>
      </c>
      <c r="J117">
        <v>25.2</v>
      </c>
      <c r="K117">
        <v>5</v>
      </c>
      <c r="P117" t="s">
        <v>215</v>
      </c>
      <c r="Q117">
        <v>103.4</v>
      </c>
      <c r="R117">
        <v>71.7</v>
      </c>
      <c r="S117">
        <v>40.46</v>
      </c>
      <c r="T117">
        <v>3.4000000000000002E-2</v>
      </c>
      <c r="U117">
        <v>141</v>
      </c>
      <c r="V117">
        <v>51.9</v>
      </c>
      <c r="W117">
        <v>18</v>
      </c>
      <c r="X117">
        <v>22.7</v>
      </c>
    </row>
    <row r="118" spans="1:24" x14ac:dyDescent="0.25">
      <c r="A118" t="s">
        <v>239</v>
      </c>
      <c r="B118" t="str">
        <f t="shared" si="13"/>
        <v>154.4x99.7</v>
      </c>
      <c r="C118">
        <v>154.4</v>
      </c>
      <c r="D118">
        <v>99.7</v>
      </c>
      <c r="E118">
        <v>85.2</v>
      </c>
      <c r="F118">
        <v>3.3000000000000002E-2</v>
      </c>
      <c r="G118">
        <v>314.7</v>
      </c>
      <c r="H118">
        <v>77.3</v>
      </c>
      <c r="I118">
        <v>18</v>
      </c>
      <c r="J118">
        <v>24</v>
      </c>
      <c r="K118">
        <v>5</v>
      </c>
      <c r="P118" t="s">
        <v>216</v>
      </c>
      <c r="Q118">
        <v>106</v>
      </c>
      <c r="R118">
        <v>73.3</v>
      </c>
      <c r="S118">
        <v>43.1</v>
      </c>
      <c r="T118">
        <v>3.4000000000000002E-2</v>
      </c>
      <c r="U118">
        <v>178.7</v>
      </c>
      <c r="V118">
        <v>53</v>
      </c>
      <c r="W118">
        <v>18</v>
      </c>
      <c r="X118">
        <v>21.9</v>
      </c>
    </row>
    <row r="119" spans="1:24" x14ac:dyDescent="0.25">
      <c r="A119" t="s">
        <v>240</v>
      </c>
      <c r="B119" t="str">
        <f t="shared" si="13"/>
        <v>159.4x112.3</v>
      </c>
      <c r="C119">
        <v>159.4</v>
      </c>
      <c r="D119">
        <v>112.3</v>
      </c>
      <c r="E119">
        <v>98.13</v>
      </c>
      <c r="F119">
        <v>3.4000000000000002E-2</v>
      </c>
      <c r="G119">
        <v>192.6</v>
      </c>
      <c r="H119">
        <v>80.099999999999994</v>
      </c>
      <c r="I119">
        <v>31</v>
      </c>
      <c r="J119">
        <v>38.6</v>
      </c>
      <c r="K119">
        <v>6</v>
      </c>
      <c r="P119" t="s">
        <v>218</v>
      </c>
      <c r="Q119">
        <v>111.8</v>
      </c>
      <c r="R119">
        <v>75.099999999999994</v>
      </c>
      <c r="S119">
        <v>45.83</v>
      </c>
      <c r="T119">
        <v>3.4000000000000002E-2</v>
      </c>
      <c r="U119">
        <v>144.6</v>
      </c>
      <c r="V119">
        <v>56.2</v>
      </c>
      <c r="W119">
        <v>18</v>
      </c>
      <c r="X119">
        <v>23.8</v>
      </c>
    </row>
    <row r="120" spans="1:24" x14ac:dyDescent="0.25">
      <c r="A120" t="s">
        <v>241</v>
      </c>
      <c r="B120" t="str">
        <f t="shared" si="13"/>
        <v>160.8x101.3</v>
      </c>
      <c r="C120">
        <v>160.80000000000001</v>
      </c>
      <c r="D120">
        <v>101.3</v>
      </c>
      <c r="E120">
        <v>88.78</v>
      </c>
      <c r="F120">
        <v>3.3000000000000002E-2</v>
      </c>
      <c r="G120">
        <v>254.8</v>
      </c>
      <c r="H120">
        <v>80.7</v>
      </c>
      <c r="I120">
        <v>18</v>
      </c>
      <c r="J120">
        <v>26.4</v>
      </c>
      <c r="K120">
        <v>5</v>
      </c>
      <c r="P120" t="s">
        <v>220</v>
      </c>
      <c r="Q120">
        <v>114.2</v>
      </c>
      <c r="R120">
        <v>77.3</v>
      </c>
      <c r="S120">
        <v>48.69</v>
      </c>
      <c r="T120">
        <v>3.4000000000000002E-2</v>
      </c>
      <c r="U120">
        <v>177.5</v>
      </c>
      <c r="V120">
        <v>57.3</v>
      </c>
      <c r="W120">
        <v>18</v>
      </c>
      <c r="X120">
        <v>22.9</v>
      </c>
    </row>
    <row r="121" spans="1:24" x14ac:dyDescent="0.25">
      <c r="A121" t="s">
        <v>242</v>
      </c>
      <c r="B121" t="str">
        <f t="shared" si="13"/>
        <v>162.2x114.4</v>
      </c>
      <c r="C121">
        <v>162.19999999999999</v>
      </c>
      <c r="D121">
        <v>114.4</v>
      </c>
      <c r="E121">
        <v>102.3</v>
      </c>
      <c r="F121">
        <v>3.4000000000000002E-2</v>
      </c>
      <c r="G121">
        <v>220.8</v>
      </c>
      <c r="H121">
        <v>81.3</v>
      </c>
      <c r="I121">
        <v>31</v>
      </c>
      <c r="J121">
        <v>37.799999999999997</v>
      </c>
      <c r="K121">
        <v>6</v>
      </c>
      <c r="P121" t="s">
        <v>222</v>
      </c>
      <c r="Q121">
        <v>116.6</v>
      </c>
      <c r="R121">
        <v>79.5</v>
      </c>
      <c r="S121">
        <v>51.67</v>
      </c>
      <c r="T121">
        <v>3.4000000000000002E-2</v>
      </c>
      <c r="U121">
        <v>227.7</v>
      </c>
      <c r="V121">
        <v>58.3</v>
      </c>
      <c r="W121">
        <v>18</v>
      </c>
      <c r="X121">
        <v>21.9</v>
      </c>
    </row>
    <row r="122" spans="1:24" x14ac:dyDescent="0.25">
      <c r="A122" t="s">
        <v>243</v>
      </c>
      <c r="B122" t="str">
        <f t="shared" si="13"/>
        <v>167.2x103</v>
      </c>
      <c r="C122">
        <v>167.2</v>
      </c>
      <c r="D122">
        <v>103</v>
      </c>
      <c r="E122">
        <v>92.58</v>
      </c>
      <c r="F122">
        <v>3.3000000000000002E-2</v>
      </c>
      <c r="G122">
        <v>220.7</v>
      </c>
      <c r="H122">
        <v>84.4</v>
      </c>
      <c r="I122">
        <v>18</v>
      </c>
      <c r="J122">
        <v>28.9</v>
      </c>
      <c r="K122">
        <v>5</v>
      </c>
      <c r="P122" t="s">
        <v>224</v>
      </c>
      <c r="Q122">
        <v>122.6</v>
      </c>
      <c r="R122">
        <v>81.2</v>
      </c>
      <c r="S122">
        <v>54.51</v>
      </c>
      <c r="T122">
        <v>3.4000000000000002E-2</v>
      </c>
      <c r="U122">
        <v>178.3</v>
      </c>
      <c r="V122">
        <v>61.5</v>
      </c>
      <c r="W122">
        <v>18</v>
      </c>
      <c r="X122">
        <v>24</v>
      </c>
    </row>
    <row r="123" spans="1:24" x14ac:dyDescent="0.25">
      <c r="A123" t="s">
        <v>244</v>
      </c>
      <c r="B123" t="str">
        <f t="shared" si="13"/>
        <v>167.6x116.2</v>
      </c>
      <c r="C123">
        <v>167.6</v>
      </c>
      <c r="D123">
        <v>116.2</v>
      </c>
      <c r="E123">
        <v>106.41</v>
      </c>
      <c r="F123">
        <v>3.4000000000000002E-2</v>
      </c>
      <c r="G123">
        <v>197.9</v>
      </c>
      <c r="H123">
        <v>84.4</v>
      </c>
      <c r="I123">
        <v>31</v>
      </c>
      <c r="J123">
        <v>39.6</v>
      </c>
      <c r="K123">
        <v>6</v>
      </c>
      <c r="P123" t="s">
        <v>227</v>
      </c>
      <c r="Q123">
        <v>128.4</v>
      </c>
      <c r="R123">
        <v>82.9</v>
      </c>
      <c r="S123">
        <v>57.46</v>
      </c>
      <c r="T123">
        <v>3.4000000000000002E-2</v>
      </c>
      <c r="U123">
        <v>153.19999999999999</v>
      </c>
      <c r="V123">
        <v>64.900000000000006</v>
      </c>
      <c r="W123">
        <v>18</v>
      </c>
      <c r="X123">
        <v>26.1</v>
      </c>
    </row>
    <row r="124" spans="1:24" x14ac:dyDescent="0.25">
      <c r="A124" t="s">
        <v>245</v>
      </c>
      <c r="B124" t="str">
        <f t="shared" si="13"/>
        <v>169.4x105.2</v>
      </c>
      <c r="C124">
        <v>169.4</v>
      </c>
      <c r="D124">
        <v>105.2</v>
      </c>
      <c r="E124">
        <v>96.56</v>
      </c>
      <c r="F124">
        <v>3.3000000000000002E-2</v>
      </c>
      <c r="G124">
        <v>254.1</v>
      </c>
      <c r="H124">
        <v>85.1</v>
      </c>
      <c r="I124">
        <v>18</v>
      </c>
      <c r="J124">
        <v>27.6</v>
      </c>
      <c r="K124">
        <v>5</v>
      </c>
      <c r="P124" t="s">
        <v>229</v>
      </c>
      <c r="Q124">
        <v>131</v>
      </c>
      <c r="R124">
        <v>85.1</v>
      </c>
      <c r="S124">
        <v>60.72</v>
      </c>
      <c r="T124">
        <v>3.4000000000000002E-2</v>
      </c>
      <c r="U124">
        <v>180.4</v>
      </c>
      <c r="V124">
        <v>65.900000000000006</v>
      </c>
      <c r="W124">
        <v>18</v>
      </c>
      <c r="X124">
        <v>25.1</v>
      </c>
    </row>
    <row r="125" spans="1:24" x14ac:dyDescent="0.25">
      <c r="A125" t="s">
        <v>246</v>
      </c>
      <c r="B125" t="str">
        <f t="shared" si="13"/>
        <v>170.6x118.4</v>
      </c>
      <c r="C125">
        <v>170.6</v>
      </c>
      <c r="D125">
        <v>118.4</v>
      </c>
      <c r="E125">
        <v>110.88</v>
      </c>
      <c r="F125">
        <v>3.4000000000000002E-2</v>
      </c>
      <c r="G125">
        <v>222.6</v>
      </c>
      <c r="H125">
        <v>85.6</v>
      </c>
      <c r="I125">
        <v>31</v>
      </c>
      <c r="J125">
        <v>38.9</v>
      </c>
      <c r="K125">
        <v>6</v>
      </c>
      <c r="P125" t="s">
        <v>230</v>
      </c>
      <c r="Q125">
        <v>136.80000000000001</v>
      </c>
      <c r="R125">
        <v>86.9</v>
      </c>
      <c r="S125">
        <v>63.86</v>
      </c>
      <c r="T125">
        <v>3.4000000000000002E-2</v>
      </c>
      <c r="U125">
        <v>157.9</v>
      </c>
      <c r="V125">
        <v>69.400000000000006</v>
      </c>
      <c r="W125">
        <v>18</v>
      </c>
      <c r="X125">
        <v>27.4</v>
      </c>
    </row>
    <row r="126" spans="1:24" x14ac:dyDescent="0.25">
      <c r="A126" t="s">
        <v>247</v>
      </c>
      <c r="B126" t="str">
        <f t="shared" si="13"/>
        <v>172.8x120.5</v>
      </c>
      <c r="C126">
        <v>172.8</v>
      </c>
      <c r="D126">
        <v>120.5</v>
      </c>
      <c r="E126">
        <v>115.13</v>
      </c>
      <c r="F126">
        <v>3.4000000000000002E-2</v>
      </c>
      <c r="G126">
        <v>256.60000000000002</v>
      </c>
      <c r="H126">
        <v>86.6</v>
      </c>
      <c r="I126">
        <v>31</v>
      </c>
      <c r="J126">
        <v>38</v>
      </c>
      <c r="K126">
        <v>6</v>
      </c>
      <c r="P126" t="s">
        <v>233</v>
      </c>
      <c r="Q126">
        <v>139.4</v>
      </c>
      <c r="R126">
        <v>89.1</v>
      </c>
      <c r="S126">
        <v>76.239999999999995</v>
      </c>
      <c r="T126">
        <v>3.4000000000000002E-2</v>
      </c>
      <c r="U126">
        <v>183.2</v>
      </c>
      <c r="V126">
        <v>70.2</v>
      </c>
      <c r="W126">
        <v>18</v>
      </c>
      <c r="X126">
        <v>26.3</v>
      </c>
    </row>
    <row r="127" spans="1:24" x14ac:dyDescent="0.25">
      <c r="A127" t="s">
        <v>248</v>
      </c>
      <c r="B127" t="str">
        <f t="shared" si="13"/>
        <v>178.6x122.3</v>
      </c>
      <c r="C127">
        <v>178.6</v>
      </c>
      <c r="D127">
        <v>122.3</v>
      </c>
      <c r="E127">
        <v>119.53</v>
      </c>
      <c r="F127">
        <v>3.4000000000000002E-2</v>
      </c>
      <c r="G127">
        <v>227.7</v>
      </c>
      <c r="H127">
        <v>89.8</v>
      </c>
      <c r="I127">
        <v>31</v>
      </c>
      <c r="J127">
        <v>39.9</v>
      </c>
      <c r="K127">
        <v>6</v>
      </c>
      <c r="P127" t="s">
        <v>234</v>
      </c>
      <c r="Q127">
        <v>141.80000000000001</v>
      </c>
      <c r="R127">
        <v>91.3</v>
      </c>
      <c r="S127">
        <v>70.7</v>
      </c>
      <c r="T127">
        <v>3.3000000000000002E-2</v>
      </c>
      <c r="U127">
        <v>216.4</v>
      </c>
      <c r="V127">
        <v>71.099999999999994</v>
      </c>
      <c r="W127">
        <v>18</v>
      </c>
      <c r="X127">
        <v>25.2</v>
      </c>
    </row>
    <row r="128" spans="1:24" x14ac:dyDescent="0.25">
      <c r="A128" t="s">
        <v>249</v>
      </c>
      <c r="B128" t="str">
        <f t="shared" si="13"/>
        <v>184.2x124.1</v>
      </c>
      <c r="C128">
        <v>184.2</v>
      </c>
      <c r="D128">
        <v>124.1</v>
      </c>
      <c r="E128">
        <v>124.05</v>
      </c>
      <c r="F128">
        <v>3.4000000000000002E-2</v>
      </c>
      <c r="G128">
        <v>208.5</v>
      </c>
      <c r="H128">
        <v>93.1</v>
      </c>
      <c r="I128">
        <v>31</v>
      </c>
      <c r="J128">
        <v>41.9</v>
      </c>
      <c r="K128">
        <v>6</v>
      </c>
      <c r="P128" t="s">
        <v>236</v>
      </c>
      <c r="Q128">
        <v>147.80000000000001</v>
      </c>
      <c r="R128">
        <v>93</v>
      </c>
      <c r="S128">
        <v>74.08</v>
      </c>
      <c r="T128">
        <v>3.3000000000000002E-2</v>
      </c>
      <c r="U128">
        <v>186.5</v>
      </c>
      <c r="V128">
        <v>74.7</v>
      </c>
      <c r="W128">
        <v>18</v>
      </c>
      <c r="X128">
        <v>27.5</v>
      </c>
    </row>
    <row r="129" spans="1:24" x14ac:dyDescent="0.25">
      <c r="A129" t="s">
        <v>250</v>
      </c>
      <c r="B129" t="str">
        <f t="shared" si="13"/>
        <v>187x126.3</v>
      </c>
      <c r="C129">
        <v>187</v>
      </c>
      <c r="D129">
        <v>126.3</v>
      </c>
      <c r="E129">
        <v>128.78</v>
      </c>
      <c r="F129">
        <v>3.4000000000000002E-2</v>
      </c>
      <c r="G129">
        <v>232.1</v>
      </c>
      <c r="H129">
        <v>94.1</v>
      </c>
      <c r="I129">
        <v>31</v>
      </c>
      <c r="J129">
        <v>41</v>
      </c>
      <c r="K129">
        <v>6</v>
      </c>
      <c r="P129" t="s">
        <v>237</v>
      </c>
      <c r="Q129">
        <v>150.19999999999999</v>
      </c>
      <c r="R129">
        <v>95.2</v>
      </c>
      <c r="S129">
        <v>77.64</v>
      </c>
      <c r="T129">
        <v>3.3000000000000002E-2</v>
      </c>
      <c r="U129">
        <v>216.8</v>
      </c>
      <c r="V129">
        <v>75.5</v>
      </c>
      <c r="W129">
        <v>18</v>
      </c>
      <c r="X129">
        <v>26.4</v>
      </c>
    </row>
    <row r="130" spans="1:24" x14ac:dyDescent="0.25">
      <c r="A130" t="s">
        <v>251</v>
      </c>
      <c r="B130" t="str">
        <f t="shared" si="13"/>
        <v>189.6x128.5</v>
      </c>
      <c r="C130">
        <v>189.6</v>
      </c>
      <c r="D130">
        <v>128.5</v>
      </c>
      <c r="E130">
        <v>133.66</v>
      </c>
      <c r="F130">
        <v>3.4000000000000002E-2</v>
      </c>
      <c r="G130">
        <v>260.60000000000002</v>
      </c>
      <c r="H130">
        <v>95.2</v>
      </c>
      <c r="I130">
        <v>31</v>
      </c>
      <c r="J130">
        <v>40.1</v>
      </c>
      <c r="K130">
        <v>6</v>
      </c>
      <c r="P130" t="s">
        <v>238</v>
      </c>
      <c r="Q130">
        <v>152.4</v>
      </c>
      <c r="R130">
        <v>97.4</v>
      </c>
      <c r="S130">
        <v>81.37</v>
      </c>
      <c r="T130">
        <v>3.3000000000000002E-2</v>
      </c>
      <c r="U130">
        <v>257.39999999999998</v>
      </c>
      <c r="V130">
        <v>76.400000000000006</v>
      </c>
      <c r="W130">
        <v>18</v>
      </c>
      <c r="X130">
        <v>25.2</v>
      </c>
    </row>
    <row r="131" spans="1:24" x14ac:dyDescent="0.25">
      <c r="A131" t="s">
        <v>252</v>
      </c>
      <c r="B131" t="str">
        <f t="shared" si="13"/>
        <v>195.4x130.2</v>
      </c>
      <c r="C131">
        <v>195.4</v>
      </c>
      <c r="D131">
        <v>130.19999999999999</v>
      </c>
      <c r="E131">
        <v>138.29</v>
      </c>
      <c r="F131">
        <v>3.4000000000000002E-2</v>
      </c>
      <c r="G131">
        <v>236</v>
      </c>
      <c r="H131">
        <v>98.5</v>
      </c>
      <c r="I131">
        <v>31</v>
      </c>
      <c r="J131">
        <v>42.2</v>
      </c>
      <c r="K131">
        <v>6</v>
      </c>
      <c r="P131" t="s">
        <v>239</v>
      </c>
      <c r="Q131">
        <v>154.4</v>
      </c>
      <c r="R131">
        <v>99.7</v>
      </c>
      <c r="S131">
        <v>85.2</v>
      </c>
      <c r="T131">
        <v>3.3000000000000002E-2</v>
      </c>
      <c r="U131">
        <v>314.7</v>
      </c>
      <c r="V131">
        <v>77.3</v>
      </c>
      <c r="W131">
        <v>18</v>
      </c>
      <c r="X131">
        <v>24</v>
      </c>
    </row>
    <row r="132" spans="1:24" x14ac:dyDescent="0.25">
      <c r="A132" t="s">
        <v>253</v>
      </c>
      <c r="B132" t="str">
        <f t="shared" si="13"/>
        <v>198x132.4</v>
      </c>
      <c r="C132">
        <v>198</v>
      </c>
      <c r="D132">
        <v>132.4</v>
      </c>
      <c r="E132">
        <v>143.29</v>
      </c>
      <c r="F132">
        <v>3.4000000000000002E-2</v>
      </c>
      <c r="G132">
        <v>263.2</v>
      </c>
      <c r="H132">
        <v>99.5</v>
      </c>
      <c r="I132">
        <v>31</v>
      </c>
      <c r="J132">
        <v>41.2</v>
      </c>
      <c r="K132">
        <v>6</v>
      </c>
      <c r="P132" t="s">
        <v>241</v>
      </c>
      <c r="Q132">
        <v>160.80000000000001</v>
      </c>
      <c r="R132">
        <v>101.3</v>
      </c>
      <c r="S132">
        <v>88.78</v>
      </c>
      <c r="T132">
        <v>3.3000000000000002E-2</v>
      </c>
      <c r="U132">
        <v>254.8</v>
      </c>
      <c r="V132">
        <v>80.7</v>
      </c>
      <c r="W132">
        <v>18</v>
      </c>
      <c r="X132">
        <v>26.4</v>
      </c>
    </row>
    <row r="133" spans="1:24" x14ac:dyDescent="0.25">
      <c r="A133" t="s">
        <v>254</v>
      </c>
      <c r="B133" t="str">
        <f t="shared" si="13"/>
        <v>203.6x134.2</v>
      </c>
      <c r="C133">
        <v>203.6</v>
      </c>
      <c r="D133">
        <v>134.19999999999999</v>
      </c>
      <c r="E133">
        <v>148.06</v>
      </c>
      <c r="F133">
        <v>3.4000000000000002E-2</v>
      </c>
      <c r="G133">
        <v>241</v>
      </c>
      <c r="H133">
        <v>102.9</v>
      </c>
      <c r="I133">
        <v>31</v>
      </c>
      <c r="J133">
        <v>43.4</v>
      </c>
      <c r="K133">
        <v>6</v>
      </c>
      <c r="P133" t="s">
        <v>243</v>
      </c>
      <c r="Q133">
        <v>167.2</v>
      </c>
      <c r="R133">
        <v>103</v>
      </c>
      <c r="S133">
        <v>92.58</v>
      </c>
      <c r="T133">
        <v>3.3000000000000002E-2</v>
      </c>
      <c r="U133">
        <v>220.7</v>
      </c>
      <c r="V133">
        <v>84.4</v>
      </c>
      <c r="W133">
        <v>18</v>
      </c>
      <c r="X133">
        <v>28.9</v>
      </c>
    </row>
    <row r="134" spans="1:24" x14ac:dyDescent="0.25">
      <c r="A134" t="s">
        <v>255</v>
      </c>
      <c r="B134" t="str">
        <f t="shared" si="13"/>
        <v>206.2x136.3</v>
      </c>
      <c r="C134">
        <v>206.2</v>
      </c>
      <c r="D134">
        <v>136.30000000000001</v>
      </c>
      <c r="E134">
        <v>153.04</v>
      </c>
      <c r="F134">
        <v>3.4000000000000002E-2</v>
      </c>
      <c r="G134">
        <v>266.8</v>
      </c>
      <c r="H134">
        <v>103.8</v>
      </c>
      <c r="I134">
        <v>31</v>
      </c>
      <c r="J134">
        <v>42.4</v>
      </c>
      <c r="K134">
        <v>6</v>
      </c>
      <c r="P134" t="s">
        <v>245</v>
      </c>
      <c r="Q134">
        <v>169.4</v>
      </c>
      <c r="R134">
        <v>105.2</v>
      </c>
      <c r="S134">
        <v>96.56</v>
      </c>
      <c r="T134">
        <v>3.3000000000000002E-2</v>
      </c>
      <c r="U134">
        <v>254.1</v>
      </c>
      <c r="V134">
        <v>85.1</v>
      </c>
      <c r="W134">
        <v>18</v>
      </c>
      <c r="X134">
        <v>27.6</v>
      </c>
    </row>
    <row r="135" spans="1:24" x14ac:dyDescent="0.25">
      <c r="A135" t="s">
        <v>256</v>
      </c>
      <c r="B135" t="str">
        <f t="shared" si="13"/>
        <v>208.8x138.5</v>
      </c>
      <c r="C135">
        <v>208.8</v>
      </c>
      <c r="D135">
        <v>138.5</v>
      </c>
      <c r="E135">
        <v>158.29</v>
      </c>
      <c r="F135">
        <v>3.4000000000000002E-2</v>
      </c>
      <c r="G135">
        <v>297.89999999999998</v>
      </c>
      <c r="H135">
        <v>104.8</v>
      </c>
      <c r="I135">
        <v>31</v>
      </c>
      <c r="J135">
        <v>41.4</v>
      </c>
      <c r="K135">
        <v>6</v>
      </c>
    </row>
    <row r="136" spans="1:24" x14ac:dyDescent="0.25">
      <c r="A136" t="s">
        <v>257</v>
      </c>
      <c r="B136" t="str">
        <f t="shared" si="13"/>
        <v>214.6x140.3</v>
      </c>
      <c r="C136">
        <v>214.6</v>
      </c>
      <c r="D136">
        <v>140.30000000000001</v>
      </c>
      <c r="E136">
        <v>163.72999999999999</v>
      </c>
      <c r="F136">
        <v>3.4000000000000002E-2</v>
      </c>
      <c r="G136">
        <v>270.60000000000002</v>
      </c>
      <c r="H136">
        <v>108.2</v>
      </c>
      <c r="I136">
        <v>31</v>
      </c>
      <c r="J136">
        <v>43.6</v>
      </c>
      <c r="K136">
        <v>6</v>
      </c>
      <c r="O136">
        <v>6</v>
      </c>
      <c r="P136" t="s">
        <v>162</v>
      </c>
    </row>
    <row r="137" spans="1:24" x14ac:dyDescent="0.25">
      <c r="A137" t="s">
        <v>258</v>
      </c>
      <c r="B137" t="str">
        <f t="shared" si="13"/>
        <v>217.2x142.4</v>
      </c>
      <c r="C137">
        <v>217.2</v>
      </c>
      <c r="D137">
        <v>142.4</v>
      </c>
      <c r="E137">
        <v>168.73</v>
      </c>
      <c r="F137">
        <v>3.4000000000000002E-2</v>
      </c>
      <c r="G137">
        <v>299.7</v>
      </c>
      <c r="H137">
        <v>109.1</v>
      </c>
      <c r="I137">
        <v>31</v>
      </c>
      <c r="J137">
        <v>42.5</v>
      </c>
      <c r="K137">
        <v>6</v>
      </c>
      <c r="P137" t="s">
        <v>148</v>
      </c>
      <c r="Q137" t="s">
        <v>149</v>
      </c>
      <c r="R137" t="s">
        <v>52</v>
      </c>
      <c r="S137" t="s">
        <v>150</v>
      </c>
      <c r="T137" t="s">
        <v>151</v>
      </c>
      <c r="U137" t="s">
        <v>152</v>
      </c>
      <c r="V137" t="s">
        <v>153</v>
      </c>
      <c r="W137" t="s">
        <v>154</v>
      </c>
      <c r="X137" t="s">
        <v>155</v>
      </c>
    </row>
    <row r="138" spans="1:24" x14ac:dyDescent="0.25">
      <c r="A138" t="s">
        <v>259</v>
      </c>
      <c r="B138" t="str">
        <f t="shared" si="13"/>
        <v>223x144.2</v>
      </c>
      <c r="C138">
        <v>223</v>
      </c>
      <c r="D138">
        <v>144.19999999999999</v>
      </c>
      <c r="E138">
        <v>173.98</v>
      </c>
      <c r="F138">
        <v>3.4000000000000002E-2</v>
      </c>
      <c r="G138">
        <v>274.5</v>
      </c>
      <c r="H138">
        <v>112.6</v>
      </c>
      <c r="I138">
        <v>31</v>
      </c>
      <c r="J138">
        <v>44.8</v>
      </c>
      <c r="K138">
        <v>6</v>
      </c>
      <c r="P138">
        <v>1</v>
      </c>
      <c r="Q138">
        <v>159.4</v>
      </c>
      <c r="R138">
        <v>112.3</v>
      </c>
      <c r="S138">
        <v>98.13</v>
      </c>
      <c r="T138">
        <v>3.4000000000000002E-2</v>
      </c>
      <c r="U138">
        <v>192.6</v>
      </c>
      <c r="V138">
        <v>80.099999999999994</v>
      </c>
      <c r="W138">
        <v>31</v>
      </c>
      <c r="X138">
        <v>38.6</v>
      </c>
    </row>
    <row r="139" spans="1:24" x14ac:dyDescent="0.25">
      <c r="A139" t="s">
        <v>260</v>
      </c>
      <c r="B139" t="str">
        <f t="shared" si="13"/>
        <v>225.4x146.4</v>
      </c>
      <c r="C139">
        <v>225.4</v>
      </c>
      <c r="D139">
        <v>146.4</v>
      </c>
      <c r="E139">
        <v>179.54</v>
      </c>
      <c r="F139">
        <v>3.4000000000000002E-2</v>
      </c>
      <c r="G139">
        <v>302.3</v>
      </c>
      <c r="H139">
        <v>113.5</v>
      </c>
      <c r="I139">
        <v>31</v>
      </c>
      <c r="J139">
        <v>43.7</v>
      </c>
      <c r="K139">
        <v>6</v>
      </c>
      <c r="P139">
        <v>2</v>
      </c>
      <c r="Q139">
        <v>162.19999999999999</v>
      </c>
      <c r="R139">
        <v>114.4</v>
      </c>
      <c r="S139">
        <v>102.3</v>
      </c>
      <c r="T139">
        <v>3.4000000000000002E-2</v>
      </c>
      <c r="U139">
        <v>220.8</v>
      </c>
      <c r="V139">
        <v>81.3</v>
      </c>
      <c r="W139">
        <v>31</v>
      </c>
      <c r="X139">
        <v>37.799999999999997</v>
      </c>
    </row>
    <row r="140" spans="1:24" x14ac:dyDescent="0.25">
      <c r="A140" t="s">
        <v>261</v>
      </c>
      <c r="B140" t="str">
        <f t="shared" si="13"/>
        <v>231.4x148.1</v>
      </c>
      <c r="C140">
        <v>231.4</v>
      </c>
      <c r="D140">
        <v>148.1</v>
      </c>
      <c r="E140">
        <v>184.79</v>
      </c>
      <c r="F140">
        <v>3.4000000000000002E-2</v>
      </c>
      <c r="G140">
        <v>278.60000000000002</v>
      </c>
      <c r="H140">
        <v>117</v>
      </c>
      <c r="I140">
        <v>31</v>
      </c>
      <c r="J140">
        <v>46</v>
      </c>
      <c r="K140">
        <v>6</v>
      </c>
      <c r="P140">
        <v>3</v>
      </c>
      <c r="Q140">
        <v>167.6</v>
      </c>
      <c r="R140">
        <v>116.2</v>
      </c>
      <c r="S140">
        <v>106.41</v>
      </c>
      <c r="T140">
        <v>3.4000000000000002E-2</v>
      </c>
      <c r="U140">
        <v>197.9</v>
      </c>
      <c r="V140">
        <v>84.4</v>
      </c>
      <c r="W140">
        <v>31</v>
      </c>
      <c r="X140">
        <v>39.6</v>
      </c>
    </row>
    <row r="141" spans="1:24" x14ac:dyDescent="0.25">
      <c r="A141" t="s">
        <v>262</v>
      </c>
      <c r="B141" t="str">
        <f t="shared" si="13"/>
        <v>234x150.3</v>
      </c>
      <c r="C141">
        <v>234</v>
      </c>
      <c r="D141">
        <v>150.30000000000001</v>
      </c>
      <c r="E141">
        <v>190.61</v>
      </c>
      <c r="F141">
        <v>3.4000000000000002E-2</v>
      </c>
      <c r="G141">
        <v>305.10000000000002</v>
      </c>
      <c r="H141">
        <v>117.9</v>
      </c>
      <c r="I141">
        <v>31</v>
      </c>
      <c r="J141">
        <v>44.9</v>
      </c>
      <c r="K141">
        <v>6</v>
      </c>
      <c r="P141">
        <v>4</v>
      </c>
      <c r="Q141">
        <v>170.6</v>
      </c>
      <c r="R141">
        <v>118.4</v>
      </c>
      <c r="S141">
        <v>110.88</v>
      </c>
      <c r="T141">
        <v>3.4000000000000002E-2</v>
      </c>
      <c r="U141">
        <v>222.6</v>
      </c>
      <c r="V141">
        <v>85.6</v>
      </c>
      <c r="W141">
        <v>31</v>
      </c>
      <c r="X141">
        <v>38.9</v>
      </c>
    </row>
    <row r="142" spans="1:24" x14ac:dyDescent="0.25">
      <c r="A142" t="s">
        <v>263</v>
      </c>
      <c r="B142" t="str">
        <f t="shared" si="13"/>
        <v>236.4x152.5</v>
      </c>
      <c r="C142">
        <v>236.4</v>
      </c>
      <c r="D142">
        <v>152.5</v>
      </c>
      <c r="E142">
        <v>196.34</v>
      </c>
      <c r="F142">
        <v>3.4000000000000002E-2</v>
      </c>
      <c r="G142">
        <v>336.5</v>
      </c>
      <c r="H142">
        <v>118.8</v>
      </c>
      <c r="I142">
        <v>31</v>
      </c>
      <c r="J142">
        <v>43.8</v>
      </c>
      <c r="K142">
        <v>6</v>
      </c>
      <c r="P142">
        <v>5</v>
      </c>
      <c r="Q142">
        <v>172.8</v>
      </c>
      <c r="R142">
        <v>120.5</v>
      </c>
      <c r="S142">
        <v>115.13</v>
      </c>
      <c r="T142">
        <v>3.4000000000000002E-2</v>
      </c>
      <c r="U142">
        <v>256.60000000000002</v>
      </c>
      <c r="V142">
        <v>86.6</v>
      </c>
      <c r="W142">
        <v>31</v>
      </c>
      <c r="X142">
        <v>38</v>
      </c>
    </row>
    <row r="143" spans="1:24" x14ac:dyDescent="0.25">
      <c r="A143" t="s">
        <v>264</v>
      </c>
      <c r="B143" t="str">
        <f t="shared" si="13"/>
        <v>238.6x154.7</v>
      </c>
      <c r="C143">
        <v>238.6</v>
      </c>
      <c r="D143">
        <v>154.69999999999999</v>
      </c>
      <c r="E143">
        <v>202.23</v>
      </c>
      <c r="F143">
        <v>3.4000000000000002E-2</v>
      </c>
      <c r="G143">
        <v>374.3</v>
      </c>
      <c r="H143">
        <v>119.7</v>
      </c>
      <c r="I143">
        <v>31</v>
      </c>
      <c r="J143">
        <v>42.6</v>
      </c>
      <c r="K143">
        <v>6</v>
      </c>
      <c r="P143">
        <v>6</v>
      </c>
      <c r="Q143">
        <v>178.6</v>
      </c>
      <c r="R143">
        <v>122.3</v>
      </c>
      <c r="S143">
        <v>119.53</v>
      </c>
      <c r="T143">
        <v>3.4000000000000002E-2</v>
      </c>
      <c r="U143">
        <v>227.7</v>
      </c>
      <c r="V143">
        <v>89.8</v>
      </c>
      <c r="W143">
        <v>31</v>
      </c>
      <c r="X143">
        <v>39.9</v>
      </c>
    </row>
    <row r="144" spans="1:24" x14ac:dyDescent="0.25">
      <c r="A144" t="s">
        <v>265</v>
      </c>
      <c r="B144" t="str">
        <f t="shared" si="13"/>
        <v>240x167</v>
      </c>
      <c r="C144">
        <v>240</v>
      </c>
      <c r="D144">
        <v>167</v>
      </c>
      <c r="E144">
        <v>216.59</v>
      </c>
      <c r="F144">
        <v>3.3000000000000002E-2</v>
      </c>
      <c r="G144">
        <v>223.6</v>
      </c>
      <c r="H144">
        <v>122.5</v>
      </c>
      <c r="I144">
        <v>47</v>
      </c>
      <c r="J144">
        <v>62.8</v>
      </c>
      <c r="K144">
        <v>6</v>
      </c>
      <c r="P144">
        <v>7</v>
      </c>
      <c r="Q144">
        <v>184.2</v>
      </c>
      <c r="R144">
        <v>124.1</v>
      </c>
      <c r="S144">
        <v>124.05</v>
      </c>
      <c r="T144">
        <v>3.4000000000000002E-2</v>
      </c>
      <c r="U144">
        <v>208.5</v>
      </c>
      <c r="V144">
        <v>93.1</v>
      </c>
      <c r="W144">
        <v>31</v>
      </c>
      <c r="X144">
        <v>41.9</v>
      </c>
    </row>
    <row r="145" spans="1:27" x14ac:dyDescent="0.25">
      <c r="A145" t="s">
        <v>285</v>
      </c>
      <c r="B145" t="str">
        <f t="shared" si="13"/>
        <v>244.8x156.4</v>
      </c>
      <c r="C145" s="81">
        <v>244.8</v>
      </c>
      <c r="D145">
        <v>156.4</v>
      </c>
      <c r="E145">
        <v>207.92</v>
      </c>
      <c r="F145">
        <v>3.4000000000000002E-2</v>
      </c>
      <c r="G145">
        <v>338.1</v>
      </c>
      <c r="H145">
        <v>123.2</v>
      </c>
      <c r="I145">
        <v>31</v>
      </c>
      <c r="J145">
        <v>45</v>
      </c>
      <c r="K145">
        <v>7</v>
      </c>
      <c r="P145">
        <v>8</v>
      </c>
      <c r="Q145">
        <v>187</v>
      </c>
      <c r="R145">
        <v>126.3</v>
      </c>
      <c r="S145">
        <v>128.78</v>
      </c>
      <c r="T145">
        <v>3.4000000000000002E-2</v>
      </c>
      <c r="U145">
        <v>232.1</v>
      </c>
      <c r="V145">
        <v>94.1</v>
      </c>
      <c r="W145">
        <v>31</v>
      </c>
      <c r="X145">
        <v>41</v>
      </c>
    </row>
    <row r="146" spans="1:27" x14ac:dyDescent="0.25">
      <c r="A146" t="s">
        <v>266</v>
      </c>
      <c r="B146" t="str">
        <f t="shared" si="13"/>
        <v>246x171</v>
      </c>
      <c r="C146">
        <v>246</v>
      </c>
      <c r="D146">
        <v>171</v>
      </c>
      <c r="E146">
        <v>228.68</v>
      </c>
      <c r="F146">
        <v>3.3000000000000002E-2</v>
      </c>
      <c r="G146">
        <v>255.7</v>
      </c>
      <c r="H146">
        <v>124.7</v>
      </c>
      <c r="I146">
        <v>47</v>
      </c>
      <c r="J146">
        <v>61.4</v>
      </c>
      <c r="K146">
        <v>7</v>
      </c>
      <c r="P146">
        <v>9</v>
      </c>
      <c r="Q146">
        <v>189.6</v>
      </c>
      <c r="R146">
        <v>128.5</v>
      </c>
      <c r="S146">
        <v>133.66</v>
      </c>
      <c r="T146">
        <v>3.4000000000000002E-2</v>
      </c>
      <c r="U146">
        <v>260.60000000000002</v>
      </c>
      <c r="V146">
        <v>95.2</v>
      </c>
      <c r="W146">
        <v>31</v>
      </c>
      <c r="X146">
        <v>40.1</v>
      </c>
    </row>
    <row r="147" spans="1:27" x14ac:dyDescent="0.25">
      <c r="A147" t="s">
        <v>267</v>
      </c>
      <c r="B147" t="str">
        <f t="shared" si="13"/>
        <v>247x158.6</v>
      </c>
      <c r="C147">
        <v>247</v>
      </c>
      <c r="D147">
        <v>158.6</v>
      </c>
      <c r="E147">
        <v>213.82</v>
      </c>
      <c r="F147">
        <v>3.4000000000000002E-2</v>
      </c>
      <c r="G147">
        <v>373.5</v>
      </c>
      <c r="H147">
        <v>124</v>
      </c>
      <c r="I147">
        <v>31</v>
      </c>
      <c r="J147">
        <v>43.8</v>
      </c>
      <c r="K147">
        <v>6</v>
      </c>
      <c r="P147">
        <v>10</v>
      </c>
      <c r="Q147">
        <v>195.4</v>
      </c>
      <c r="R147">
        <v>130.19999999999999</v>
      </c>
      <c r="S147">
        <v>138.29</v>
      </c>
      <c r="T147">
        <v>3.4000000000000002E-2</v>
      </c>
      <c r="U147">
        <v>236</v>
      </c>
      <c r="V147">
        <v>98.5</v>
      </c>
      <c r="W147">
        <v>31</v>
      </c>
      <c r="X147">
        <v>42.2</v>
      </c>
    </row>
    <row r="148" spans="1:27" x14ac:dyDescent="0.25">
      <c r="A148" t="s">
        <v>268</v>
      </c>
      <c r="B148" t="str">
        <f t="shared" si="13"/>
        <v>257x174</v>
      </c>
      <c r="C148">
        <v>257</v>
      </c>
      <c r="D148">
        <v>174</v>
      </c>
      <c r="E148">
        <v>240.06</v>
      </c>
      <c r="F148">
        <v>3.3000000000000002E-2</v>
      </c>
      <c r="G148">
        <v>236.7</v>
      </c>
      <c r="H148">
        <v>131.4</v>
      </c>
      <c r="I148">
        <v>47</v>
      </c>
      <c r="J148">
        <v>65.3</v>
      </c>
      <c r="K148">
        <v>7</v>
      </c>
      <c r="P148">
        <v>11</v>
      </c>
      <c r="Q148">
        <v>198</v>
      </c>
      <c r="R148">
        <v>132.4</v>
      </c>
      <c r="S148">
        <v>143.29</v>
      </c>
      <c r="T148">
        <v>3.4000000000000002E-2</v>
      </c>
      <c r="U148">
        <v>263.2</v>
      </c>
      <c r="V148">
        <v>99.5</v>
      </c>
      <c r="W148">
        <v>31</v>
      </c>
      <c r="X148">
        <v>41.2</v>
      </c>
    </row>
    <row r="149" spans="1:27" x14ac:dyDescent="0.25">
      <c r="A149" t="s">
        <v>269</v>
      </c>
      <c r="B149" t="str">
        <f t="shared" si="13"/>
        <v>263x179</v>
      </c>
      <c r="C149">
        <v>263</v>
      </c>
      <c r="D149">
        <v>179</v>
      </c>
      <c r="E149">
        <v>254.54</v>
      </c>
      <c r="F149">
        <v>3.3000000000000002E-2</v>
      </c>
      <c r="G149">
        <v>268.10000000000002</v>
      </c>
      <c r="H149">
        <v>133.5</v>
      </c>
      <c r="I149">
        <v>47</v>
      </c>
      <c r="J149">
        <v>63.7</v>
      </c>
      <c r="K149">
        <v>7</v>
      </c>
      <c r="P149">
        <v>12</v>
      </c>
      <c r="Q149">
        <v>203.6</v>
      </c>
      <c r="R149">
        <v>134.19999999999999</v>
      </c>
      <c r="S149">
        <v>148.06</v>
      </c>
      <c r="T149">
        <v>3.4000000000000002E-2</v>
      </c>
      <c r="U149">
        <v>241</v>
      </c>
      <c r="V149">
        <v>102.9</v>
      </c>
      <c r="W149">
        <v>31</v>
      </c>
      <c r="X149">
        <v>43.4</v>
      </c>
    </row>
    <row r="150" spans="1:27" x14ac:dyDescent="0.25">
      <c r="A150" t="s">
        <v>270</v>
      </c>
      <c r="B150" t="str">
        <f t="shared" si="13"/>
        <v>269x183</v>
      </c>
      <c r="C150">
        <v>269</v>
      </c>
      <c r="D150">
        <v>183</v>
      </c>
      <c r="E150">
        <v>267.48</v>
      </c>
      <c r="F150">
        <v>3.3000000000000002E-2</v>
      </c>
      <c r="G150">
        <v>307.10000000000002</v>
      </c>
      <c r="H150">
        <v>135.5</v>
      </c>
      <c r="I150">
        <v>47</v>
      </c>
      <c r="J150">
        <v>62.1</v>
      </c>
      <c r="K150">
        <v>7</v>
      </c>
      <c r="P150">
        <v>13</v>
      </c>
      <c r="Q150">
        <v>206.2</v>
      </c>
      <c r="R150">
        <v>136.30000000000001</v>
      </c>
      <c r="S150">
        <v>153.04</v>
      </c>
      <c r="T150">
        <v>3.4000000000000002E-2</v>
      </c>
      <c r="U150">
        <v>266.8</v>
      </c>
      <c r="V150">
        <v>103.8</v>
      </c>
      <c r="W150">
        <v>31</v>
      </c>
      <c r="X150">
        <v>42.4</v>
      </c>
    </row>
    <row r="151" spans="1:27" x14ac:dyDescent="0.25">
      <c r="A151" t="s">
        <v>271</v>
      </c>
      <c r="B151" t="str">
        <f t="shared" si="13"/>
        <v>280x187</v>
      </c>
      <c r="C151">
        <v>280</v>
      </c>
      <c r="D151">
        <v>187</v>
      </c>
      <c r="E151">
        <v>281.73</v>
      </c>
      <c r="F151">
        <v>3.3000000000000002E-2</v>
      </c>
      <c r="G151">
        <v>280.2</v>
      </c>
      <c r="H151">
        <v>142.4</v>
      </c>
      <c r="I151">
        <v>47</v>
      </c>
      <c r="J151">
        <v>66.2</v>
      </c>
      <c r="K151">
        <v>7</v>
      </c>
      <c r="P151">
        <v>14</v>
      </c>
      <c r="Q151">
        <v>208.8</v>
      </c>
      <c r="R151">
        <v>138.5</v>
      </c>
      <c r="S151">
        <v>158.29</v>
      </c>
      <c r="T151">
        <v>3.4000000000000002E-2</v>
      </c>
      <c r="U151">
        <v>297.89999999999998</v>
      </c>
      <c r="V151">
        <v>104.8</v>
      </c>
      <c r="W151">
        <v>31</v>
      </c>
      <c r="X151">
        <v>41.4</v>
      </c>
    </row>
    <row r="152" spans="1:27" x14ac:dyDescent="0.25">
      <c r="A152" t="s">
        <v>272</v>
      </c>
      <c r="B152" t="str">
        <f t="shared" si="13"/>
        <v>290x191</v>
      </c>
      <c r="C152">
        <v>290</v>
      </c>
      <c r="D152">
        <v>191</v>
      </c>
      <c r="E152">
        <v>295.89</v>
      </c>
      <c r="F152">
        <v>3.3000000000000002E-2</v>
      </c>
      <c r="G152">
        <v>262.10000000000002</v>
      </c>
      <c r="H152">
        <v>149.69999999999999</v>
      </c>
      <c r="I152">
        <v>47</v>
      </c>
      <c r="J152">
        <v>70.7</v>
      </c>
      <c r="K152">
        <v>7</v>
      </c>
      <c r="P152">
        <v>15</v>
      </c>
      <c r="Q152">
        <v>214.6</v>
      </c>
      <c r="R152">
        <v>140.30000000000001</v>
      </c>
      <c r="S152">
        <v>163.72999999999999</v>
      </c>
      <c r="T152">
        <v>3.4000000000000002E-2</v>
      </c>
      <c r="U152">
        <v>270.60000000000002</v>
      </c>
      <c r="V152">
        <v>108.2</v>
      </c>
      <c r="W152">
        <v>31</v>
      </c>
      <c r="X152">
        <v>43.6</v>
      </c>
    </row>
    <row r="153" spans="1:27" x14ac:dyDescent="0.25">
      <c r="A153" t="s">
        <v>273</v>
      </c>
      <c r="B153" t="str">
        <f t="shared" si="13"/>
        <v>296x194</v>
      </c>
      <c r="C153">
        <v>296</v>
      </c>
      <c r="D153">
        <v>194</v>
      </c>
      <c r="E153">
        <v>307.8</v>
      </c>
      <c r="F153">
        <v>3.3000000000000002E-2</v>
      </c>
      <c r="G153">
        <v>292.2</v>
      </c>
      <c r="H153">
        <v>151.4</v>
      </c>
      <c r="I153">
        <v>47</v>
      </c>
      <c r="J153">
        <v>68.8</v>
      </c>
      <c r="K153">
        <v>7</v>
      </c>
      <c r="P153">
        <v>16</v>
      </c>
      <c r="Q153">
        <v>217.2</v>
      </c>
      <c r="R153">
        <v>142.4</v>
      </c>
      <c r="S153">
        <v>168.73</v>
      </c>
      <c r="T153">
        <v>3.4000000000000002E-2</v>
      </c>
      <c r="U153">
        <v>299.7</v>
      </c>
      <c r="V153">
        <v>109.1</v>
      </c>
      <c r="W153">
        <v>31</v>
      </c>
      <c r="X153">
        <v>42.5</v>
      </c>
    </row>
    <row r="154" spans="1:27" x14ac:dyDescent="0.25">
      <c r="A154" t="s">
        <v>274</v>
      </c>
      <c r="B154" t="str">
        <f t="shared" si="13"/>
        <v>302x199</v>
      </c>
      <c r="C154">
        <v>302</v>
      </c>
      <c r="D154">
        <v>199</v>
      </c>
      <c r="E154">
        <v>324.16000000000003</v>
      </c>
      <c r="F154">
        <v>3.3000000000000002E-2</v>
      </c>
      <c r="G154">
        <v>328.6</v>
      </c>
      <c r="H154">
        <v>153.19999999999999</v>
      </c>
      <c r="I154">
        <v>47</v>
      </c>
      <c r="J154">
        <v>66.900000000000006</v>
      </c>
      <c r="K154">
        <v>7</v>
      </c>
      <c r="P154">
        <v>17</v>
      </c>
      <c r="Q154">
        <v>223</v>
      </c>
      <c r="R154">
        <v>144.19999999999999</v>
      </c>
      <c r="S154">
        <v>173.98</v>
      </c>
      <c r="T154">
        <v>3.4000000000000002E-2</v>
      </c>
      <c r="U154">
        <v>274.5</v>
      </c>
      <c r="V154">
        <v>112.6</v>
      </c>
      <c r="W154">
        <v>31</v>
      </c>
      <c r="X154">
        <v>44.8</v>
      </c>
    </row>
    <row r="155" spans="1:27" x14ac:dyDescent="0.25">
      <c r="A155" t="s">
        <v>275</v>
      </c>
      <c r="B155" t="str">
        <f t="shared" si="13"/>
        <v>307x203</v>
      </c>
      <c r="C155">
        <v>307</v>
      </c>
      <c r="D155">
        <v>203</v>
      </c>
      <c r="E155">
        <v>338.46</v>
      </c>
      <c r="F155">
        <v>3.3000000000000002E-2</v>
      </c>
      <c r="G155">
        <v>373.3</v>
      </c>
      <c r="H155">
        <v>155</v>
      </c>
      <c r="I155">
        <v>47</v>
      </c>
      <c r="J155">
        <v>64.8</v>
      </c>
      <c r="K155">
        <v>7</v>
      </c>
      <c r="P155">
        <v>18</v>
      </c>
      <c r="Q155">
        <v>225.4</v>
      </c>
      <c r="R155">
        <v>146.4</v>
      </c>
      <c r="S155">
        <v>179.54</v>
      </c>
      <c r="T155">
        <v>3.4000000000000002E-2</v>
      </c>
      <c r="U155">
        <v>302.3</v>
      </c>
      <c r="V155">
        <v>113.5</v>
      </c>
      <c r="W155">
        <v>31</v>
      </c>
      <c r="X155">
        <v>43.7</v>
      </c>
    </row>
    <row r="156" spans="1:27" x14ac:dyDescent="0.25">
      <c r="A156" t="s">
        <v>276</v>
      </c>
      <c r="B156" t="str">
        <f t="shared" si="13"/>
        <v>319x207</v>
      </c>
      <c r="C156">
        <v>319</v>
      </c>
      <c r="D156">
        <v>207</v>
      </c>
      <c r="E156">
        <v>354.57</v>
      </c>
      <c r="F156">
        <v>3.3000000000000002E-2</v>
      </c>
      <c r="G156">
        <v>339.4</v>
      </c>
      <c r="H156">
        <v>162.1</v>
      </c>
      <c r="I156">
        <v>47</v>
      </c>
      <c r="J156">
        <v>69.400000000000006</v>
      </c>
      <c r="K156">
        <v>7</v>
      </c>
      <c r="P156">
        <v>19</v>
      </c>
      <c r="Q156">
        <v>231.4</v>
      </c>
      <c r="R156">
        <v>148.1</v>
      </c>
      <c r="S156">
        <v>184.79</v>
      </c>
      <c r="T156">
        <v>3.4000000000000002E-2</v>
      </c>
      <c r="U156">
        <v>278.60000000000002</v>
      </c>
      <c r="V156">
        <v>117</v>
      </c>
      <c r="W156">
        <v>31</v>
      </c>
      <c r="X156">
        <v>46</v>
      </c>
    </row>
    <row r="157" spans="1:27" x14ac:dyDescent="0.25">
      <c r="A157" t="s">
        <v>277</v>
      </c>
      <c r="B157" t="str">
        <f t="shared" si="13"/>
        <v>330x210</v>
      </c>
      <c r="C157">
        <v>330</v>
      </c>
      <c r="D157">
        <v>210</v>
      </c>
      <c r="E157">
        <v>368.43</v>
      </c>
      <c r="F157">
        <v>3.3000000000000002E-2</v>
      </c>
      <c r="G157">
        <v>315.8</v>
      </c>
      <c r="H157">
        <v>169.6</v>
      </c>
      <c r="I157">
        <v>47</v>
      </c>
      <c r="J157">
        <v>74.2</v>
      </c>
      <c r="K157">
        <v>7</v>
      </c>
      <c r="P157">
        <v>20</v>
      </c>
      <c r="Q157">
        <v>234</v>
      </c>
      <c r="R157">
        <v>150.30000000000001</v>
      </c>
      <c r="S157">
        <v>190.61</v>
      </c>
      <c r="T157">
        <v>3.4000000000000002E-2</v>
      </c>
      <c r="U157">
        <v>305.10000000000002</v>
      </c>
      <c r="V157">
        <v>117.9</v>
      </c>
      <c r="W157">
        <v>31</v>
      </c>
      <c r="X157">
        <v>44.9</v>
      </c>
    </row>
    <row r="158" spans="1:27" x14ac:dyDescent="0.25">
      <c r="A158" t="s">
        <v>278</v>
      </c>
      <c r="B158" t="str">
        <f t="shared" si="13"/>
        <v>336x214</v>
      </c>
      <c r="C158">
        <v>336</v>
      </c>
      <c r="D158">
        <v>214</v>
      </c>
      <c r="E158">
        <v>383.93</v>
      </c>
      <c r="F158">
        <v>3.3000000000000002E-2</v>
      </c>
      <c r="G158">
        <v>350.2</v>
      </c>
      <c r="H158">
        <v>171.1</v>
      </c>
      <c r="I158">
        <v>47</v>
      </c>
      <c r="J158">
        <v>72.099999999999994</v>
      </c>
      <c r="K158">
        <v>7</v>
      </c>
      <c r="P158">
        <v>21</v>
      </c>
      <c r="Q158">
        <v>236.4</v>
      </c>
      <c r="R158">
        <v>152.5</v>
      </c>
      <c r="S158">
        <v>196.34</v>
      </c>
      <c r="T158">
        <v>3.4000000000000002E-2</v>
      </c>
      <c r="U158">
        <v>336.5</v>
      </c>
      <c r="V158">
        <v>118.8</v>
      </c>
      <c r="W158">
        <v>31</v>
      </c>
      <c r="X158">
        <v>43.8</v>
      </c>
    </row>
    <row r="159" spans="1:27" x14ac:dyDescent="0.25">
      <c r="A159" t="s">
        <v>279</v>
      </c>
      <c r="B159" t="str">
        <f t="shared" si="13"/>
        <v>341x219</v>
      </c>
      <c r="C159">
        <v>341</v>
      </c>
      <c r="D159">
        <v>219</v>
      </c>
      <c r="E159">
        <v>401.84</v>
      </c>
      <c r="F159">
        <v>3.3000000000000002E-2</v>
      </c>
      <c r="G159">
        <v>392.3</v>
      </c>
      <c r="H159">
        <v>172.7</v>
      </c>
      <c r="I159">
        <v>47</v>
      </c>
      <c r="J159">
        <v>69.900000000000006</v>
      </c>
      <c r="K159">
        <v>7</v>
      </c>
      <c r="P159">
        <v>22</v>
      </c>
      <c r="Q159">
        <v>238.6</v>
      </c>
      <c r="R159">
        <v>154.69999999999999</v>
      </c>
      <c r="S159">
        <v>202.23</v>
      </c>
      <c r="T159">
        <v>3.4000000000000002E-2</v>
      </c>
      <c r="U159">
        <v>374.3</v>
      </c>
      <c r="V159">
        <v>119.7</v>
      </c>
      <c r="W159">
        <v>31</v>
      </c>
      <c r="X159">
        <v>42.6</v>
      </c>
      <c r="Z159">
        <f>224.8/12</f>
        <v>18.733333333333334</v>
      </c>
      <c r="AA159">
        <f>244.8/12</f>
        <v>20.400000000000002</v>
      </c>
    </row>
    <row r="160" spans="1:27" x14ac:dyDescent="0.25">
      <c r="A160" t="s">
        <v>280</v>
      </c>
      <c r="B160" t="str">
        <f t="shared" si="13"/>
        <v>352x222</v>
      </c>
      <c r="C160">
        <v>352</v>
      </c>
      <c r="D160">
        <v>222</v>
      </c>
      <c r="E160">
        <v>416.48</v>
      </c>
      <c r="F160">
        <v>3.3000000000000002E-2</v>
      </c>
      <c r="G160">
        <v>361.1</v>
      </c>
      <c r="H160">
        <v>180.2</v>
      </c>
      <c r="I160">
        <v>47</v>
      </c>
      <c r="J160">
        <v>74.8</v>
      </c>
      <c r="K160">
        <v>7</v>
      </c>
      <c r="P160">
        <v>23</v>
      </c>
      <c r="Q160" s="81">
        <v>244.8</v>
      </c>
      <c r="R160">
        <v>156.4</v>
      </c>
      <c r="S160">
        <v>207.92</v>
      </c>
      <c r="T160">
        <v>3.4000000000000002E-2</v>
      </c>
      <c r="U160">
        <v>338.1</v>
      </c>
      <c r="V160">
        <v>123.2</v>
      </c>
      <c r="W160">
        <v>31</v>
      </c>
      <c r="X160">
        <v>45</v>
      </c>
      <c r="Z160">
        <f>156.4/12</f>
        <v>13.033333333333333</v>
      </c>
    </row>
    <row r="161" spans="1:24" x14ac:dyDescent="0.25">
      <c r="A161" t="s">
        <v>281</v>
      </c>
      <c r="B161" t="str">
        <f t="shared" si="13"/>
        <v>364x226</v>
      </c>
      <c r="C161">
        <v>364</v>
      </c>
      <c r="D161">
        <v>226</v>
      </c>
      <c r="E161">
        <v>434.31</v>
      </c>
      <c r="F161">
        <v>3.3000000000000002E-2</v>
      </c>
      <c r="G161">
        <v>339.1</v>
      </c>
      <c r="H161">
        <v>188.2</v>
      </c>
      <c r="I161">
        <v>47</v>
      </c>
      <c r="J161">
        <v>80</v>
      </c>
      <c r="K161">
        <v>7</v>
      </c>
      <c r="P161">
        <v>24</v>
      </c>
      <c r="Q161">
        <v>247</v>
      </c>
      <c r="R161">
        <v>158.6</v>
      </c>
      <c r="S161">
        <v>213.82</v>
      </c>
      <c r="T161">
        <v>3.4000000000000002E-2</v>
      </c>
      <c r="U161">
        <v>373.5</v>
      </c>
      <c r="V161">
        <v>124</v>
      </c>
      <c r="W161">
        <v>31</v>
      </c>
      <c r="X161">
        <v>43.8</v>
      </c>
    </row>
    <row r="163" spans="1:24" x14ac:dyDescent="0.25">
      <c r="O163">
        <v>7</v>
      </c>
      <c r="P163" t="s">
        <v>163</v>
      </c>
    </row>
    <row r="164" spans="1:24" x14ac:dyDescent="0.25">
      <c r="P164" t="s">
        <v>148</v>
      </c>
      <c r="Q164" t="s">
        <v>149</v>
      </c>
      <c r="R164" t="s">
        <v>52</v>
      </c>
      <c r="S164" t="s">
        <v>150</v>
      </c>
      <c r="T164" t="s">
        <v>151</v>
      </c>
      <c r="U164" t="s">
        <v>152</v>
      </c>
      <c r="V164" t="s">
        <v>153</v>
      </c>
      <c r="W164" t="s">
        <v>154</v>
      </c>
      <c r="X164" t="s">
        <v>155</v>
      </c>
    </row>
    <row r="165" spans="1:24" x14ac:dyDescent="0.25">
      <c r="P165">
        <v>1</v>
      </c>
      <c r="Q165">
        <v>240</v>
      </c>
      <c r="R165">
        <v>167</v>
      </c>
      <c r="S165">
        <v>216.59</v>
      </c>
      <c r="T165">
        <v>3.3000000000000002E-2</v>
      </c>
      <c r="U165">
        <v>223.6</v>
      </c>
      <c r="V165">
        <v>122.5</v>
      </c>
      <c r="W165">
        <v>47</v>
      </c>
      <c r="X165">
        <v>62.8</v>
      </c>
    </row>
    <row r="166" spans="1:24" x14ac:dyDescent="0.25">
      <c r="P166">
        <v>2</v>
      </c>
      <c r="Q166">
        <v>246</v>
      </c>
      <c r="R166">
        <v>171</v>
      </c>
      <c r="S166">
        <v>228.68</v>
      </c>
      <c r="T166">
        <v>3.3000000000000002E-2</v>
      </c>
      <c r="U166">
        <v>255.7</v>
      </c>
      <c r="V166">
        <v>124.7</v>
      </c>
      <c r="W166">
        <v>47</v>
      </c>
      <c r="X166">
        <v>61.4</v>
      </c>
    </row>
    <row r="167" spans="1:24" x14ac:dyDescent="0.25">
      <c r="P167">
        <v>3</v>
      </c>
      <c r="Q167">
        <v>257</v>
      </c>
      <c r="R167">
        <v>174</v>
      </c>
      <c r="S167">
        <v>240.06</v>
      </c>
      <c r="T167">
        <v>3.3000000000000002E-2</v>
      </c>
      <c r="U167">
        <v>236.7</v>
      </c>
      <c r="V167">
        <v>131.4</v>
      </c>
      <c r="W167">
        <v>47</v>
      </c>
      <c r="X167">
        <v>65.3</v>
      </c>
    </row>
    <row r="168" spans="1:24" x14ac:dyDescent="0.25">
      <c r="P168">
        <v>4</v>
      </c>
      <c r="Q168">
        <v>263</v>
      </c>
      <c r="R168">
        <v>179</v>
      </c>
      <c r="S168">
        <v>254.54</v>
      </c>
      <c r="T168">
        <v>3.3000000000000002E-2</v>
      </c>
      <c r="U168">
        <v>268.10000000000002</v>
      </c>
      <c r="V168">
        <v>133.5</v>
      </c>
      <c r="W168">
        <v>47</v>
      </c>
      <c r="X168">
        <v>63.7</v>
      </c>
    </row>
    <row r="169" spans="1:24" x14ac:dyDescent="0.25">
      <c r="P169">
        <v>5</v>
      </c>
      <c r="Q169">
        <v>269</v>
      </c>
      <c r="R169">
        <v>183</v>
      </c>
      <c r="S169">
        <v>267.48</v>
      </c>
      <c r="T169">
        <v>3.3000000000000002E-2</v>
      </c>
      <c r="U169">
        <v>307.10000000000002</v>
      </c>
      <c r="V169">
        <v>135.5</v>
      </c>
      <c r="W169">
        <v>47</v>
      </c>
      <c r="X169">
        <v>62.1</v>
      </c>
    </row>
    <row r="170" spans="1:24" x14ac:dyDescent="0.25">
      <c r="P170">
        <v>6</v>
      </c>
      <c r="Q170">
        <v>280</v>
      </c>
      <c r="R170">
        <v>187</v>
      </c>
      <c r="S170">
        <v>281.73</v>
      </c>
      <c r="T170">
        <v>3.3000000000000002E-2</v>
      </c>
      <c r="U170">
        <v>280.2</v>
      </c>
      <c r="V170">
        <v>142.4</v>
      </c>
      <c r="W170">
        <v>47</v>
      </c>
      <c r="X170">
        <v>66.2</v>
      </c>
    </row>
    <row r="171" spans="1:24" x14ac:dyDescent="0.25">
      <c r="P171">
        <v>7</v>
      </c>
      <c r="Q171">
        <v>290</v>
      </c>
      <c r="R171">
        <v>191</v>
      </c>
      <c r="S171">
        <v>295.89</v>
      </c>
      <c r="T171">
        <v>3.3000000000000002E-2</v>
      </c>
      <c r="U171">
        <v>262.10000000000002</v>
      </c>
      <c r="V171">
        <v>149.69999999999999</v>
      </c>
      <c r="W171">
        <v>47</v>
      </c>
      <c r="X171">
        <v>70.7</v>
      </c>
    </row>
    <row r="172" spans="1:24" x14ac:dyDescent="0.25">
      <c r="P172">
        <v>8</v>
      </c>
      <c r="Q172">
        <v>296</v>
      </c>
      <c r="R172">
        <v>194</v>
      </c>
      <c r="S172">
        <v>307.8</v>
      </c>
      <c r="T172">
        <v>3.3000000000000002E-2</v>
      </c>
      <c r="U172">
        <v>292.2</v>
      </c>
      <c r="V172">
        <v>151.4</v>
      </c>
      <c r="W172">
        <v>47</v>
      </c>
      <c r="X172">
        <v>68.8</v>
      </c>
    </row>
    <row r="173" spans="1:24" x14ac:dyDescent="0.25">
      <c r="P173">
        <v>9</v>
      </c>
      <c r="Q173">
        <v>302</v>
      </c>
      <c r="R173">
        <v>199</v>
      </c>
      <c r="S173">
        <v>324.16000000000003</v>
      </c>
      <c r="T173">
        <v>3.3000000000000002E-2</v>
      </c>
      <c r="U173">
        <v>328.6</v>
      </c>
      <c r="V173">
        <v>153.19999999999999</v>
      </c>
      <c r="W173">
        <v>47</v>
      </c>
      <c r="X173">
        <v>66.900000000000006</v>
      </c>
    </row>
    <row r="174" spans="1:24" x14ac:dyDescent="0.25">
      <c r="P174">
        <v>10</v>
      </c>
      <c r="Q174">
        <v>307</v>
      </c>
      <c r="R174">
        <v>203</v>
      </c>
      <c r="S174">
        <v>338.46</v>
      </c>
      <c r="T174">
        <v>3.3000000000000002E-2</v>
      </c>
      <c r="U174">
        <v>373.3</v>
      </c>
      <c r="V174">
        <v>155</v>
      </c>
      <c r="W174">
        <v>47</v>
      </c>
      <c r="X174">
        <v>64.8</v>
      </c>
    </row>
    <row r="175" spans="1:24" x14ac:dyDescent="0.25">
      <c r="P175">
        <v>11</v>
      </c>
      <c r="Q175">
        <v>319</v>
      </c>
      <c r="R175">
        <v>207</v>
      </c>
      <c r="S175">
        <v>354.57</v>
      </c>
      <c r="T175">
        <v>3.3000000000000002E-2</v>
      </c>
      <c r="U175">
        <v>339.4</v>
      </c>
      <c r="V175">
        <v>162.1</v>
      </c>
      <c r="W175">
        <v>47</v>
      </c>
      <c r="X175">
        <v>69.400000000000006</v>
      </c>
    </row>
    <row r="176" spans="1:24" x14ac:dyDescent="0.25">
      <c r="P176">
        <v>12</v>
      </c>
      <c r="Q176">
        <v>330</v>
      </c>
      <c r="R176">
        <v>210</v>
      </c>
      <c r="S176">
        <v>368.43</v>
      </c>
      <c r="T176">
        <v>3.3000000000000002E-2</v>
      </c>
      <c r="U176">
        <v>315.8</v>
      </c>
      <c r="V176">
        <v>169.6</v>
      </c>
      <c r="W176">
        <v>47</v>
      </c>
      <c r="X176">
        <v>74.2</v>
      </c>
    </row>
    <row r="177" spans="16:24" x14ac:dyDescent="0.25">
      <c r="P177">
        <v>13</v>
      </c>
      <c r="Q177">
        <v>336</v>
      </c>
      <c r="R177">
        <v>214</v>
      </c>
      <c r="S177">
        <v>383.93</v>
      </c>
      <c r="T177">
        <v>3.3000000000000002E-2</v>
      </c>
      <c r="U177">
        <v>350.2</v>
      </c>
      <c r="V177">
        <v>171.1</v>
      </c>
      <c r="W177">
        <v>47</v>
      </c>
      <c r="X177">
        <v>72.099999999999994</v>
      </c>
    </row>
    <row r="178" spans="16:24" x14ac:dyDescent="0.25">
      <c r="P178">
        <v>14</v>
      </c>
      <c r="Q178">
        <v>341</v>
      </c>
      <c r="R178">
        <v>219</v>
      </c>
      <c r="S178">
        <v>401.84</v>
      </c>
      <c r="T178">
        <v>3.3000000000000002E-2</v>
      </c>
      <c r="U178">
        <v>392.3</v>
      </c>
      <c r="V178">
        <v>172.7</v>
      </c>
      <c r="W178">
        <v>47</v>
      </c>
      <c r="X178">
        <v>69.900000000000006</v>
      </c>
    </row>
    <row r="179" spans="16:24" x14ac:dyDescent="0.25">
      <c r="P179">
        <v>15</v>
      </c>
      <c r="Q179">
        <v>352</v>
      </c>
      <c r="R179">
        <v>222</v>
      </c>
      <c r="S179">
        <v>416.48</v>
      </c>
      <c r="T179">
        <v>3.3000000000000002E-2</v>
      </c>
      <c r="U179">
        <v>361.1</v>
      </c>
      <c r="V179">
        <v>180.2</v>
      </c>
      <c r="W179">
        <v>47</v>
      </c>
      <c r="X179">
        <v>74.8</v>
      </c>
    </row>
    <row r="180" spans="16:24" x14ac:dyDescent="0.25">
      <c r="P180">
        <v>16</v>
      </c>
      <c r="Q180">
        <v>364</v>
      </c>
      <c r="R180">
        <v>226</v>
      </c>
      <c r="S180">
        <v>434.31</v>
      </c>
      <c r="T180">
        <v>3.3000000000000002E-2</v>
      </c>
      <c r="U180">
        <v>339.1</v>
      </c>
      <c r="V180">
        <v>188.2</v>
      </c>
      <c r="W180">
        <v>47</v>
      </c>
      <c r="X180">
        <v>80</v>
      </c>
    </row>
  </sheetData>
  <autoFilter ref="A43:J43" xr:uid="{984F7143-525C-4312-A35F-66995C6BB524}">
    <sortState xmlns:xlrd2="http://schemas.microsoft.com/office/spreadsheetml/2017/richdata2" ref="A44:J160">
      <sortCondition ref="C43"/>
    </sortState>
  </autoFilter>
  <mergeCells count="4">
    <mergeCell ref="G3:J3"/>
    <mergeCell ref="A1:K1"/>
    <mergeCell ref="A2:C2"/>
    <mergeCell ref="C20:F29"/>
  </mergeCells>
  <conditionalFormatting sqref="B9">
    <cfRule type="cellIs" dxfId="7" priority="1" operator="equal">
      <formula>"244.8x156.4"</formula>
    </cfRule>
  </conditionalFormatting>
  <conditionalFormatting sqref="C10">
    <cfRule type="cellIs" dxfId="6" priority="2" operator="equal">
      <formula>"*current 18 in. corner radii"</formula>
    </cfRule>
  </conditionalFormatting>
  <conditionalFormatting sqref="C20">
    <cfRule type="containsText" dxfId="5" priority="3" operator="containsText" text="HY8">
      <formula>NOT(ISERROR(SEARCH("HY8",C20)))</formula>
    </cfRule>
  </conditionalFormatting>
  <dataValidations count="1">
    <dataValidation type="list" allowBlank="1" showInputMessage="1" showErrorMessage="1" sqref="B9" xr:uid="{9737F92D-FB9E-4579-8FBF-12C4E39E9A35}">
      <formula1>$A$44:$A$161</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B1F78-9EAD-4E04-ADC3-87573F207595}">
  <sheetPr>
    <tabColor rgb="FF92D050"/>
  </sheetPr>
  <dimension ref="A1:BD163"/>
  <sheetViews>
    <sheetView zoomScale="85" zoomScaleNormal="85" workbookViewId="0">
      <selection activeCell="AE8" sqref="AE8:AF11"/>
    </sheetView>
  </sheetViews>
  <sheetFormatPr defaultRowHeight="15" x14ac:dyDescent="0.25"/>
  <cols>
    <col min="1" max="1" width="31.7109375" customWidth="1"/>
    <col min="3" max="3" width="11.28515625" customWidth="1"/>
    <col min="6" max="6" width="13" customWidth="1"/>
    <col min="12" max="12" width="19" hidden="1" customWidth="1"/>
    <col min="36" max="36" width="9.140625" hidden="1" customWidth="1"/>
    <col min="44" max="44" width="11" customWidth="1"/>
    <col min="45" max="45" width="13.85546875" customWidth="1"/>
    <col min="46" max="52" width="11" customWidth="1"/>
  </cols>
  <sheetData>
    <row r="1" spans="1:56" ht="21" x14ac:dyDescent="0.35">
      <c r="A1" s="89" t="s">
        <v>103</v>
      </c>
      <c r="B1" s="89"/>
      <c r="C1" s="89"/>
      <c r="D1" s="89"/>
      <c r="E1" s="89"/>
      <c r="F1" s="89"/>
      <c r="G1" s="89"/>
      <c r="H1" s="89"/>
      <c r="I1" s="89"/>
      <c r="J1" s="89"/>
      <c r="K1" s="89"/>
      <c r="L1" s="5"/>
    </row>
    <row r="2" spans="1:56" ht="15.75" thickBot="1" x14ac:dyDescent="0.3">
      <c r="A2" s="93" t="s">
        <v>23</v>
      </c>
      <c r="B2" s="94"/>
      <c r="C2" s="95"/>
      <c r="D2" s="5"/>
      <c r="E2" s="5"/>
      <c r="F2" s="5"/>
      <c r="G2" s="5"/>
      <c r="H2" s="5"/>
      <c r="I2" s="5"/>
      <c r="J2" s="5"/>
      <c r="K2" s="5"/>
      <c r="L2" s="5"/>
    </row>
    <row r="3" spans="1:56" x14ac:dyDescent="0.25">
      <c r="A3" s="28"/>
      <c r="B3" s="28" t="s">
        <v>0</v>
      </c>
      <c r="C3" s="28"/>
      <c r="D3" s="5"/>
      <c r="E3" s="5"/>
      <c r="F3" s="5"/>
      <c r="G3" s="86" t="s">
        <v>22</v>
      </c>
      <c r="H3" s="87"/>
      <c r="I3" s="87"/>
      <c r="J3" s="88"/>
      <c r="K3" s="5"/>
      <c r="L3" s="23" t="s">
        <v>25</v>
      </c>
    </row>
    <row r="4" spans="1:56" x14ac:dyDescent="0.25">
      <c r="A4" s="28" t="s">
        <v>40</v>
      </c>
      <c r="B4" s="28" t="e">
        <f>CMPA!B11</f>
        <v>#N/A</v>
      </c>
      <c r="C4" s="28" t="s">
        <v>6</v>
      </c>
      <c r="D4" s="5"/>
      <c r="E4" s="5"/>
      <c r="F4" s="5"/>
      <c r="G4" s="14"/>
      <c r="H4" s="4" t="s">
        <v>11</v>
      </c>
      <c r="I4" s="4" t="s">
        <v>12</v>
      </c>
      <c r="J4" s="15" t="s">
        <v>13</v>
      </c>
      <c r="K4" s="5"/>
      <c r="L4" s="5"/>
    </row>
    <row r="5" spans="1:56" x14ac:dyDescent="0.25">
      <c r="A5" s="28" t="s">
        <v>41</v>
      </c>
      <c r="B5" s="28" t="e">
        <f>CMPA!B12</f>
        <v>#N/A</v>
      </c>
      <c r="C5" s="28" t="s">
        <v>6</v>
      </c>
      <c r="D5" s="5"/>
      <c r="E5" s="5"/>
      <c r="F5" s="5"/>
      <c r="G5" s="14">
        <v>1</v>
      </c>
      <c r="H5" s="16" t="e">
        <f t="shared" ref="H5:H23" si="0">T145</f>
        <v>#N/A</v>
      </c>
      <c r="I5" s="16" t="e">
        <f t="shared" ref="I5:I23" si="1">U145</f>
        <v>#N/A</v>
      </c>
      <c r="J5" s="16" t="e">
        <f t="shared" ref="J5:J23" si="2">V145</f>
        <v>#N/A</v>
      </c>
      <c r="K5" s="5"/>
      <c r="L5" s="23" t="e">
        <f>(I5+I6)/2*(H6-H5)-(J5+J6)/2*(H6-H5)</f>
        <v>#N/A</v>
      </c>
    </row>
    <row r="6" spans="1:56" ht="15" customHeight="1" x14ac:dyDescent="0.25">
      <c r="A6" s="28" t="s">
        <v>38</v>
      </c>
      <c r="B6" s="28">
        <v>3</v>
      </c>
      <c r="C6" s="28" t="s">
        <v>6</v>
      </c>
      <c r="D6" s="5"/>
      <c r="E6" s="39"/>
      <c r="F6" s="40"/>
      <c r="G6" s="14">
        <v>2</v>
      </c>
      <c r="H6" s="16" t="e">
        <f t="shared" si="0"/>
        <v>#N/A</v>
      </c>
      <c r="I6" s="16" t="e">
        <f t="shared" si="1"/>
        <v>#N/A</v>
      </c>
      <c r="J6" s="16" t="e">
        <f t="shared" si="2"/>
        <v>#N/A</v>
      </c>
      <c r="K6" s="5"/>
      <c r="L6" s="23" t="e">
        <f t="shared" ref="L6:L9" si="3">(I6+I7)/2*(H7-H6)-(J6+J7)/2*(H7-H6)</f>
        <v>#N/A</v>
      </c>
      <c r="AE6" t="s">
        <v>117</v>
      </c>
    </row>
    <row r="7" spans="1:56" x14ac:dyDescent="0.25">
      <c r="A7" s="4" t="s">
        <v>56</v>
      </c>
      <c r="B7" s="3"/>
      <c r="C7" s="4" t="s">
        <v>6</v>
      </c>
      <c r="D7" s="5"/>
      <c r="E7" s="39"/>
      <c r="F7" s="40"/>
      <c r="G7" s="14">
        <v>3</v>
      </c>
      <c r="H7" s="16" t="e">
        <f t="shared" si="0"/>
        <v>#N/A</v>
      </c>
      <c r="I7" s="16" t="e">
        <f t="shared" si="1"/>
        <v>#N/A</v>
      </c>
      <c r="J7" s="16" t="e">
        <f t="shared" si="2"/>
        <v>#N/A</v>
      </c>
      <c r="K7" s="5"/>
      <c r="L7" s="23" t="e">
        <f t="shared" si="3"/>
        <v>#N/A</v>
      </c>
      <c r="AE7" t="s">
        <v>11</v>
      </c>
      <c r="AF7" t="s">
        <v>118</v>
      </c>
      <c r="AI7" t="s">
        <v>67</v>
      </c>
      <c r="AN7" t="s">
        <v>91</v>
      </c>
    </row>
    <row r="8" spans="1:56" x14ac:dyDescent="0.25">
      <c r="A8" s="28" t="s">
        <v>42</v>
      </c>
      <c r="B8" s="28" t="e">
        <f>IF(ISBLANK(B7),B5-B6,B7)</f>
        <v>#N/A</v>
      </c>
      <c r="C8" s="28" t="s">
        <v>6</v>
      </c>
      <c r="D8" s="5"/>
      <c r="E8" s="39"/>
      <c r="F8" s="40"/>
      <c r="G8" s="14">
        <v>4</v>
      </c>
      <c r="H8" s="16" t="e">
        <f t="shared" si="0"/>
        <v>#N/A</v>
      </c>
      <c r="I8" s="16" t="e">
        <f t="shared" si="1"/>
        <v>#N/A</v>
      </c>
      <c r="J8" s="16" t="e">
        <f t="shared" si="2"/>
        <v>#N/A</v>
      </c>
      <c r="K8" s="5"/>
      <c r="L8" s="23" t="e">
        <f t="shared" si="3"/>
        <v>#N/A</v>
      </c>
      <c r="AD8" t="s">
        <v>119</v>
      </c>
      <c r="AE8" s="1" t="e">
        <f>IF(ISBLANK(CMPA!$B$4),"",-CMPA!$B$4/2)/12</f>
        <v>#VALUE!</v>
      </c>
      <c r="AF8">
        <f>CMPA!$B$5/12</f>
        <v>0</v>
      </c>
      <c r="AI8" t="s">
        <v>20</v>
      </c>
      <c r="AN8" t="s">
        <v>20</v>
      </c>
      <c r="AR8" t="s">
        <v>125</v>
      </c>
      <c r="AS8" s="34" t="s">
        <v>124</v>
      </c>
      <c r="AT8" s="34" t="s">
        <v>126</v>
      </c>
      <c r="AU8" s="34" t="s">
        <v>127</v>
      </c>
      <c r="AV8" s="34" t="s">
        <v>128</v>
      </c>
      <c r="AW8" s="34" t="s">
        <v>129</v>
      </c>
      <c r="AX8" s="34" t="s">
        <v>130</v>
      </c>
      <c r="AY8" s="34" t="s">
        <v>131</v>
      </c>
      <c r="AZ8" s="34" t="s">
        <v>132</v>
      </c>
      <c r="BB8" t="s">
        <v>139</v>
      </c>
    </row>
    <row r="9" spans="1:56" x14ac:dyDescent="0.25">
      <c r="A9" s="28" t="s">
        <v>299</v>
      </c>
      <c r="B9" s="28" t="e">
        <f>'HDPE Liner'!G38</f>
        <v>#N/A</v>
      </c>
      <c r="C9" s="28" t="s">
        <v>105</v>
      </c>
      <c r="D9" s="5"/>
      <c r="E9" s="5"/>
      <c r="F9" s="5"/>
      <c r="G9" s="14">
        <v>5</v>
      </c>
      <c r="H9" s="16" t="e">
        <f t="shared" si="0"/>
        <v>#N/A</v>
      </c>
      <c r="I9" s="16" t="e">
        <f t="shared" si="1"/>
        <v>#N/A</v>
      </c>
      <c r="J9" s="16" t="e">
        <f t="shared" si="2"/>
        <v>#N/A</v>
      </c>
      <c r="K9" s="5"/>
      <c r="L9" s="23" t="e">
        <f t="shared" si="3"/>
        <v>#N/A</v>
      </c>
      <c r="AE9" s="1" t="e">
        <f>IF(ISBLANK(CMPA!$B$4),"",CMPA!$B$4/2)/12</f>
        <v>#VALUE!</v>
      </c>
      <c r="AF9">
        <f>CMPA!$B$5/12</f>
        <v>0</v>
      </c>
      <c r="AI9" s="1" t="e">
        <f t="shared" ref="AI9:AI18" si="4">H14</f>
        <v>#N/A</v>
      </c>
      <c r="AJ9" s="2" t="e">
        <f t="shared" ref="AJ9:AJ18" si="5">I14</f>
        <v>#N/A</v>
      </c>
      <c r="AK9" s="2" t="e">
        <f>AJ9</f>
        <v>#N/A</v>
      </c>
      <c r="AM9" s="75" t="e">
        <f t="shared" ref="AM9:AM17" si="6">-(ABS(1/($C$119/12))*($D$119/12)*AN9)/(SQRT(($C$119/12)^2-AN9^2))</f>
        <v>#N/A</v>
      </c>
      <c r="AN9" s="1" t="e">
        <f t="shared" ref="AN9:AN18" si="7">P154</f>
        <v>#N/A</v>
      </c>
      <c r="AO9" s="1" t="e">
        <f t="shared" ref="AO9:AO18" si="8">Q154</f>
        <v>#N/A</v>
      </c>
      <c r="AR9" t="s">
        <v>122</v>
      </c>
      <c r="AS9" s="2" t="e">
        <f>CMPA!AH10</f>
        <v>#N/A</v>
      </c>
      <c r="AT9" s="2" t="e">
        <f>CMPA!AH11</f>
        <v>#N/A</v>
      </c>
      <c r="AU9" s="2" t="e">
        <f>CMPA!AH12</f>
        <v>#N/A</v>
      </c>
      <c r="AV9" s="2" t="e">
        <f>CMPA!AH13</f>
        <v>#N/A</v>
      </c>
      <c r="AW9" s="2" t="e">
        <f>CMPA!AH14</f>
        <v>#N/A</v>
      </c>
      <c r="AX9" s="2" t="e">
        <f>CMPA!AH15</f>
        <v>#N/A</v>
      </c>
      <c r="AY9" s="2" t="e">
        <f>CMPA!AH16</f>
        <v>#N/A</v>
      </c>
      <c r="AZ9" s="2" t="e">
        <f>CMPA!AH17</f>
        <v>#N/A</v>
      </c>
      <c r="BB9" s="1" t="e">
        <f>CMPA!AH9</f>
        <v>#N/A</v>
      </c>
      <c r="BC9" s="1">
        <f>CMPA!AI9</f>
        <v>0</v>
      </c>
      <c r="BD9" s="1" t="e">
        <f>CMPA!AJ9</f>
        <v>#N/A</v>
      </c>
    </row>
    <row r="10" spans="1:56" x14ac:dyDescent="0.25">
      <c r="A10" s="4" t="s">
        <v>147</v>
      </c>
      <c r="B10" s="45"/>
      <c r="C10" s="4" t="s">
        <v>105</v>
      </c>
      <c r="D10" s="82"/>
      <c r="E10" s="5"/>
      <c r="F10" s="5"/>
      <c r="G10" s="14">
        <v>6</v>
      </c>
      <c r="H10" s="16" t="e">
        <f t="shared" si="0"/>
        <v>#N/A</v>
      </c>
      <c r="I10" s="16" t="e">
        <f t="shared" si="1"/>
        <v>#N/A</v>
      </c>
      <c r="J10" s="16" t="e">
        <f t="shared" si="2"/>
        <v>#N/A</v>
      </c>
      <c r="K10" s="5"/>
      <c r="L10" s="23" t="e">
        <f>(I10+I11)/2*(H11-H10)-(J10+J11)/2*(H11-H10)</f>
        <v>#N/A</v>
      </c>
      <c r="AD10" t="s">
        <v>120</v>
      </c>
      <c r="AE10" s="1" t="e">
        <f>IF(ISBLANK(CMPA!$B$5),"",-CMPA!$B$4/2)/12</f>
        <v>#VALUE!</v>
      </c>
      <c r="AF10">
        <v>0</v>
      </c>
      <c r="AI10" s="1" t="e">
        <f t="shared" si="4"/>
        <v>#N/A</v>
      </c>
      <c r="AJ10" s="2" t="e">
        <f t="shared" si="5"/>
        <v>#N/A</v>
      </c>
      <c r="AK10" s="2" t="e">
        <f>AJ10</f>
        <v>#N/A</v>
      </c>
      <c r="AM10" s="75" t="e">
        <f t="shared" si="6"/>
        <v>#N/A</v>
      </c>
      <c r="AN10" s="1" t="e">
        <f t="shared" si="7"/>
        <v>#N/A</v>
      </c>
      <c r="AO10" s="1" t="e">
        <f t="shared" si="8"/>
        <v>#N/A</v>
      </c>
      <c r="AR10" t="e">
        <f t="shared" ref="AR10:AR17" si="9">-(ABS(1/($C$119/12))*($D$119/12)*AN10)/(SQRT(($C$119/12)^2-AN10^2))</f>
        <v>#N/A</v>
      </c>
      <c r="AS10" s="17" t="e">
        <f>ABS($AS$9-AR10)</f>
        <v>#N/A</v>
      </c>
      <c r="AT10" s="17" t="e">
        <f>ABS($AT$9-AR10)</f>
        <v>#N/A</v>
      </c>
      <c r="AU10" s="17" t="e">
        <f>ABS($AU$9-AR10)</f>
        <v>#N/A</v>
      </c>
      <c r="AV10" s="17" t="e">
        <f>ABS($AV$9-AR10)</f>
        <v>#N/A</v>
      </c>
      <c r="AW10" s="17" t="e">
        <f>ABS($AW$9-AR10)</f>
        <v>#N/A</v>
      </c>
      <c r="AX10" s="17" t="e">
        <f>ABS($AX$9-AR10)</f>
        <v>#N/A</v>
      </c>
      <c r="AY10" s="17" t="e">
        <f>ABS($AY$9-AR10)</f>
        <v>#N/A</v>
      </c>
      <c r="AZ10" s="17" t="e">
        <f>ABS($AZ$9-AR10)</f>
        <v>#N/A</v>
      </c>
      <c r="BB10" s="1" t="e">
        <f>CMPA!AH10</f>
        <v>#N/A</v>
      </c>
      <c r="BC10" s="1" t="e">
        <f>CMPA!AI10</f>
        <v>#N/A</v>
      </c>
      <c r="BD10" s="1" t="e">
        <f>CMPA!AJ10</f>
        <v>#N/A</v>
      </c>
    </row>
    <row r="11" spans="1:56" x14ac:dyDescent="0.25">
      <c r="A11" s="28" t="s">
        <v>68</v>
      </c>
      <c r="B11" s="38" t="e">
        <f>D100</f>
        <v>#N/A</v>
      </c>
      <c r="C11" s="28"/>
      <c r="D11" s="5"/>
      <c r="E11" s="5"/>
      <c r="F11" s="5"/>
      <c r="G11" s="14">
        <v>7</v>
      </c>
      <c r="H11" s="16" t="e">
        <f t="shared" si="0"/>
        <v>#N/A</v>
      </c>
      <c r="I11" s="16" t="e">
        <f t="shared" si="1"/>
        <v>#N/A</v>
      </c>
      <c r="J11" s="16" t="e">
        <f t="shared" si="2"/>
        <v>#N/A</v>
      </c>
      <c r="K11" s="5"/>
      <c r="L11" s="23"/>
      <c r="AE11" s="1" t="e">
        <f>IF(ISBLANK(CMPA!$B$5),"",-CMPA!$B$4/2)/12</f>
        <v>#VALUE!</v>
      </c>
      <c r="AF11" t="e">
        <f>IF(AE11="","",AF8)</f>
        <v>#VALUE!</v>
      </c>
      <c r="AI11" s="1" t="e">
        <f t="shared" si="4"/>
        <v>#N/A</v>
      </c>
      <c r="AJ11" s="2" t="e">
        <f t="shared" si="5"/>
        <v>#N/A</v>
      </c>
      <c r="AK11" s="2" t="e">
        <f t="shared" ref="AK11:AK45" si="10">AJ11</f>
        <v>#N/A</v>
      </c>
      <c r="AM11" s="75" t="e">
        <f t="shared" si="6"/>
        <v>#N/A</v>
      </c>
      <c r="AN11" s="1" t="e">
        <f t="shared" si="7"/>
        <v>#N/A</v>
      </c>
      <c r="AO11" s="1" t="e">
        <f t="shared" si="8"/>
        <v>#N/A</v>
      </c>
      <c r="AR11" t="e">
        <f t="shared" si="9"/>
        <v>#N/A</v>
      </c>
      <c r="AS11" s="17" t="e">
        <f t="shared" ref="AS11:AS17" si="11">ABS($AS$9-AR11)</f>
        <v>#N/A</v>
      </c>
      <c r="AT11" s="17" t="e">
        <f t="shared" ref="AT11:AT17" si="12">ABS($AT$9-AR11)</f>
        <v>#N/A</v>
      </c>
      <c r="AU11" s="17" t="e">
        <f t="shared" ref="AU11:AU17" si="13">ABS($AU$9-AR11)</f>
        <v>#N/A</v>
      </c>
      <c r="AV11" s="17" t="e">
        <f t="shared" ref="AV11:AV17" si="14">ABS($AV$9-AR11)</f>
        <v>#N/A</v>
      </c>
      <c r="AW11" s="17" t="e">
        <f t="shared" ref="AW11:AW17" si="15">ABS($AW$9-AR11)</f>
        <v>#N/A</v>
      </c>
      <c r="AX11" s="17" t="e">
        <f t="shared" ref="AX11:AX17" si="16">ABS($AX$9-AR11)</f>
        <v>#N/A</v>
      </c>
      <c r="AY11" s="17" t="e">
        <f t="shared" ref="AY11:AY17" si="17">ABS($AY$9-AR11)</f>
        <v>#N/A</v>
      </c>
      <c r="AZ11" s="17" t="e">
        <f t="shared" ref="AZ11:AZ17" si="18">ABS($AZ$9-AR11)</f>
        <v>#N/A</v>
      </c>
      <c r="BB11" s="1" t="e">
        <f>CMPA!AH11</f>
        <v>#N/A</v>
      </c>
      <c r="BC11" s="1" t="e">
        <f>CMPA!AI11</f>
        <v>#N/A</v>
      </c>
      <c r="BD11" s="1" t="e">
        <f>CMPA!AJ11</f>
        <v>#N/A</v>
      </c>
    </row>
    <row r="12" spans="1:56" x14ac:dyDescent="0.25">
      <c r="A12" s="5"/>
      <c r="B12" s="5"/>
      <c r="C12" s="5"/>
      <c r="D12" s="5"/>
      <c r="E12" s="5"/>
      <c r="F12" s="5"/>
      <c r="G12" s="14">
        <v>8</v>
      </c>
      <c r="H12" s="16" t="e">
        <f t="shared" si="0"/>
        <v>#N/A</v>
      </c>
      <c r="I12" s="16" t="e">
        <f t="shared" si="1"/>
        <v>#N/A</v>
      </c>
      <c r="J12" s="16" t="e">
        <f t="shared" si="2"/>
        <v>#N/A</v>
      </c>
      <c r="K12" s="5"/>
      <c r="L12" s="23"/>
      <c r="AI12" s="1" t="e">
        <f t="shared" si="4"/>
        <v>#N/A</v>
      </c>
      <c r="AJ12" s="2" t="e">
        <f t="shared" si="5"/>
        <v>#N/A</v>
      </c>
      <c r="AK12" s="2" t="e">
        <f t="shared" si="10"/>
        <v>#N/A</v>
      </c>
      <c r="AM12" s="75" t="e">
        <f t="shared" si="6"/>
        <v>#N/A</v>
      </c>
      <c r="AN12" s="1" t="e">
        <f t="shared" si="7"/>
        <v>#N/A</v>
      </c>
      <c r="AO12" s="1" t="e">
        <f t="shared" si="8"/>
        <v>#N/A</v>
      </c>
      <c r="AR12" t="e">
        <f t="shared" si="9"/>
        <v>#N/A</v>
      </c>
      <c r="AS12" s="17" t="e">
        <f t="shared" si="11"/>
        <v>#N/A</v>
      </c>
      <c r="AT12" s="17" t="e">
        <f t="shared" si="12"/>
        <v>#N/A</v>
      </c>
      <c r="AU12" s="17" t="e">
        <f t="shared" si="13"/>
        <v>#N/A</v>
      </c>
      <c r="AV12" s="17" t="e">
        <f t="shared" si="14"/>
        <v>#N/A</v>
      </c>
      <c r="AW12" s="17" t="e">
        <f t="shared" si="15"/>
        <v>#N/A</v>
      </c>
      <c r="AX12" s="17" t="e">
        <f t="shared" si="16"/>
        <v>#N/A</v>
      </c>
      <c r="AY12" s="17" t="e">
        <f t="shared" si="17"/>
        <v>#N/A</v>
      </c>
      <c r="AZ12" s="17" t="e">
        <f t="shared" si="18"/>
        <v>#N/A</v>
      </c>
      <c r="BB12" s="1" t="e">
        <f>CMPA!AH12</f>
        <v>#N/A</v>
      </c>
      <c r="BC12" s="1" t="e">
        <f>CMPA!AI12</f>
        <v>#N/A</v>
      </c>
      <c r="BD12" s="1" t="e">
        <f>CMPA!AJ12</f>
        <v>#N/A</v>
      </c>
    </row>
    <row r="13" spans="1:56" x14ac:dyDescent="0.25">
      <c r="A13" s="5"/>
      <c r="B13" s="5"/>
      <c r="C13" s="5"/>
      <c r="D13" s="5"/>
      <c r="E13" s="5"/>
      <c r="F13" s="5"/>
      <c r="G13" s="14">
        <v>9</v>
      </c>
      <c r="H13" s="16" t="e">
        <f t="shared" si="0"/>
        <v>#N/A</v>
      </c>
      <c r="I13" s="16" t="e">
        <f t="shared" si="1"/>
        <v>#N/A</v>
      </c>
      <c r="J13" s="16" t="e">
        <f t="shared" si="2"/>
        <v>#N/A</v>
      </c>
      <c r="K13" s="5"/>
      <c r="L13" s="23" t="e">
        <f t="shared" ref="L13:L24" si="19">(I11+I12)/2*(H12-H11)-(J11+J12)/2*(H12-H11)</f>
        <v>#N/A</v>
      </c>
      <c r="AI13" s="1" t="e">
        <f t="shared" si="4"/>
        <v>#N/A</v>
      </c>
      <c r="AJ13" s="2" t="e">
        <f t="shared" si="5"/>
        <v>#N/A</v>
      </c>
      <c r="AK13" s="2" t="e">
        <f t="shared" si="10"/>
        <v>#N/A</v>
      </c>
      <c r="AM13" s="75" t="e">
        <f t="shared" si="6"/>
        <v>#N/A</v>
      </c>
      <c r="AN13" s="1" t="e">
        <f t="shared" si="7"/>
        <v>#N/A</v>
      </c>
      <c r="AO13" s="1" t="e">
        <f t="shared" si="8"/>
        <v>#N/A</v>
      </c>
      <c r="AR13" t="e">
        <f t="shared" si="9"/>
        <v>#N/A</v>
      </c>
      <c r="AS13" s="17" t="e">
        <f t="shared" si="11"/>
        <v>#N/A</v>
      </c>
      <c r="AT13" s="17" t="e">
        <f t="shared" si="12"/>
        <v>#N/A</v>
      </c>
      <c r="AU13" s="17" t="e">
        <f t="shared" si="13"/>
        <v>#N/A</v>
      </c>
      <c r="AV13" s="17" t="e">
        <f t="shared" si="14"/>
        <v>#N/A</v>
      </c>
      <c r="AW13" s="17" t="e">
        <f t="shared" si="15"/>
        <v>#N/A</v>
      </c>
      <c r="AX13" s="17" t="e">
        <f t="shared" si="16"/>
        <v>#N/A</v>
      </c>
      <c r="AY13" s="17" t="e">
        <f t="shared" si="17"/>
        <v>#N/A</v>
      </c>
      <c r="AZ13" s="17" t="e">
        <f t="shared" si="18"/>
        <v>#N/A</v>
      </c>
      <c r="BB13" s="1" t="e">
        <f>CMPA!AH13</f>
        <v>#N/A</v>
      </c>
      <c r="BC13" s="1" t="e">
        <f>CMPA!AI13</f>
        <v>#N/A</v>
      </c>
      <c r="BD13" s="1" t="e">
        <f>CMPA!AJ13</f>
        <v>#N/A</v>
      </c>
    </row>
    <row r="14" spans="1:56" x14ac:dyDescent="0.25">
      <c r="A14" s="93" t="s">
        <v>92</v>
      </c>
      <c r="B14" s="94"/>
      <c r="C14" s="95"/>
      <c r="D14" s="5"/>
      <c r="E14" s="5"/>
      <c r="F14" s="5"/>
      <c r="G14" s="14">
        <v>10</v>
      </c>
      <c r="H14" s="16" t="e">
        <f t="shared" si="0"/>
        <v>#N/A</v>
      </c>
      <c r="I14" s="16" t="e">
        <f t="shared" si="1"/>
        <v>#N/A</v>
      </c>
      <c r="J14" s="16" t="e">
        <f t="shared" si="2"/>
        <v>#N/A</v>
      </c>
      <c r="K14" s="5"/>
      <c r="L14" s="23" t="e">
        <f t="shared" si="19"/>
        <v>#N/A</v>
      </c>
      <c r="AI14" s="1" t="e">
        <f t="shared" si="4"/>
        <v>#N/A</v>
      </c>
      <c r="AJ14" s="2" t="e">
        <f t="shared" si="5"/>
        <v>#N/A</v>
      </c>
      <c r="AK14" s="2" t="e">
        <f t="shared" si="10"/>
        <v>#N/A</v>
      </c>
      <c r="AM14" s="75" t="e">
        <f t="shared" si="6"/>
        <v>#N/A</v>
      </c>
      <c r="AN14" s="1" t="e">
        <f t="shared" si="7"/>
        <v>#N/A</v>
      </c>
      <c r="AO14" s="1" t="e">
        <f t="shared" si="8"/>
        <v>#N/A</v>
      </c>
      <c r="AR14" t="e">
        <f t="shared" si="9"/>
        <v>#N/A</v>
      </c>
      <c r="AS14" s="17" t="e">
        <f t="shared" si="11"/>
        <v>#N/A</v>
      </c>
      <c r="AT14" s="17" t="e">
        <f t="shared" si="12"/>
        <v>#N/A</v>
      </c>
      <c r="AU14" s="17" t="e">
        <f t="shared" si="13"/>
        <v>#N/A</v>
      </c>
      <c r="AV14" s="17" t="e">
        <f t="shared" si="14"/>
        <v>#N/A</v>
      </c>
      <c r="AW14" s="17" t="e">
        <f t="shared" si="15"/>
        <v>#N/A</v>
      </c>
      <c r="AX14" s="17" t="e">
        <f t="shared" si="16"/>
        <v>#N/A</v>
      </c>
      <c r="AY14" s="17" t="e">
        <f t="shared" si="17"/>
        <v>#N/A</v>
      </c>
      <c r="AZ14" s="17" t="e">
        <f t="shared" si="18"/>
        <v>#N/A</v>
      </c>
      <c r="BB14" s="1" t="e">
        <f>CMPA!AH14</f>
        <v>#N/A</v>
      </c>
      <c r="BC14" s="1" t="e">
        <f>CMPA!AI14</f>
        <v>#N/A</v>
      </c>
      <c r="BD14" s="1" t="e">
        <f>CMPA!AJ14</f>
        <v>#N/A</v>
      </c>
    </row>
    <row r="15" spans="1:56" x14ac:dyDescent="0.25">
      <c r="A15" s="28" t="s">
        <v>99</v>
      </c>
      <c r="B15" s="29" t="e">
        <f>PI()*C120/12*D120/12</f>
        <v>#N/A</v>
      </c>
      <c r="C15" s="28" t="s">
        <v>98</v>
      </c>
      <c r="D15" s="5"/>
      <c r="E15" s="5"/>
      <c r="F15" s="5"/>
      <c r="G15" s="14">
        <v>11</v>
      </c>
      <c r="H15" s="16" t="e">
        <f t="shared" si="0"/>
        <v>#N/A</v>
      </c>
      <c r="I15" s="16" t="e">
        <f t="shared" si="1"/>
        <v>#N/A</v>
      </c>
      <c r="J15" s="16" t="e">
        <f t="shared" si="2"/>
        <v>#N/A</v>
      </c>
      <c r="K15" s="5"/>
      <c r="L15" s="23" t="e">
        <f t="shared" si="19"/>
        <v>#N/A</v>
      </c>
      <c r="AI15" s="1" t="e">
        <f t="shared" si="4"/>
        <v>#N/A</v>
      </c>
      <c r="AJ15" s="2" t="e">
        <f t="shared" si="5"/>
        <v>#N/A</v>
      </c>
      <c r="AK15" s="2" t="e">
        <f t="shared" si="10"/>
        <v>#N/A</v>
      </c>
      <c r="AM15" s="75" t="e">
        <f t="shared" si="6"/>
        <v>#N/A</v>
      </c>
      <c r="AN15" s="1" t="e">
        <f t="shared" si="7"/>
        <v>#N/A</v>
      </c>
      <c r="AO15" s="1" t="e">
        <f t="shared" si="8"/>
        <v>#N/A</v>
      </c>
      <c r="AR15" t="e">
        <f t="shared" si="9"/>
        <v>#N/A</v>
      </c>
      <c r="AS15" s="17" t="e">
        <f t="shared" si="11"/>
        <v>#N/A</v>
      </c>
      <c r="AT15" s="17" t="e">
        <f t="shared" si="12"/>
        <v>#N/A</v>
      </c>
      <c r="AU15" s="17" t="e">
        <f t="shared" si="13"/>
        <v>#N/A</v>
      </c>
      <c r="AV15" s="17" t="e">
        <f t="shared" si="14"/>
        <v>#N/A</v>
      </c>
      <c r="AW15" s="17" t="e">
        <f t="shared" si="15"/>
        <v>#N/A</v>
      </c>
      <c r="AX15" s="17" t="e">
        <f t="shared" si="16"/>
        <v>#N/A</v>
      </c>
      <c r="AY15" s="17" t="e">
        <f t="shared" si="17"/>
        <v>#N/A</v>
      </c>
      <c r="AZ15" s="17" t="e">
        <f t="shared" si="18"/>
        <v>#N/A</v>
      </c>
      <c r="BB15" s="1" t="e">
        <f>CMPA!AH15</f>
        <v>#N/A</v>
      </c>
      <c r="BC15" s="1" t="e">
        <f>CMPA!AI15</f>
        <v>#N/A</v>
      </c>
      <c r="BD15" s="1" t="e">
        <f>CMPA!AJ15</f>
        <v>#N/A</v>
      </c>
    </row>
    <row r="16" spans="1:56" x14ac:dyDescent="0.25">
      <c r="A16" s="28" t="s">
        <v>95</v>
      </c>
      <c r="B16" s="29" t="e">
        <f>C122</f>
        <v>#N/A</v>
      </c>
      <c r="C16" s="28" t="s">
        <v>6</v>
      </c>
      <c r="D16" s="5"/>
      <c r="E16" s="5"/>
      <c r="F16" s="5"/>
      <c r="G16" s="14">
        <v>12</v>
      </c>
      <c r="H16" s="16" t="e">
        <f t="shared" si="0"/>
        <v>#N/A</v>
      </c>
      <c r="I16" s="16" t="e">
        <f t="shared" si="1"/>
        <v>#N/A</v>
      </c>
      <c r="J16" s="16" t="e">
        <f t="shared" si="2"/>
        <v>#N/A</v>
      </c>
      <c r="K16" s="5"/>
      <c r="L16" s="23" t="e">
        <f t="shared" si="19"/>
        <v>#N/A</v>
      </c>
      <c r="AI16" s="1" t="e">
        <f t="shared" si="4"/>
        <v>#N/A</v>
      </c>
      <c r="AJ16" s="2" t="e">
        <f t="shared" si="5"/>
        <v>#N/A</v>
      </c>
      <c r="AK16" s="2" t="e">
        <f t="shared" si="10"/>
        <v>#N/A</v>
      </c>
      <c r="AM16" s="75" t="e">
        <f t="shared" si="6"/>
        <v>#N/A</v>
      </c>
      <c r="AN16" s="1" t="e">
        <f t="shared" si="7"/>
        <v>#N/A</v>
      </c>
      <c r="AO16" s="1" t="e">
        <f t="shared" si="8"/>
        <v>#N/A</v>
      </c>
      <c r="AR16" t="e">
        <f t="shared" si="9"/>
        <v>#N/A</v>
      </c>
      <c r="AS16" s="17" t="e">
        <f t="shared" si="11"/>
        <v>#N/A</v>
      </c>
      <c r="AT16" s="17" t="e">
        <f t="shared" si="12"/>
        <v>#N/A</v>
      </c>
      <c r="AU16" s="17" t="e">
        <f t="shared" si="13"/>
        <v>#N/A</v>
      </c>
      <c r="AV16" s="17" t="e">
        <f t="shared" si="14"/>
        <v>#N/A</v>
      </c>
      <c r="AW16" s="17" t="e">
        <f t="shared" si="15"/>
        <v>#N/A</v>
      </c>
      <c r="AX16" s="17" t="e">
        <f t="shared" si="16"/>
        <v>#N/A</v>
      </c>
      <c r="AY16" s="17" t="e">
        <f t="shared" si="17"/>
        <v>#N/A</v>
      </c>
      <c r="AZ16" s="17" t="e">
        <f t="shared" si="18"/>
        <v>#N/A</v>
      </c>
      <c r="BB16" s="1" t="e">
        <f>CMPA!AH16</f>
        <v>#N/A</v>
      </c>
      <c r="BC16" s="1" t="e">
        <f>CMPA!AI16</f>
        <v>#N/A</v>
      </c>
      <c r="BD16" s="1" t="e">
        <f>CMPA!AJ16</f>
        <v>#N/A</v>
      </c>
    </row>
    <row r="17" spans="1:56" x14ac:dyDescent="0.25">
      <c r="A17" s="28" t="s">
        <v>96</v>
      </c>
      <c r="B17" s="29" t="e">
        <f>C123</f>
        <v>#N/A</v>
      </c>
      <c r="C17" s="28" t="s">
        <v>6</v>
      </c>
      <c r="D17" s="5"/>
      <c r="E17" s="5"/>
      <c r="F17" s="5"/>
      <c r="G17" s="14">
        <v>13</v>
      </c>
      <c r="H17" s="16" t="e">
        <f t="shared" si="0"/>
        <v>#N/A</v>
      </c>
      <c r="I17" s="16" t="e">
        <f t="shared" si="1"/>
        <v>#N/A</v>
      </c>
      <c r="J17" s="16" t="e">
        <f t="shared" si="2"/>
        <v>#N/A</v>
      </c>
      <c r="K17" s="5"/>
      <c r="L17" s="23" t="e">
        <f t="shared" si="19"/>
        <v>#N/A</v>
      </c>
      <c r="AI17" s="1" t="e">
        <f t="shared" si="4"/>
        <v>#N/A</v>
      </c>
      <c r="AJ17" s="2" t="e">
        <f t="shared" si="5"/>
        <v>#N/A</v>
      </c>
      <c r="AK17" s="2" t="e">
        <f t="shared" si="10"/>
        <v>#N/A</v>
      </c>
      <c r="AM17" s="75" t="e">
        <f t="shared" si="6"/>
        <v>#N/A</v>
      </c>
      <c r="AN17" s="1" t="e">
        <f t="shared" si="7"/>
        <v>#N/A</v>
      </c>
      <c r="AO17" s="1" t="e">
        <f t="shared" si="8"/>
        <v>#N/A</v>
      </c>
      <c r="AR17" t="e">
        <f t="shared" si="9"/>
        <v>#N/A</v>
      </c>
      <c r="AS17" s="17" t="e">
        <f t="shared" si="11"/>
        <v>#N/A</v>
      </c>
      <c r="AT17" s="17" t="e">
        <f t="shared" si="12"/>
        <v>#N/A</v>
      </c>
      <c r="AU17" s="17" t="e">
        <f t="shared" si="13"/>
        <v>#N/A</v>
      </c>
      <c r="AV17" s="17" t="e">
        <f t="shared" si="14"/>
        <v>#N/A</v>
      </c>
      <c r="AW17" s="17" t="e">
        <f t="shared" si="15"/>
        <v>#N/A</v>
      </c>
      <c r="AX17" s="17" t="e">
        <f t="shared" si="16"/>
        <v>#N/A</v>
      </c>
      <c r="AY17" s="17" t="e">
        <f t="shared" si="17"/>
        <v>#N/A</v>
      </c>
      <c r="AZ17" s="17" t="e">
        <f t="shared" si="18"/>
        <v>#N/A</v>
      </c>
      <c r="BB17" s="1" t="e">
        <f>CMPA!AH17</f>
        <v>#N/A</v>
      </c>
      <c r="BC17" s="1" t="e">
        <f>CMPA!AI17</f>
        <v>#N/A</v>
      </c>
      <c r="BD17" s="1" t="e">
        <f>CMPA!AJ17</f>
        <v>#N/A</v>
      </c>
    </row>
    <row r="18" spans="1:56" x14ac:dyDescent="0.25">
      <c r="A18" s="28" t="s">
        <v>90</v>
      </c>
      <c r="B18" s="29" t="e">
        <f>C112/12</f>
        <v>#N/A</v>
      </c>
      <c r="C18" s="28" t="s">
        <v>10</v>
      </c>
      <c r="D18" s="5"/>
      <c r="E18" s="5"/>
      <c r="F18" s="5"/>
      <c r="G18" s="14">
        <v>14</v>
      </c>
      <c r="H18" s="16" t="e">
        <f t="shared" si="0"/>
        <v>#N/A</v>
      </c>
      <c r="I18" s="16" t="e">
        <f t="shared" si="1"/>
        <v>#N/A</v>
      </c>
      <c r="J18" s="16" t="e">
        <f t="shared" si="2"/>
        <v>#N/A</v>
      </c>
      <c r="K18" s="5"/>
      <c r="L18" s="23" t="e">
        <f t="shared" si="19"/>
        <v>#N/A</v>
      </c>
      <c r="AI18" s="1" t="e">
        <f t="shared" si="4"/>
        <v>#N/A</v>
      </c>
      <c r="AJ18" s="2" t="e">
        <f t="shared" si="5"/>
        <v>#N/A</v>
      </c>
      <c r="AK18" s="2" t="e">
        <f t="shared" si="10"/>
        <v>#N/A</v>
      </c>
      <c r="AM18" s="75"/>
      <c r="AN18" s="1" t="e">
        <f t="shared" si="7"/>
        <v>#N/A</v>
      </c>
      <c r="AO18" s="1" t="e">
        <f t="shared" si="8"/>
        <v>#N/A</v>
      </c>
      <c r="AS18" s="74"/>
      <c r="BB18" s="1" t="e">
        <f>CMPA!AH18</f>
        <v>#N/A</v>
      </c>
      <c r="BC18" s="1" t="e">
        <f>CMPA!AI18</f>
        <v>#N/A</v>
      </c>
      <c r="BD18" s="1" t="e">
        <f>CMPA!AJ18</f>
        <v>#N/A</v>
      </c>
    </row>
    <row r="19" spans="1:56" x14ac:dyDescent="0.25">
      <c r="A19" s="28" t="s">
        <v>100</v>
      </c>
      <c r="B19" s="29" t="e">
        <f>C113/12</f>
        <v>#N/A</v>
      </c>
      <c r="C19" s="28" t="s">
        <v>10</v>
      </c>
      <c r="D19" s="5"/>
      <c r="E19" s="5"/>
      <c r="F19" s="5"/>
      <c r="G19" s="14">
        <v>15</v>
      </c>
      <c r="H19" s="16" t="e">
        <f t="shared" si="0"/>
        <v>#N/A</v>
      </c>
      <c r="I19" s="16" t="e">
        <f t="shared" si="1"/>
        <v>#N/A</v>
      </c>
      <c r="J19" s="16" t="e">
        <f t="shared" si="2"/>
        <v>#N/A</v>
      </c>
      <c r="K19" s="5"/>
      <c r="L19" s="23" t="e">
        <f t="shared" si="19"/>
        <v>#N/A</v>
      </c>
      <c r="AI19" s="1" t="e">
        <f>AI17</f>
        <v>#N/A</v>
      </c>
      <c r="AJ19" s="2" t="e">
        <f>J22</f>
        <v>#N/A</v>
      </c>
      <c r="AK19" s="2" t="e">
        <f t="shared" si="10"/>
        <v>#N/A</v>
      </c>
      <c r="AN19" s="1" t="e">
        <f>P162</f>
        <v>#N/A</v>
      </c>
      <c r="AO19" s="1" t="e">
        <f>R162</f>
        <v>#N/A</v>
      </c>
      <c r="AS19" s="74"/>
      <c r="AT19" t="s">
        <v>133</v>
      </c>
      <c r="AU19" t="s">
        <v>134</v>
      </c>
      <c r="AV19" t="s">
        <v>135</v>
      </c>
    </row>
    <row r="20" spans="1:56" x14ac:dyDescent="0.25">
      <c r="A20" s="63" t="s">
        <v>101</v>
      </c>
      <c r="B20" s="68" t="e">
        <f>C120*2/12</f>
        <v>#N/A</v>
      </c>
      <c r="C20" s="63" t="s">
        <v>10</v>
      </c>
      <c r="D20" s="5"/>
      <c r="E20" s="5"/>
      <c r="F20" s="5"/>
      <c r="G20" s="14">
        <v>16</v>
      </c>
      <c r="H20" s="16" t="e">
        <f t="shared" si="0"/>
        <v>#N/A</v>
      </c>
      <c r="I20" s="16" t="e">
        <f t="shared" si="1"/>
        <v>#N/A</v>
      </c>
      <c r="J20" s="16" t="e">
        <f t="shared" si="2"/>
        <v>#N/A</v>
      </c>
      <c r="K20" s="5"/>
      <c r="L20" s="23" t="e">
        <f t="shared" si="19"/>
        <v>#N/A</v>
      </c>
      <c r="AI20" s="1" t="e">
        <f>AI16</f>
        <v>#N/A</v>
      </c>
      <c r="AJ20" s="2" t="e">
        <f>J21</f>
        <v>#N/A</v>
      </c>
      <c r="AK20" s="2" t="e">
        <f t="shared" si="10"/>
        <v>#N/A</v>
      </c>
      <c r="AN20" s="1" t="e">
        <f>P161</f>
        <v>#N/A</v>
      </c>
      <c r="AO20" s="1" t="e">
        <f>R161</f>
        <v>#N/A</v>
      </c>
      <c r="AS20" s="74"/>
      <c r="AT20" s="2" t="e">
        <f>MIN(AS10:AZ17)</f>
        <v>#N/A</v>
      </c>
      <c r="AU20" t="e" cm="1">
        <f t="array" ref="AU20">SUMPRODUCT((AS10:AZ17=AT20)*(COLUMN(AS9:AZ9)-COLUMN(AS9)+1))</f>
        <v>#N/A</v>
      </c>
      <c r="AV20" t="e" cm="1">
        <f t="array" ref="AV20">SUMPRODUCT((AS10:AZ17=AT20)*(ROW(AR10:AR17)-ROW(AR10)+1))</f>
        <v>#N/A</v>
      </c>
    </row>
    <row r="21" spans="1:56" x14ac:dyDescent="0.25">
      <c r="A21" s="28" t="s">
        <v>102</v>
      </c>
      <c r="B21" s="29" t="e">
        <f>D120*2/12</f>
        <v>#N/A</v>
      </c>
      <c r="C21" s="28" t="s">
        <v>10</v>
      </c>
      <c r="D21" s="5"/>
      <c r="E21" s="5"/>
      <c r="F21" s="5"/>
      <c r="G21" s="14">
        <v>17</v>
      </c>
      <c r="H21" s="16" t="e">
        <f t="shared" si="0"/>
        <v>#N/A</v>
      </c>
      <c r="I21" s="16" t="e">
        <f t="shared" si="1"/>
        <v>#N/A</v>
      </c>
      <c r="J21" s="16" t="e">
        <f t="shared" si="2"/>
        <v>#N/A</v>
      </c>
      <c r="K21" s="5"/>
      <c r="L21" s="23" t="e">
        <f t="shared" si="19"/>
        <v>#N/A</v>
      </c>
      <c r="AI21" s="1" t="e">
        <f>AI15</f>
        <v>#N/A</v>
      </c>
      <c r="AJ21" s="2" t="e">
        <f>J20</f>
        <v>#N/A</v>
      </c>
      <c r="AK21" s="2" t="e">
        <f t="shared" si="10"/>
        <v>#N/A</v>
      </c>
      <c r="AN21" s="1" t="e">
        <f>P160</f>
        <v>#N/A</v>
      </c>
      <c r="AO21" s="1" t="e">
        <f>R160</f>
        <v>#N/A</v>
      </c>
      <c r="AS21" s="74"/>
      <c r="AU21" t="s">
        <v>124</v>
      </c>
      <c r="AV21" t="s">
        <v>138</v>
      </c>
    </row>
    <row r="22" spans="1:56" x14ac:dyDescent="0.25">
      <c r="A22" s="28" t="s">
        <v>97</v>
      </c>
      <c r="B22" s="29" t="e">
        <f>C115/12</f>
        <v>#N/A</v>
      </c>
      <c r="C22" s="28" t="s">
        <v>10</v>
      </c>
      <c r="D22" s="5"/>
      <c r="E22" s="5"/>
      <c r="F22" s="5"/>
      <c r="G22" s="14">
        <v>18</v>
      </c>
      <c r="H22" s="16" t="e">
        <f t="shared" si="0"/>
        <v>#N/A</v>
      </c>
      <c r="I22" s="16" t="e">
        <f t="shared" si="1"/>
        <v>#N/A</v>
      </c>
      <c r="J22" s="16" t="e">
        <f t="shared" si="2"/>
        <v>#N/A</v>
      </c>
      <c r="K22" s="5"/>
      <c r="L22" s="23" t="e">
        <f t="shared" si="19"/>
        <v>#N/A</v>
      </c>
      <c r="AI22" s="1" t="e">
        <f>AI14</f>
        <v>#N/A</v>
      </c>
      <c r="AJ22" s="2" t="e">
        <f>J19</f>
        <v>#N/A</v>
      </c>
      <c r="AK22" s="2" t="e">
        <f t="shared" si="10"/>
        <v>#N/A</v>
      </c>
      <c r="AN22" s="1" t="e">
        <f>P159</f>
        <v>#N/A</v>
      </c>
      <c r="AO22" s="1" t="e">
        <f>R159</f>
        <v>#N/A</v>
      </c>
      <c r="AS22" s="74"/>
      <c r="AU22" s="1" t="e" cm="1">
        <f t="array" ref="AU22">INDEX(AS9:AZ9,1,AU20)</f>
        <v>#N/A</v>
      </c>
      <c r="AV22" s="1" t="e" cm="1">
        <f t="array" ref="AV22">INDEX(AR10:AR17,AV20,1)</f>
        <v>#N/A</v>
      </c>
    </row>
    <row r="23" spans="1:56" ht="15.75" thickBot="1" x14ac:dyDescent="0.3">
      <c r="A23" s="28" t="s">
        <v>108</v>
      </c>
      <c r="B23" s="29" t="e">
        <f>CMPA!B6+'HDPE Liner'!B22</f>
        <v>#N/A</v>
      </c>
      <c r="C23" s="28" t="s">
        <v>10</v>
      </c>
      <c r="D23" s="5"/>
      <c r="E23" s="5"/>
      <c r="F23" s="5"/>
      <c r="G23" s="19">
        <v>19</v>
      </c>
      <c r="H23" s="16" t="e">
        <f t="shared" si="0"/>
        <v>#N/A</v>
      </c>
      <c r="I23" s="16" t="e">
        <f t="shared" si="1"/>
        <v>#N/A</v>
      </c>
      <c r="J23" s="16" t="e">
        <f t="shared" si="2"/>
        <v>#N/A</v>
      </c>
      <c r="K23" s="5"/>
      <c r="L23" s="23" t="e">
        <f t="shared" si="19"/>
        <v>#N/A</v>
      </c>
      <c r="AI23" s="1" t="e">
        <f>AI13</f>
        <v>#N/A</v>
      </c>
      <c r="AJ23" s="2" t="e">
        <f>J18</f>
        <v>#N/A</v>
      </c>
      <c r="AK23" s="2" t="e">
        <f t="shared" si="10"/>
        <v>#N/A</v>
      </c>
      <c r="AN23" s="1" t="e">
        <f>P158</f>
        <v>#N/A</v>
      </c>
      <c r="AO23" s="1" t="e">
        <f>R158</f>
        <v>#N/A</v>
      </c>
      <c r="AS23" s="74"/>
    </row>
    <row r="24" spans="1:56" x14ac:dyDescent="0.25">
      <c r="A24" s="28" t="s">
        <v>109</v>
      </c>
      <c r="B24" s="29" t="e">
        <f>CMPA!B7+'HDPE Liner'!B22</f>
        <v>#N/A</v>
      </c>
      <c r="C24" s="28" t="s">
        <v>10</v>
      </c>
      <c r="D24" s="24"/>
      <c r="E24" s="5"/>
      <c r="F24" s="5"/>
      <c r="G24" s="5"/>
      <c r="H24" s="5"/>
      <c r="I24" s="5"/>
      <c r="J24" s="5"/>
      <c r="K24" s="5"/>
      <c r="L24" s="23" t="e">
        <f t="shared" si="19"/>
        <v>#N/A</v>
      </c>
      <c r="AI24" s="1" t="e">
        <f>AI12</f>
        <v>#N/A</v>
      </c>
      <c r="AJ24" s="2" t="e">
        <f>J17</f>
        <v>#N/A</v>
      </c>
      <c r="AK24" s="2" t="e">
        <f t="shared" si="10"/>
        <v>#N/A</v>
      </c>
      <c r="AN24" s="1" t="e">
        <f>P157</f>
        <v>#N/A</v>
      </c>
      <c r="AO24" s="1" t="e">
        <f>R157</f>
        <v>#N/A</v>
      </c>
      <c r="AS24" s="74"/>
      <c r="AU24" t="s">
        <v>86</v>
      </c>
      <c r="AV24" t="s">
        <v>84</v>
      </c>
    </row>
    <row r="25" spans="1:56" x14ac:dyDescent="0.25">
      <c r="A25" s="9"/>
      <c r="B25" s="24"/>
      <c r="C25" s="24"/>
      <c r="D25" s="5"/>
      <c r="E25" s="5"/>
      <c r="F25" s="5"/>
      <c r="G25" s="5"/>
      <c r="H25" s="5"/>
      <c r="I25" s="24"/>
      <c r="J25" s="5"/>
      <c r="K25" s="5"/>
      <c r="AI25" s="1" t="e">
        <f>AI11</f>
        <v>#N/A</v>
      </c>
      <c r="AJ25" s="2" t="e">
        <f>J16</f>
        <v>#N/A</v>
      </c>
      <c r="AK25" s="2" t="e">
        <f t="shared" si="10"/>
        <v>#N/A</v>
      </c>
      <c r="AN25" s="1" t="e">
        <f>P156</f>
        <v>#N/A</v>
      </c>
      <c r="AO25" s="1" t="e">
        <f>R156</f>
        <v>#N/A</v>
      </c>
      <c r="AT25" t="s">
        <v>137</v>
      </c>
      <c r="AU25" s="1" t="e">
        <f>VLOOKUP(AU22,BB9:BD19,2)</f>
        <v>#N/A</v>
      </c>
      <c r="AV25" s="1" t="e">
        <f>VLOOKUP(AU22,BB9:BD19,3)</f>
        <v>#N/A</v>
      </c>
    </row>
    <row r="26" spans="1:56" x14ac:dyDescent="0.25">
      <c r="A26" s="5"/>
      <c r="B26" s="5"/>
      <c r="C26" s="5"/>
      <c r="D26" s="5"/>
      <c r="E26" s="5"/>
      <c r="F26" s="5"/>
      <c r="G26" s="5"/>
      <c r="H26" s="26"/>
      <c r="I26" s="25"/>
      <c r="J26" s="5"/>
      <c r="K26" s="5"/>
      <c r="AI26" s="1" t="e">
        <f>AI10</f>
        <v>#N/A</v>
      </c>
      <c r="AJ26" s="2" t="e">
        <f>J15</f>
        <v>#N/A</v>
      </c>
      <c r="AK26" s="2" t="e">
        <f t="shared" si="10"/>
        <v>#N/A</v>
      </c>
      <c r="AN26" s="1" t="e">
        <f>P155</f>
        <v>#N/A</v>
      </c>
      <c r="AO26" s="1" t="e">
        <f>R155</f>
        <v>#N/A</v>
      </c>
      <c r="AT26" s="74" t="s">
        <v>136</v>
      </c>
      <c r="AU26" s="1" t="e">
        <f>VLOOKUP(AV22,AM9:AO17,2)</f>
        <v>#N/A</v>
      </c>
      <c r="AV26" s="1" t="e">
        <f>VLOOKUP(AV22,AM9:AO17,3)</f>
        <v>#N/A</v>
      </c>
    </row>
    <row r="27" spans="1:56" x14ac:dyDescent="0.25">
      <c r="A27" s="5"/>
      <c r="B27" s="5"/>
      <c r="C27" s="5"/>
      <c r="D27" s="5"/>
      <c r="E27" s="5"/>
      <c r="F27" s="5"/>
      <c r="G27" s="5"/>
      <c r="H27" s="5"/>
      <c r="I27" s="5"/>
      <c r="J27" s="5"/>
      <c r="K27" s="5"/>
      <c r="L27" s="5"/>
      <c r="AI27" s="1" t="e">
        <f>AI9</f>
        <v>#N/A</v>
      </c>
      <c r="AJ27" s="2" t="e">
        <f>J14</f>
        <v>#N/A</v>
      </c>
      <c r="AK27" s="2" t="e">
        <f t="shared" si="10"/>
        <v>#N/A</v>
      </c>
      <c r="AN27" s="1" t="e">
        <f>P154</f>
        <v>#N/A</v>
      </c>
      <c r="AO27" s="1" t="e">
        <f>R154</f>
        <v>#N/A</v>
      </c>
      <c r="AS27" s="74"/>
    </row>
    <row r="28" spans="1:56" x14ac:dyDescent="0.25">
      <c r="A28" s="5"/>
      <c r="B28" s="5"/>
      <c r="C28" s="5"/>
      <c r="D28" s="5"/>
      <c r="E28" s="5"/>
      <c r="F28" s="5"/>
      <c r="G28" s="5"/>
      <c r="H28" s="5"/>
      <c r="I28" s="5"/>
      <c r="J28" s="5"/>
      <c r="K28" s="5"/>
      <c r="L28" s="5"/>
      <c r="AI28" s="1" t="e">
        <f>AI44</f>
        <v>#N/A</v>
      </c>
      <c r="AJ28" s="2" t="e">
        <f>J13</f>
        <v>#N/A</v>
      </c>
      <c r="AK28" s="2" t="e">
        <f t="shared" si="10"/>
        <v>#N/A</v>
      </c>
      <c r="AN28" s="1" t="e">
        <f>P153</f>
        <v>#N/A</v>
      </c>
      <c r="AO28" s="1" t="e">
        <f>R153</f>
        <v>#N/A</v>
      </c>
      <c r="AT28" t="s">
        <v>140</v>
      </c>
      <c r="AU28" s="1" t="e">
        <f>SQRT((AV25-AV26)^2+(AU25-AU26)^2)</f>
        <v>#N/A</v>
      </c>
      <c r="AV28" t="s">
        <v>10</v>
      </c>
    </row>
    <row r="29" spans="1:56" x14ac:dyDescent="0.25">
      <c r="A29" s="5"/>
      <c r="B29" s="5"/>
      <c r="C29" s="5"/>
      <c r="D29" s="5"/>
      <c r="E29" s="5"/>
      <c r="F29" s="5"/>
      <c r="G29" s="5"/>
      <c r="H29" s="5"/>
      <c r="I29" s="5"/>
      <c r="J29" s="5"/>
      <c r="K29" s="5"/>
      <c r="L29" s="5"/>
      <c r="AI29" s="1" t="e">
        <f>AI43</f>
        <v>#N/A</v>
      </c>
      <c r="AJ29" s="2" t="e">
        <f>J12</f>
        <v>#N/A</v>
      </c>
      <c r="AK29" s="2" t="e">
        <f t="shared" si="10"/>
        <v>#N/A</v>
      </c>
      <c r="AN29" s="1" t="e">
        <f>P152</f>
        <v>#N/A</v>
      </c>
      <c r="AO29" s="1" t="e">
        <f>R152</f>
        <v>#N/A</v>
      </c>
      <c r="AU29" t="e">
        <f>AU28*12</f>
        <v>#N/A</v>
      </c>
      <c r="AV29" t="s">
        <v>6</v>
      </c>
    </row>
    <row r="30" spans="1:56" x14ac:dyDescent="0.25">
      <c r="A30" s="5"/>
      <c r="B30" s="5"/>
      <c r="C30" s="5"/>
      <c r="D30" s="5"/>
      <c r="E30" s="5"/>
      <c r="F30" s="5"/>
      <c r="G30" s="5"/>
      <c r="H30" s="60"/>
      <c r="I30" s="5"/>
      <c r="J30" s="5"/>
      <c r="K30" s="5"/>
      <c r="L30" s="5"/>
      <c r="AI30" s="1" t="e">
        <f>AI42</f>
        <v>#N/A</v>
      </c>
      <c r="AJ30" s="2" t="e">
        <f>J11</f>
        <v>#N/A</v>
      </c>
      <c r="AK30" s="2" t="e">
        <f t="shared" si="10"/>
        <v>#N/A</v>
      </c>
      <c r="AN30" s="1" t="e">
        <f>P151</f>
        <v>#N/A</v>
      </c>
      <c r="AO30" s="1" t="e">
        <f>R151</f>
        <v>#N/A</v>
      </c>
    </row>
    <row r="31" spans="1:56" x14ac:dyDescent="0.25">
      <c r="A31" s="5"/>
      <c r="B31" s="5"/>
      <c r="C31" s="5"/>
      <c r="D31" s="5"/>
      <c r="E31" s="5"/>
      <c r="F31" s="5"/>
      <c r="G31" s="5"/>
      <c r="H31" s="60"/>
      <c r="I31" s="5"/>
      <c r="J31" s="5"/>
      <c r="K31" s="5"/>
      <c r="AI31" s="1" t="e">
        <f>AI41</f>
        <v>#N/A</v>
      </c>
      <c r="AJ31" s="2" t="e">
        <f>J10</f>
        <v>#N/A</v>
      </c>
      <c r="AK31" s="2" t="e">
        <f t="shared" si="10"/>
        <v>#N/A</v>
      </c>
      <c r="AN31" s="1" t="e">
        <f>P150</f>
        <v>#N/A</v>
      </c>
      <c r="AO31" s="1" t="e">
        <f>R150</f>
        <v>#N/A</v>
      </c>
      <c r="AT31" t="s">
        <v>11</v>
      </c>
      <c r="AU31" t="s">
        <v>141</v>
      </c>
      <c r="AV31" t="s">
        <v>142</v>
      </c>
    </row>
    <row r="32" spans="1:56" x14ac:dyDescent="0.25">
      <c r="AI32" s="1" t="e">
        <f>AI40</f>
        <v>#N/A</v>
      </c>
      <c r="AJ32" s="2" t="e">
        <f>J9</f>
        <v>#N/A</v>
      </c>
      <c r="AK32" s="2" t="e">
        <f t="shared" si="10"/>
        <v>#N/A</v>
      </c>
      <c r="AN32" s="1" t="e">
        <f>P149</f>
        <v>#N/A</v>
      </c>
      <c r="AO32" s="1" t="e">
        <f>R149</f>
        <v>#N/A</v>
      </c>
      <c r="AT32" t="e">
        <f>SQRT(((C119/12)^2-(D119/12)^2*CMPA!D16^2)/((D119/12)^2-(C119/12)^2))</f>
        <v>#N/A</v>
      </c>
      <c r="AU32" s="17" t="e">
        <f>CMPA!B24+SQRT(CMPA!D16^2-AT32^2)</f>
        <v>#N/A</v>
      </c>
      <c r="AV32" s="36" t="e">
        <f>($D$119/12)+($D$119/12)*SQRT(1-AT32^2/($C$119/12)^2)</f>
        <v>#N/A</v>
      </c>
    </row>
    <row r="33" spans="1:46" x14ac:dyDescent="0.25">
      <c r="A33" s="41" t="s">
        <v>121</v>
      </c>
      <c r="AI33" s="1" t="e">
        <f>AI39</f>
        <v>#N/A</v>
      </c>
      <c r="AJ33" s="2" t="e">
        <f>J8</f>
        <v>#N/A</v>
      </c>
      <c r="AK33" s="2" t="e">
        <f t="shared" si="10"/>
        <v>#N/A</v>
      </c>
      <c r="AN33" s="1" t="e">
        <f>P148</f>
        <v>#N/A</v>
      </c>
      <c r="AO33" s="1" t="e">
        <f>R148</f>
        <v>#N/A</v>
      </c>
    </row>
    <row r="34" spans="1:46" x14ac:dyDescent="0.25">
      <c r="D34" t="s">
        <v>47</v>
      </c>
      <c r="AI34" s="1" t="e">
        <f>AI38</f>
        <v>#N/A</v>
      </c>
      <c r="AJ34" s="2" t="e">
        <f>J7</f>
        <v>#N/A</v>
      </c>
      <c r="AK34" s="2" t="e">
        <f t="shared" si="10"/>
        <v>#N/A</v>
      </c>
      <c r="AN34" s="1" t="e">
        <f>P147</f>
        <v>#N/A</v>
      </c>
      <c r="AO34" s="1" t="e">
        <f>R147</f>
        <v>#N/A</v>
      </c>
      <c r="AT34" t="s">
        <v>38</v>
      </c>
    </row>
    <row r="35" spans="1:46" x14ac:dyDescent="0.25">
      <c r="D35" s="34" t="s">
        <v>48</v>
      </c>
      <c r="E35" t="s">
        <v>49</v>
      </c>
      <c r="AI35" s="1" t="e">
        <f>AI37</f>
        <v>#N/A</v>
      </c>
      <c r="AJ35" t="e">
        <f>J6</f>
        <v>#N/A</v>
      </c>
      <c r="AK35" s="2" t="e">
        <f t="shared" si="10"/>
        <v>#N/A</v>
      </c>
      <c r="AN35" s="1" t="e">
        <f>P146</f>
        <v>#N/A</v>
      </c>
      <c r="AO35" s="1" t="e">
        <f>R146</f>
        <v>#N/A</v>
      </c>
    </row>
    <row r="36" spans="1:46" x14ac:dyDescent="0.25">
      <c r="A36" s="35" t="s">
        <v>51</v>
      </c>
      <c r="B36" s="35" t="s">
        <v>54</v>
      </c>
      <c r="C36" s="35" t="s">
        <v>55</v>
      </c>
      <c r="D36" s="35" t="s">
        <v>52</v>
      </c>
      <c r="E36" s="35" t="s">
        <v>53</v>
      </c>
      <c r="L36" s="34"/>
      <c r="AI36" s="1" t="e">
        <f t="shared" ref="AI36:AI44" si="20">H5</f>
        <v>#N/A</v>
      </c>
      <c r="AJ36" s="2" t="e">
        <f>J5</f>
        <v>#N/A</v>
      </c>
      <c r="AK36" s="2" t="e">
        <f t="shared" si="10"/>
        <v>#N/A</v>
      </c>
      <c r="AN36" s="1" t="e">
        <f t="shared" ref="AN36:AN45" si="21">P145</f>
        <v>#N/A</v>
      </c>
      <c r="AO36" s="1" t="e">
        <f>R145</f>
        <v>#N/A</v>
      </c>
    </row>
    <row r="37" spans="1:46" x14ac:dyDescent="0.25">
      <c r="A37" s="34"/>
      <c r="B37" s="34"/>
      <c r="C37" s="34"/>
      <c r="L37" s="35" t="s">
        <v>50</v>
      </c>
      <c r="AI37" s="1" t="e">
        <f t="shared" si="20"/>
        <v>#N/A</v>
      </c>
      <c r="AJ37" s="2" t="e">
        <f t="shared" ref="AJ37:AJ44" si="22">I6</f>
        <v>#N/A</v>
      </c>
      <c r="AK37" s="2" t="e">
        <f t="shared" si="10"/>
        <v>#N/A</v>
      </c>
      <c r="AN37" s="1" t="e">
        <f t="shared" si="21"/>
        <v>#N/A</v>
      </c>
      <c r="AO37" s="1" t="e">
        <f t="shared" ref="AO37:AO45" si="23">Q146</f>
        <v>#N/A</v>
      </c>
    </row>
    <row r="38" spans="1:46" x14ac:dyDescent="0.25">
      <c r="A38" s="34">
        <v>1</v>
      </c>
      <c r="B38" s="76">
        <v>10.1</v>
      </c>
      <c r="C38" s="36">
        <v>10.75</v>
      </c>
      <c r="D38" s="34" t="e">
        <f>MAX(1,2*C38-$B$8)</f>
        <v>#N/A</v>
      </c>
      <c r="E38" s="36" t="e">
        <f>$C$103/D38</f>
        <v>#N/A</v>
      </c>
      <c r="F38" t="s">
        <v>146</v>
      </c>
      <c r="G38" t="e">
        <f>MATCH(D99,E38:E73,-1)</f>
        <v>#N/A</v>
      </c>
      <c r="L38" s="34"/>
      <c r="M38" s="34"/>
      <c r="N38" s="34"/>
      <c r="O38" s="34"/>
      <c r="P38" s="34"/>
      <c r="Q38" s="34"/>
      <c r="AI38" s="1" t="e">
        <f t="shared" si="20"/>
        <v>#N/A</v>
      </c>
      <c r="AJ38" s="2" t="e">
        <f t="shared" si="22"/>
        <v>#N/A</v>
      </c>
      <c r="AK38" s="2" t="e">
        <f t="shared" si="10"/>
        <v>#N/A</v>
      </c>
      <c r="AN38" s="1" t="e">
        <f t="shared" si="21"/>
        <v>#N/A</v>
      </c>
      <c r="AO38" s="1" t="e">
        <f t="shared" si="23"/>
        <v>#N/A</v>
      </c>
    </row>
    <row r="39" spans="1:46" x14ac:dyDescent="0.25">
      <c r="A39" s="34">
        <v>2</v>
      </c>
      <c r="B39" s="76">
        <v>12</v>
      </c>
      <c r="C39" s="36">
        <v>12.75</v>
      </c>
      <c r="D39" s="34" t="e">
        <f t="shared" ref="D39:D55" si="24">MAX(1,2*C39-$B$8)</f>
        <v>#N/A</v>
      </c>
      <c r="E39" s="36" t="e">
        <f t="shared" ref="E39:E73" si="25">$C$103/D39</f>
        <v>#N/A</v>
      </c>
      <c r="F39" t="s">
        <v>146</v>
      </c>
      <c r="L39" s="34">
        <v>18</v>
      </c>
      <c r="M39" s="34"/>
      <c r="N39" s="34"/>
      <c r="O39" s="34"/>
      <c r="P39" s="34"/>
      <c r="Q39" s="34"/>
      <c r="R39" s="34"/>
      <c r="AI39" s="1" t="e">
        <f t="shared" si="20"/>
        <v>#N/A</v>
      </c>
      <c r="AJ39" s="2" t="e">
        <f t="shared" si="22"/>
        <v>#N/A</v>
      </c>
      <c r="AK39" s="2" t="e">
        <f t="shared" si="10"/>
        <v>#N/A</v>
      </c>
      <c r="AN39" s="1" t="e">
        <f t="shared" si="21"/>
        <v>#N/A</v>
      </c>
      <c r="AO39" s="1" t="e">
        <f t="shared" si="23"/>
        <v>#N/A</v>
      </c>
    </row>
    <row r="40" spans="1:46" x14ac:dyDescent="0.25">
      <c r="A40" s="34">
        <v>3</v>
      </c>
      <c r="B40" s="76">
        <v>13.138</v>
      </c>
      <c r="C40" s="36">
        <v>14</v>
      </c>
      <c r="D40" s="34" t="e">
        <f t="shared" si="24"/>
        <v>#N/A</v>
      </c>
      <c r="E40" s="36" t="e">
        <f t="shared" si="25"/>
        <v>#N/A</v>
      </c>
      <c r="F40" t="s">
        <v>146</v>
      </c>
      <c r="L40" s="34">
        <v>19.5</v>
      </c>
      <c r="M40" s="34"/>
      <c r="N40" s="34"/>
      <c r="O40" s="34"/>
      <c r="P40" s="34"/>
      <c r="T40" s="37"/>
      <c r="AI40" s="1" t="e">
        <f t="shared" si="20"/>
        <v>#N/A</v>
      </c>
      <c r="AJ40" s="2" t="e">
        <f t="shared" si="22"/>
        <v>#N/A</v>
      </c>
      <c r="AK40" s="2" t="e">
        <f t="shared" si="10"/>
        <v>#N/A</v>
      </c>
      <c r="AN40" s="1" t="e">
        <f t="shared" si="21"/>
        <v>#N/A</v>
      </c>
      <c r="AO40" s="1" t="e">
        <f t="shared" si="23"/>
        <v>#N/A</v>
      </c>
    </row>
    <row r="41" spans="1:46" x14ac:dyDescent="0.25">
      <c r="A41" s="34">
        <v>4</v>
      </c>
      <c r="B41" s="76">
        <v>15.016</v>
      </c>
      <c r="C41" s="36">
        <v>16</v>
      </c>
      <c r="D41" s="34" t="e">
        <f t="shared" si="24"/>
        <v>#N/A</v>
      </c>
      <c r="E41" s="36" t="e">
        <f t="shared" si="25"/>
        <v>#N/A</v>
      </c>
      <c r="F41" t="s">
        <v>146</v>
      </c>
      <c r="L41" s="34">
        <v>21</v>
      </c>
      <c r="M41" s="34"/>
      <c r="N41" s="34"/>
      <c r="O41" s="34"/>
      <c r="P41" s="34"/>
      <c r="Q41" s="34"/>
      <c r="R41" s="36"/>
      <c r="AI41" s="1" t="e">
        <f t="shared" si="20"/>
        <v>#N/A</v>
      </c>
      <c r="AJ41" s="2" t="e">
        <f t="shared" si="22"/>
        <v>#N/A</v>
      </c>
      <c r="AK41" s="2" t="e">
        <f t="shared" si="10"/>
        <v>#N/A</v>
      </c>
      <c r="AN41" s="1" t="e">
        <f t="shared" si="21"/>
        <v>#N/A</v>
      </c>
      <c r="AO41" s="1" t="e">
        <f t="shared" si="23"/>
        <v>#N/A</v>
      </c>
    </row>
    <row r="42" spans="1:46" x14ac:dyDescent="0.25">
      <c r="A42" s="34">
        <v>5</v>
      </c>
      <c r="B42" s="76">
        <v>16.891999999999999</v>
      </c>
      <c r="C42" s="36">
        <v>18</v>
      </c>
      <c r="D42" s="34" t="e">
        <f t="shared" si="24"/>
        <v>#N/A</v>
      </c>
      <c r="E42" s="36" t="e">
        <f t="shared" si="25"/>
        <v>#N/A</v>
      </c>
      <c r="F42" t="s">
        <v>146</v>
      </c>
      <c r="L42" s="34">
        <v>24</v>
      </c>
      <c r="M42" s="34"/>
      <c r="N42" s="34"/>
      <c r="O42" s="34"/>
      <c r="P42" s="34"/>
      <c r="Q42" s="34"/>
      <c r="R42" s="36"/>
      <c r="AI42" s="1" t="e">
        <f t="shared" si="20"/>
        <v>#N/A</v>
      </c>
      <c r="AJ42" s="2" t="e">
        <f t="shared" si="22"/>
        <v>#N/A</v>
      </c>
      <c r="AK42" s="2" t="e">
        <f t="shared" si="10"/>
        <v>#N/A</v>
      </c>
      <c r="AN42" s="1" t="e">
        <f t="shared" si="21"/>
        <v>#N/A</v>
      </c>
      <c r="AO42" s="1" t="e">
        <f t="shared" si="23"/>
        <v>#N/A</v>
      </c>
    </row>
    <row r="43" spans="1:46" x14ac:dyDescent="0.25">
      <c r="A43" s="34">
        <v>6</v>
      </c>
      <c r="B43" s="76">
        <v>18.771000000000001</v>
      </c>
      <c r="C43" s="36">
        <v>20</v>
      </c>
      <c r="D43" s="34" t="e">
        <f t="shared" si="24"/>
        <v>#N/A</v>
      </c>
      <c r="E43" s="36" t="e">
        <f t="shared" si="25"/>
        <v>#N/A</v>
      </c>
      <c r="F43" t="s">
        <v>146</v>
      </c>
      <c r="L43" s="34">
        <v>27</v>
      </c>
      <c r="M43" s="34"/>
      <c r="N43" s="34"/>
      <c r="O43" s="34"/>
      <c r="P43" s="34"/>
      <c r="Q43" s="34"/>
      <c r="R43" s="36"/>
      <c r="AI43" s="1" t="e">
        <f t="shared" si="20"/>
        <v>#N/A</v>
      </c>
      <c r="AJ43" s="2" t="e">
        <f t="shared" si="22"/>
        <v>#N/A</v>
      </c>
      <c r="AK43" s="2" t="e">
        <f t="shared" si="10"/>
        <v>#N/A</v>
      </c>
      <c r="AN43" s="1" t="e">
        <f t="shared" si="21"/>
        <v>#N/A</v>
      </c>
      <c r="AO43" s="1" t="e">
        <f t="shared" si="23"/>
        <v>#N/A</v>
      </c>
    </row>
    <row r="44" spans="1:46" x14ac:dyDescent="0.25">
      <c r="A44" s="34">
        <v>7</v>
      </c>
      <c r="B44" s="76">
        <v>20.646000000000001</v>
      </c>
      <c r="C44" s="36">
        <v>22</v>
      </c>
      <c r="D44" s="34" t="e">
        <f t="shared" si="24"/>
        <v>#N/A</v>
      </c>
      <c r="E44" s="36" t="e">
        <f t="shared" si="25"/>
        <v>#N/A</v>
      </c>
      <c r="F44" t="s">
        <v>146</v>
      </c>
      <c r="L44" s="34">
        <v>30</v>
      </c>
      <c r="M44" s="34"/>
      <c r="N44" s="34"/>
      <c r="O44" s="34"/>
      <c r="P44" s="34"/>
      <c r="Q44" s="34"/>
      <c r="R44" s="36"/>
      <c r="AI44" s="1" t="e">
        <f t="shared" si="20"/>
        <v>#N/A</v>
      </c>
      <c r="AJ44" s="2" t="e">
        <f t="shared" si="22"/>
        <v>#N/A</v>
      </c>
      <c r="AK44" s="2" t="e">
        <f t="shared" si="10"/>
        <v>#N/A</v>
      </c>
      <c r="AN44" s="1" t="e">
        <f t="shared" si="21"/>
        <v>#N/A</v>
      </c>
      <c r="AO44" s="1" t="e">
        <f t="shared" si="23"/>
        <v>#N/A</v>
      </c>
    </row>
    <row r="45" spans="1:46" x14ac:dyDescent="0.25">
      <c r="A45" s="34">
        <v>8</v>
      </c>
      <c r="B45" s="76">
        <v>22.524000000000001</v>
      </c>
      <c r="C45" s="36">
        <v>24</v>
      </c>
      <c r="D45" s="34" t="e">
        <f t="shared" si="24"/>
        <v>#N/A</v>
      </c>
      <c r="E45" s="36" t="e">
        <f t="shared" si="25"/>
        <v>#N/A</v>
      </c>
      <c r="F45" t="s">
        <v>146</v>
      </c>
      <c r="L45" s="34">
        <v>33</v>
      </c>
      <c r="M45" s="34"/>
      <c r="N45" s="34"/>
      <c r="O45" s="34"/>
      <c r="P45" s="34"/>
      <c r="Q45" s="34"/>
      <c r="R45" s="36"/>
      <c r="AI45" s="1">
        <f>H69</f>
        <v>0</v>
      </c>
      <c r="AJ45" s="2" t="e">
        <f>AJ9</f>
        <v>#N/A</v>
      </c>
      <c r="AK45" s="2" t="e">
        <f t="shared" si="10"/>
        <v>#N/A</v>
      </c>
      <c r="AN45" s="1" t="e">
        <f t="shared" si="21"/>
        <v>#N/A</v>
      </c>
      <c r="AO45" s="1" t="e">
        <f t="shared" si="23"/>
        <v>#N/A</v>
      </c>
    </row>
    <row r="46" spans="1:46" x14ac:dyDescent="0.25">
      <c r="A46" s="34">
        <v>9</v>
      </c>
      <c r="B46" s="76">
        <v>24.3</v>
      </c>
      <c r="C46" s="36">
        <v>26</v>
      </c>
      <c r="D46" s="34" t="e">
        <f t="shared" si="24"/>
        <v>#N/A</v>
      </c>
      <c r="E46" s="36" t="e">
        <f t="shared" si="25"/>
        <v>#N/A</v>
      </c>
      <c r="F46" t="s">
        <v>146</v>
      </c>
      <c r="L46" s="34">
        <v>36</v>
      </c>
      <c r="M46" s="34"/>
      <c r="N46" s="34"/>
      <c r="O46" s="34"/>
      <c r="P46" s="34"/>
      <c r="Q46" s="34"/>
      <c r="R46" s="36"/>
    </row>
    <row r="47" spans="1:46" x14ac:dyDescent="0.25">
      <c r="A47" s="34">
        <v>10</v>
      </c>
      <c r="B47" s="76">
        <v>26.276</v>
      </c>
      <c r="C47" s="36">
        <v>28</v>
      </c>
      <c r="D47" s="34" t="e">
        <f t="shared" si="24"/>
        <v>#N/A</v>
      </c>
      <c r="E47" s="36" t="e">
        <f t="shared" si="25"/>
        <v>#N/A</v>
      </c>
      <c r="F47" t="s">
        <v>146</v>
      </c>
      <c r="L47" s="34">
        <v>40</v>
      </c>
      <c r="M47" s="34"/>
      <c r="N47" s="34"/>
      <c r="O47" s="34"/>
      <c r="P47" s="34"/>
      <c r="Q47" s="34"/>
      <c r="R47" s="36"/>
    </row>
    <row r="48" spans="1:46" x14ac:dyDescent="0.25">
      <c r="A48" s="34">
        <v>11</v>
      </c>
      <c r="B48" s="76">
        <v>28.21</v>
      </c>
      <c r="C48" s="36">
        <v>30</v>
      </c>
      <c r="D48" s="34" t="e">
        <f t="shared" si="24"/>
        <v>#N/A</v>
      </c>
      <c r="E48" s="36" t="e">
        <f t="shared" si="25"/>
        <v>#N/A</v>
      </c>
      <c r="F48" t="s">
        <v>146</v>
      </c>
      <c r="L48" s="34">
        <v>42</v>
      </c>
      <c r="M48" s="34"/>
      <c r="N48" s="34"/>
      <c r="O48" s="34"/>
      <c r="P48" s="34"/>
      <c r="Q48" s="34"/>
      <c r="R48" s="36"/>
    </row>
    <row r="49" spans="1:18" x14ac:dyDescent="0.25">
      <c r="A49" s="34">
        <v>12</v>
      </c>
      <c r="B49" s="76">
        <v>30.03</v>
      </c>
      <c r="C49" s="36">
        <v>32</v>
      </c>
      <c r="D49" s="34" t="e">
        <f t="shared" si="24"/>
        <v>#N/A</v>
      </c>
      <c r="E49" s="36" t="e">
        <f t="shared" si="25"/>
        <v>#N/A</v>
      </c>
      <c r="F49" t="s">
        <v>146</v>
      </c>
      <c r="L49" s="34">
        <v>48</v>
      </c>
      <c r="M49" s="34"/>
      <c r="N49" s="34"/>
      <c r="O49" s="34"/>
      <c r="P49" s="34"/>
      <c r="Q49" s="34"/>
      <c r="R49" s="36"/>
    </row>
    <row r="50" spans="1:18" x14ac:dyDescent="0.25">
      <c r="A50" s="34">
        <v>13</v>
      </c>
      <c r="B50" s="76">
        <v>33.783999999999999</v>
      </c>
      <c r="C50" s="36">
        <v>36</v>
      </c>
      <c r="D50" s="34" t="e">
        <f t="shared" si="24"/>
        <v>#N/A</v>
      </c>
      <c r="E50" s="36" t="e">
        <f t="shared" si="25"/>
        <v>#N/A</v>
      </c>
      <c r="F50" t="s">
        <v>146</v>
      </c>
      <c r="L50" s="34">
        <v>54</v>
      </c>
      <c r="M50" s="34"/>
      <c r="N50" s="34"/>
      <c r="O50" s="34"/>
      <c r="P50" s="34"/>
      <c r="Q50" s="34"/>
      <c r="R50" s="36"/>
    </row>
    <row r="51" spans="1:18" x14ac:dyDescent="0.25">
      <c r="A51" s="34">
        <v>14</v>
      </c>
      <c r="B51" s="76">
        <v>36</v>
      </c>
      <c r="C51" s="36">
        <v>40.799999999999997</v>
      </c>
      <c r="D51" s="34" t="e">
        <f t="shared" si="24"/>
        <v>#N/A</v>
      </c>
      <c r="E51" s="36" t="e">
        <f t="shared" si="25"/>
        <v>#N/A</v>
      </c>
      <c r="F51" t="s">
        <v>144</v>
      </c>
      <c r="L51" s="34">
        <v>60</v>
      </c>
      <c r="M51" s="34"/>
      <c r="N51" s="34"/>
      <c r="O51" s="34"/>
      <c r="P51" s="34"/>
      <c r="Q51" s="34"/>
      <c r="R51" s="36"/>
    </row>
    <row r="52" spans="1:18" x14ac:dyDescent="0.25">
      <c r="A52" s="34">
        <v>15</v>
      </c>
      <c r="B52" s="76">
        <v>39.415999999999997</v>
      </c>
      <c r="C52" s="36">
        <v>42</v>
      </c>
      <c r="D52" s="34" t="e">
        <f t="shared" si="24"/>
        <v>#N/A</v>
      </c>
      <c r="E52" s="36" t="e">
        <f t="shared" si="25"/>
        <v>#N/A</v>
      </c>
      <c r="F52" t="s">
        <v>146</v>
      </c>
      <c r="L52" s="34">
        <v>66</v>
      </c>
      <c r="M52" s="34"/>
      <c r="N52" s="34"/>
      <c r="O52" s="34"/>
      <c r="P52" s="34"/>
      <c r="Q52" s="34"/>
      <c r="R52" s="36"/>
    </row>
    <row r="53" spans="1:18" x14ac:dyDescent="0.25">
      <c r="A53" s="34">
        <v>16</v>
      </c>
      <c r="B53" s="76">
        <v>39</v>
      </c>
      <c r="C53" s="36">
        <v>43.4</v>
      </c>
      <c r="D53" s="34" t="e">
        <f t="shared" si="24"/>
        <v>#N/A</v>
      </c>
      <c r="E53" s="36" t="e">
        <f t="shared" si="25"/>
        <v>#N/A</v>
      </c>
      <c r="F53" t="s">
        <v>144</v>
      </c>
      <c r="L53" s="34">
        <v>72</v>
      </c>
      <c r="M53" s="34"/>
      <c r="N53" s="34"/>
      <c r="O53" s="34"/>
      <c r="P53" s="34"/>
      <c r="Q53" s="34"/>
      <c r="R53" s="36"/>
    </row>
    <row r="54" spans="1:18" x14ac:dyDescent="0.25">
      <c r="A54" s="34">
        <v>17</v>
      </c>
      <c r="B54" s="76">
        <v>40</v>
      </c>
      <c r="C54" s="36">
        <v>44.8</v>
      </c>
      <c r="D54" s="34" t="e">
        <f t="shared" si="24"/>
        <v>#N/A</v>
      </c>
      <c r="E54" s="36" t="e">
        <f t="shared" si="25"/>
        <v>#N/A</v>
      </c>
      <c r="F54" t="s">
        <v>144</v>
      </c>
      <c r="L54" s="34">
        <v>78</v>
      </c>
      <c r="M54" s="34"/>
      <c r="N54" s="34"/>
      <c r="O54" s="34"/>
      <c r="P54" s="34"/>
      <c r="Q54" s="34"/>
      <c r="R54" s="36"/>
    </row>
    <row r="55" spans="1:18" x14ac:dyDescent="0.25">
      <c r="A55" s="34">
        <v>18</v>
      </c>
      <c r="B55" s="76">
        <v>42</v>
      </c>
      <c r="C55" s="36">
        <v>46.9</v>
      </c>
      <c r="D55" s="34" t="e">
        <f t="shared" si="24"/>
        <v>#N/A</v>
      </c>
      <c r="E55" s="36" t="e">
        <f t="shared" si="25"/>
        <v>#N/A</v>
      </c>
      <c r="F55" t="s">
        <v>144</v>
      </c>
      <c r="L55" s="34">
        <v>84</v>
      </c>
      <c r="M55" s="34"/>
      <c r="N55" s="34"/>
      <c r="O55" s="34"/>
      <c r="P55" s="34"/>
      <c r="Q55" s="34"/>
      <c r="R55" s="36"/>
    </row>
    <row r="56" spans="1:18" x14ac:dyDescent="0.25">
      <c r="A56" s="34">
        <v>19</v>
      </c>
      <c r="B56" s="76">
        <v>45</v>
      </c>
      <c r="C56" s="36">
        <v>48</v>
      </c>
      <c r="D56" s="34" t="e">
        <f t="shared" ref="D56:D61" si="26">MAX(1,2*C56-$B$8)</f>
        <v>#N/A</v>
      </c>
      <c r="E56" s="36" t="e">
        <f>$C$103/D56</f>
        <v>#N/A</v>
      </c>
      <c r="F56" t="s">
        <v>146</v>
      </c>
      <c r="L56" s="34">
        <v>90</v>
      </c>
      <c r="M56" s="34"/>
      <c r="N56" s="34"/>
      <c r="O56" s="34"/>
      <c r="P56" s="34"/>
      <c r="Q56" s="34"/>
      <c r="R56" s="36"/>
    </row>
    <row r="57" spans="1:18" x14ac:dyDescent="0.25">
      <c r="A57" s="34">
        <v>20</v>
      </c>
      <c r="B57" s="76">
        <v>48</v>
      </c>
      <c r="C57" s="36">
        <v>53.4</v>
      </c>
      <c r="D57" s="34" t="e">
        <f t="shared" si="26"/>
        <v>#N/A</v>
      </c>
      <c r="E57" s="36" t="e">
        <f t="shared" si="25"/>
        <v>#N/A</v>
      </c>
      <c r="F57" t="s">
        <v>144</v>
      </c>
      <c r="G57" s="2"/>
      <c r="L57" s="34">
        <v>96</v>
      </c>
      <c r="M57" s="34"/>
      <c r="N57" s="34"/>
      <c r="O57" s="34"/>
      <c r="P57" s="34"/>
      <c r="Q57" s="34"/>
      <c r="R57" s="36"/>
    </row>
    <row r="58" spans="1:18" x14ac:dyDescent="0.25">
      <c r="A58" s="34">
        <v>21</v>
      </c>
      <c r="B58" s="76">
        <v>50.676000000000002</v>
      </c>
      <c r="C58" s="36">
        <v>54</v>
      </c>
      <c r="D58" s="34" t="e">
        <f t="shared" si="26"/>
        <v>#N/A</v>
      </c>
      <c r="E58" s="36" t="e">
        <f t="shared" si="25"/>
        <v>#N/A</v>
      </c>
      <c r="F58" t="s">
        <v>146</v>
      </c>
      <c r="L58" s="34">
        <v>102</v>
      </c>
      <c r="M58" s="34"/>
      <c r="N58" s="34"/>
      <c r="O58" s="34"/>
      <c r="P58" s="34"/>
      <c r="Q58" s="34"/>
      <c r="R58" s="36"/>
    </row>
    <row r="59" spans="1:18" x14ac:dyDescent="0.25">
      <c r="A59" s="34">
        <v>22</v>
      </c>
      <c r="B59" s="76">
        <v>54</v>
      </c>
      <c r="C59" s="36">
        <v>59.9</v>
      </c>
      <c r="D59" s="34" t="e">
        <f t="shared" si="26"/>
        <v>#N/A</v>
      </c>
      <c r="E59" s="36" t="e">
        <f t="shared" si="25"/>
        <v>#N/A</v>
      </c>
      <c r="F59" t="s">
        <v>144</v>
      </c>
      <c r="L59" s="34">
        <v>108</v>
      </c>
      <c r="M59" s="34"/>
      <c r="N59" s="34"/>
      <c r="O59" s="34"/>
      <c r="P59" s="34"/>
      <c r="Q59" s="34"/>
      <c r="R59" s="36"/>
    </row>
    <row r="60" spans="1:18" x14ac:dyDescent="0.25">
      <c r="A60" s="34">
        <v>23</v>
      </c>
      <c r="B60" s="76">
        <v>57</v>
      </c>
      <c r="C60" s="36">
        <v>62.72</v>
      </c>
      <c r="D60" s="34" t="e">
        <f t="shared" si="26"/>
        <v>#N/A</v>
      </c>
      <c r="E60" s="36" t="e">
        <f t="shared" si="25"/>
        <v>#N/A</v>
      </c>
      <c r="F60" t="s">
        <v>144</v>
      </c>
      <c r="L60" s="34">
        <v>120</v>
      </c>
      <c r="M60" s="34"/>
      <c r="N60" s="34"/>
      <c r="O60" s="34"/>
      <c r="P60" s="34"/>
      <c r="Q60" s="34"/>
      <c r="R60" s="36"/>
    </row>
    <row r="61" spans="1:18" x14ac:dyDescent="0.25">
      <c r="A61" s="34">
        <v>24</v>
      </c>
      <c r="B61" s="76">
        <v>59.021000000000001</v>
      </c>
      <c r="C61" s="36">
        <v>63.2</v>
      </c>
      <c r="D61" s="34" t="e">
        <f t="shared" si="26"/>
        <v>#N/A</v>
      </c>
      <c r="E61" s="36" t="e">
        <f t="shared" si="25"/>
        <v>#N/A</v>
      </c>
      <c r="F61" t="s">
        <v>146</v>
      </c>
      <c r="M61" s="34"/>
      <c r="N61" s="34"/>
      <c r="O61" s="34"/>
      <c r="P61" s="34"/>
      <c r="Q61" s="34"/>
      <c r="R61" s="36"/>
    </row>
    <row r="62" spans="1:18" x14ac:dyDescent="0.25">
      <c r="A62" s="34">
        <v>25</v>
      </c>
      <c r="B62" s="34">
        <v>60</v>
      </c>
      <c r="C62" s="34">
        <v>66.3</v>
      </c>
      <c r="D62" s="34" t="e">
        <f t="shared" ref="D62:D73" si="27">MAX(1,2*C62-$B$8)</f>
        <v>#N/A</v>
      </c>
      <c r="E62" s="36" t="e">
        <f t="shared" si="25"/>
        <v>#N/A</v>
      </c>
      <c r="F62" t="s">
        <v>144</v>
      </c>
      <c r="M62" s="34"/>
      <c r="N62" s="34"/>
      <c r="O62" s="34"/>
      <c r="P62" s="34"/>
      <c r="Q62" s="34"/>
      <c r="R62" s="36"/>
    </row>
    <row r="63" spans="1:18" x14ac:dyDescent="0.25">
      <c r="A63" s="34">
        <v>26</v>
      </c>
      <c r="B63" s="76">
        <v>63</v>
      </c>
      <c r="C63" s="36">
        <v>68.92</v>
      </c>
      <c r="D63" s="34" t="e">
        <f t="shared" si="27"/>
        <v>#N/A</v>
      </c>
      <c r="E63" s="36" t="e">
        <f t="shared" si="25"/>
        <v>#N/A</v>
      </c>
      <c r="F63" t="s">
        <v>144</v>
      </c>
      <c r="O63" s="34"/>
    </row>
    <row r="64" spans="1:18" x14ac:dyDescent="0.25">
      <c r="A64" s="34">
        <v>27</v>
      </c>
      <c r="B64" s="76">
        <v>66</v>
      </c>
      <c r="C64" s="36">
        <v>72.7</v>
      </c>
      <c r="D64" s="34" t="e">
        <f t="shared" si="27"/>
        <v>#N/A</v>
      </c>
      <c r="E64" s="36" t="e">
        <f t="shared" si="25"/>
        <v>#N/A</v>
      </c>
      <c r="F64" t="s">
        <v>144</v>
      </c>
      <c r="O64" s="34"/>
    </row>
    <row r="65" spans="1:15" x14ac:dyDescent="0.25">
      <c r="A65" s="34">
        <v>28</v>
      </c>
      <c r="B65" s="76">
        <v>72</v>
      </c>
      <c r="C65" s="36">
        <v>80.06</v>
      </c>
      <c r="D65" s="34" t="e">
        <f t="shared" si="27"/>
        <v>#N/A</v>
      </c>
      <c r="E65" s="36" t="e">
        <f t="shared" si="25"/>
        <v>#N/A</v>
      </c>
      <c r="F65" t="s">
        <v>144</v>
      </c>
      <c r="M65" s="34"/>
      <c r="O65" s="34"/>
    </row>
    <row r="66" spans="1:15" x14ac:dyDescent="0.25">
      <c r="A66" s="34">
        <v>29</v>
      </c>
      <c r="B66" s="76">
        <v>78</v>
      </c>
      <c r="C66" s="36">
        <v>85.5</v>
      </c>
      <c r="D66" s="34" t="e">
        <f t="shared" si="27"/>
        <v>#N/A</v>
      </c>
      <c r="E66" s="36" t="e">
        <f t="shared" si="25"/>
        <v>#N/A</v>
      </c>
      <c r="F66" t="s">
        <v>144</v>
      </c>
      <c r="M66" s="34"/>
      <c r="O66" s="34"/>
    </row>
    <row r="67" spans="1:15" x14ac:dyDescent="0.25">
      <c r="A67" s="34">
        <v>30</v>
      </c>
      <c r="B67" s="76">
        <v>84</v>
      </c>
      <c r="C67" s="36">
        <v>92.46</v>
      </c>
      <c r="D67" s="34" t="e">
        <f t="shared" si="27"/>
        <v>#N/A</v>
      </c>
      <c r="E67" s="36" t="e">
        <f t="shared" si="25"/>
        <v>#N/A</v>
      </c>
      <c r="F67" t="s">
        <v>144</v>
      </c>
      <c r="M67" s="34"/>
      <c r="O67" s="34"/>
    </row>
    <row r="68" spans="1:15" x14ac:dyDescent="0.25">
      <c r="A68" s="34">
        <v>31</v>
      </c>
      <c r="B68" s="76">
        <v>90</v>
      </c>
      <c r="C68" s="36">
        <v>98.3</v>
      </c>
      <c r="D68" s="34" t="e">
        <f t="shared" si="27"/>
        <v>#N/A</v>
      </c>
      <c r="E68" s="36" t="e">
        <f t="shared" si="25"/>
        <v>#N/A</v>
      </c>
      <c r="F68" t="s">
        <v>144</v>
      </c>
      <c r="M68" s="34"/>
      <c r="O68" s="34"/>
    </row>
    <row r="69" spans="1:15" x14ac:dyDescent="0.25">
      <c r="A69" s="34">
        <v>32</v>
      </c>
      <c r="B69" s="76">
        <v>96</v>
      </c>
      <c r="C69" s="36">
        <v>104.7</v>
      </c>
      <c r="D69" s="34" t="e">
        <f t="shared" si="27"/>
        <v>#N/A</v>
      </c>
      <c r="E69" s="36" t="e">
        <f t="shared" si="25"/>
        <v>#N/A</v>
      </c>
      <c r="F69" t="s">
        <v>144</v>
      </c>
      <c r="M69" s="34"/>
      <c r="O69" s="34"/>
    </row>
    <row r="70" spans="1:15" x14ac:dyDescent="0.25">
      <c r="A70" s="34">
        <v>33</v>
      </c>
      <c r="B70" s="76">
        <v>102</v>
      </c>
      <c r="C70" s="36">
        <v>111.1</v>
      </c>
      <c r="D70" s="34" t="e">
        <f>MAX(1,2*C70-$B$8)</f>
        <v>#N/A</v>
      </c>
      <c r="E70" s="36" t="e">
        <f t="shared" si="25"/>
        <v>#N/A</v>
      </c>
      <c r="F70" t="s">
        <v>144</v>
      </c>
      <c r="M70" s="34"/>
      <c r="O70" s="34"/>
    </row>
    <row r="71" spans="1:15" x14ac:dyDescent="0.25">
      <c r="A71" s="34">
        <v>34</v>
      </c>
      <c r="B71" s="76">
        <v>108</v>
      </c>
      <c r="C71" s="36">
        <v>117.5</v>
      </c>
      <c r="D71" s="34" t="e">
        <f t="shared" si="27"/>
        <v>#N/A</v>
      </c>
      <c r="E71" s="36" t="e">
        <f t="shared" si="25"/>
        <v>#N/A</v>
      </c>
      <c r="F71" t="s">
        <v>144</v>
      </c>
      <c r="M71" s="34"/>
      <c r="O71" s="34"/>
    </row>
    <row r="72" spans="1:15" x14ac:dyDescent="0.25">
      <c r="A72" s="34">
        <v>35</v>
      </c>
      <c r="B72" s="76">
        <v>120</v>
      </c>
      <c r="C72" s="36">
        <v>130.19999999999999</v>
      </c>
      <c r="D72" s="34" t="e">
        <f t="shared" si="27"/>
        <v>#N/A</v>
      </c>
      <c r="E72" s="36" t="e">
        <f t="shared" si="25"/>
        <v>#N/A</v>
      </c>
      <c r="F72" t="s">
        <v>144</v>
      </c>
      <c r="M72" s="34"/>
    </row>
    <row r="73" spans="1:15" x14ac:dyDescent="0.25">
      <c r="A73" s="34">
        <v>36</v>
      </c>
      <c r="B73" s="76">
        <v>132</v>
      </c>
      <c r="C73" s="36">
        <v>143</v>
      </c>
      <c r="D73" s="34" t="e">
        <f t="shared" si="27"/>
        <v>#N/A</v>
      </c>
      <c r="E73" s="36" t="e">
        <f t="shared" si="25"/>
        <v>#N/A</v>
      </c>
      <c r="F73" t="s">
        <v>144</v>
      </c>
      <c r="M73" s="34"/>
    </row>
    <row r="74" spans="1:15" x14ac:dyDescent="0.25">
      <c r="L74" t="s">
        <v>46</v>
      </c>
      <c r="M74" s="34"/>
    </row>
    <row r="75" spans="1:15" x14ac:dyDescent="0.25">
      <c r="M75" s="34"/>
    </row>
    <row r="76" spans="1:15" x14ac:dyDescent="0.25">
      <c r="M76" s="34"/>
    </row>
    <row r="77" spans="1:15" x14ac:dyDescent="0.25">
      <c r="M77" s="34"/>
    </row>
    <row r="78" spans="1:15" x14ac:dyDescent="0.25">
      <c r="B78" s="41" t="s">
        <v>69</v>
      </c>
      <c r="M78" s="34"/>
    </row>
    <row r="79" spans="1:15" x14ac:dyDescent="0.25">
      <c r="M79" s="34"/>
    </row>
    <row r="80" spans="1:15" ht="15.75" thickBot="1" x14ac:dyDescent="0.3">
      <c r="B80" s="46"/>
      <c r="C80" s="47"/>
      <c r="D80" s="48" t="s">
        <v>45</v>
      </c>
      <c r="E80" s="48"/>
      <c r="F80" s="46"/>
    </row>
    <row r="81" spans="2:24" ht="15.75" thickTop="1" x14ac:dyDescent="0.25">
      <c r="B81" s="49"/>
      <c r="C81" s="50" t="s">
        <v>70</v>
      </c>
      <c r="D81" s="51" t="e">
        <f>IF(ISBLANK($B$10),VLOOKUP($B$9,Structure_Data,3),VLOOKUP($B$10,Structure_Data,3))</f>
        <v>#N/A</v>
      </c>
      <c r="E81" s="51"/>
      <c r="F81" s="49"/>
    </row>
    <row r="82" spans="2:24" x14ac:dyDescent="0.25">
      <c r="B82" s="52"/>
      <c r="C82" s="53" t="s">
        <v>71</v>
      </c>
      <c r="D82" s="51" t="e">
        <f>IF(ISBLANK($B$10),VLOOKUP($B$9,Structure_Data,2),VLOOKUP($B$10,Structure_Data,2))</f>
        <v>#N/A</v>
      </c>
      <c r="E82" s="51"/>
      <c r="F82" s="52"/>
    </row>
    <row r="83" spans="2:24" x14ac:dyDescent="0.25">
      <c r="B83" s="55"/>
      <c r="C83" s="56"/>
      <c r="D83" s="57"/>
      <c r="E83" s="57"/>
      <c r="F83" s="55"/>
    </row>
    <row r="84" spans="2:24" x14ac:dyDescent="0.25">
      <c r="B84" s="52"/>
      <c r="C84" s="53" t="s">
        <v>72</v>
      </c>
      <c r="D84" s="51" t="e">
        <f>IF(ISBLANK($B$10),VLOOKUP($B$9,Structure_Data,5),VLOOKUP($B$10,Structure_Data,5))</f>
        <v>#N/A</v>
      </c>
      <c r="E84" s="51"/>
      <c r="F84" s="52"/>
    </row>
    <row r="85" spans="2:24" x14ac:dyDescent="0.25">
      <c r="B85" s="55"/>
      <c r="C85" s="56"/>
      <c r="D85" s="57"/>
      <c r="E85" s="57"/>
      <c r="F85" s="55"/>
    </row>
    <row r="86" spans="2:24" x14ac:dyDescent="0.25">
      <c r="B86" s="52"/>
      <c r="C86" s="53" t="s">
        <v>73</v>
      </c>
      <c r="D86" s="54" t="e">
        <f>B8</f>
        <v>#N/A</v>
      </c>
      <c r="E86" s="54"/>
      <c r="F86" s="52"/>
    </row>
    <row r="87" spans="2:24" x14ac:dyDescent="0.25">
      <c r="B87" s="52"/>
      <c r="C87" s="53" t="s">
        <v>74</v>
      </c>
      <c r="D87" s="51" t="e">
        <f>IF(ISBLANK($B$10),VLOOKUP($B$9,Structure_Data,4),VLOOKUP($B$10,Structure_Data,4))</f>
        <v>#N/A</v>
      </c>
      <c r="E87" s="51"/>
      <c r="F87" s="52"/>
    </row>
    <row r="88" spans="2:24" x14ac:dyDescent="0.25">
      <c r="B88" s="52"/>
      <c r="C88" s="53" t="s">
        <v>75</v>
      </c>
      <c r="D88" s="58" t="e">
        <f>D86-(D81-D82)</f>
        <v>#N/A</v>
      </c>
      <c r="E88" s="58"/>
      <c r="F88" s="52"/>
    </row>
    <row r="89" spans="2:24" x14ac:dyDescent="0.25">
      <c r="B89" s="52"/>
      <c r="C89" s="53" t="s">
        <v>76</v>
      </c>
      <c r="D89" s="58" t="e">
        <f>D87-(D81-D82)</f>
        <v>#N/A</v>
      </c>
      <c r="E89" s="58"/>
      <c r="F89" s="52"/>
    </row>
    <row r="90" spans="2:24" x14ac:dyDescent="0.25">
      <c r="B90" s="55"/>
      <c r="C90" s="56"/>
      <c r="D90" s="57"/>
      <c r="E90" s="57"/>
      <c r="F90" s="55"/>
    </row>
    <row r="91" spans="2:24" x14ac:dyDescent="0.25">
      <c r="B91" s="52"/>
      <c r="C91" s="53" t="s">
        <v>73</v>
      </c>
      <c r="D91" s="58" t="e">
        <f>D86/12</f>
        <v>#N/A</v>
      </c>
      <c r="E91" s="58"/>
      <c r="F91" s="52"/>
    </row>
    <row r="92" spans="2:24" x14ac:dyDescent="0.25">
      <c r="B92" s="52"/>
      <c r="C92" s="53" t="s">
        <v>74</v>
      </c>
      <c r="D92" s="58" t="e">
        <f t="shared" ref="D92:D94" si="28">D87/12</f>
        <v>#N/A</v>
      </c>
      <c r="E92" s="58"/>
      <c r="F92" s="52"/>
    </row>
    <row r="93" spans="2:24" x14ac:dyDescent="0.25">
      <c r="B93" s="52"/>
      <c r="C93" s="53" t="s">
        <v>75</v>
      </c>
      <c r="D93" s="58" t="e">
        <f t="shared" si="28"/>
        <v>#N/A</v>
      </c>
      <c r="E93" s="58"/>
      <c r="F93" s="52"/>
    </row>
    <row r="94" spans="2:24" x14ac:dyDescent="0.25">
      <c r="B94" s="52"/>
      <c r="C94" s="53" t="s">
        <v>76</v>
      </c>
      <c r="D94" s="58" t="e">
        <f t="shared" si="28"/>
        <v>#N/A</v>
      </c>
      <c r="E94" s="58"/>
      <c r="F94" s="52"/>
    </row>
    <row r="95" spans="2:24" x14ac:dyDescent="0.25">
      <c r="B95" s="96" t="s">
        <v>77</v>
      </c>
      <c r="C95" s="97"/>
      <c r="D95" s="58" t="e">
        <f>+PI()*(D93/2)*(D94/2)</f>
        <v>#N/A</v>
      </c>
      <c r="E95" s="58"/>
      <c r="F95" s="52"/>
    </row>
    <row r="96" spans="2:24" x14ac:dyDescent="0.25">
      <c r="B96" s="55"/>
      <c r="C96" s="56"/>
      <c r="D96" s="57"/>
      <c r="E96" s="57"/>
      <c r="F96" s="55"/>
      <c r="X96" s="1"/>
    </row>
    <row r="97" spans="1:26" x14ac:dyDescent="0.25">
      <c r="B97" s="52"/>
      <c r="C97" s="53" t="s">
        <v>78</v>
      </c>
      <c r="D97" s="59" t="e">
        <f>B5-B8</f>
        <v>#N/A</v>
      </c>
      <c r="E97" s="59"/>
      <c r="F97" s="52"/>
      <c r="X97" s="1"/>
    </row>
    <row r="98" spans="1:26" x14ac:dyDescent="0.25">
      <c r="B98" s="64"/>
      <c r="C98" s="65" t="s">
        <v>79</v>
      </c>
      <c r="D98" s="66" t="e">
        <f>((D81-D82)/2)/12</f>
        <v>#N/A</v>
      </c>
      <c r="E98" s="66"/>
      <c r="F98" s="64"/>
      <c r="X98" s="1"/>
    </row>
    <row r="99" spans="1:26" x14ac:dyDescent="0.25">
      <c r="C99" t="s">
        <v>143</v>
      </c>
      <c r="D99" s="34">
        <v>0.8</v>
      </c>
      <c r="E99" s="34"/>
      <c r="X99" s="1"/>
    </row>
    <row r="100" spans="1:26" x14ac:dyDescent="0.25">
      <c r="C100" s="33" t="s">
        <v>145</v>
      </c>
      <c r="D100" s="51" t="e">
        <f>IF(ISBLANK($B$10),VLOOKUP($B$9,Structure_Data,6),VLOOKUP($B$10,Structure_Data,6))</f>
        <v>#N/A</v>
      </c>
      <c r="E100" s="36"/>
      <c r="X100" s="34"/>
      <c r="Y100" s="34"/>
      <c r="Z100" s="34"/>
    </row>
    <row r="101" spans="1:26" x14ac:dyDescent="0.25">
      <c r="C101" s="33"/>
      <c r="D101" s="36"/>
      <c r="E101" s="36"/>
      <c r="X101" s="34"/>
      <c r="Y101" s="34"/>
      <c r="Z101" s="34"/>
    </row>
    <row r="102" spans="1:26" x14ac:dyDescent="0.25">
      <c r="C102" s="33"/>
      <c r="D102" s="36"/>
      <c r="E102" s="36"/>
      <c r="X102" s="1"/>
    </row>
    <row r="103" spans="1:26" x14ac:dyDescent="0.25">
      <c r="B103" s="33" t="s">
        <v>43</v>
      </c>
      <c r="C103" s="34" t="e">
        <f>B8</f>
        <v>#N/A</v>
      </c>
      <c r="D103" t="s">
        <v>44</v>
      </c>
      <c r="X103" s="1"/>
    </row>
    <row r="104" spans="1:26" x14ac:dyDescent="0.25">
      <c r="X104" s="1"/>
    </row>
    <row r="105" spans="1:26" x14ac:dyDescent="0.25">
      <c r="X105" s="1"/>
    </row>
    <row r="106" spans="1:26" x14ac:dyDescent="0.25">
      <c r="X106" s="1"/>
    </row>
    <row r="107" spans="1:26" x14ac:dyDescent="0.25">
      <c r="X107" s="1"/>
    </row>
    <row r="108" spans="1:26" x14ac:dyDescent="0.25">
      <c r="X108" s="1"/>
    </row>
    <row r="109" spans="1:26" x14ac:dyDescent="0.25">
      <c r="A109" s="41" t="s">
        <v>57</v>
      </c>
      <c r="X109" s="1"/>
    </row>
    <row r="110" spans="1:26" x14ac:dyDescent="0.25">
      <c r="N110" t="s">
        <v>80</v>
      </c>
      <c r="W110" s="1"/>
      <c r="X110" s="1"/>
    </row>
    <row r="111" spans="1:26" x14ac:dyDescent="0.25">
      <c r="B111" t="s">
        <v>58</v>
      </c>
      <c r="J111" s="1"/>
      <c r="K111" s="1"/>
      <c r="W111" s="1"/>
      <c r="X111" s="1"/>
    </row>
    <row r="112" spans="1:26" x14ac:dyDescent="0.25">
      <c r="B112" s="33" t="s">
        <v>59</v>
      </c>
      <c r="C112" s="36" t="e">
        <f>D87</f>
        <v>#N/A</v>
      </c>
      <c r="D112" t="s">
        <v>6</v>
      </c>
      <c r="J112" s="1"/>
      <c r="K112" s="1"/>
      <c r="P112" t="s">
        <v>81</v>
      </c>
      <c r="T112" t="s">
        <v>82</v>
      </c>
      <c r="W112" s="1"/>
      <c r="X112" s="1"/>
    </row>
    <row r="113" spans="2:24" x14ac:dyDescent="0.25">
      <c r="B113" s="33" t="s">
        <v>60</v>
      </c>
      <c r="C113" s="36" t="e">
        <f>D86</f>
        <v>#N/A</v>
      </c>
      <c r="D113" t="s">
        <v>6</v>
      </c>
      <c r="J113" s="1"/>
      <c r="K113" s="1"/>
      <c r="W113" s="1"/>
      <c r="X113" s="1"/>
    </row>
    <row r="114" spans="2:24" x14ac:dyDescent="0.25">
      <c r="J114" s="1"/>
      <c r="K114" s="1"/>
      <c r="O114" s="34" t="s">
        <v>83</v>
      </c>
      <c r="P114" s="34"/>
      <c r="Q114" s="34" t="s">
        <v>84</v>
      </c>
      <c r="R114" s="34" t="s">
        <v>84</v>
      </c>
      <c r="T114" s="34"/>
      <c r="U114" s="34" t="s">
        <v>84</v>
      </c>
      <c r="V114" s="34" t="s">
        <v>84</v>
      </c>
      <c r="W114" s="1"/>
      <c r="X114" s="1"/>
    </row>
    <row r="115" spans="2:24" x14ac:dyDescent="0.25">
      <c r="B115" s="33" t="s">
        <v>61</v>
      </c>
      <c r="C115" s="34" t="e">
        <f>D98*12</f>
        <v>#N/A</v>
      </c>
      <c r="D115" t="s">
        <v>6</v>
      </c>
      <c r="J115" s="1"/>
      <c r="K115" s="1"/>
      <c r="O115" s="35" t="s">
        <v>85</v>
      </c>
      <c r="P115" s="35" t="s">
        <v>86</v>
      </c>
      <c r="Q115" s="35" t="s">
        <v>87</v>
      </c>
      <c r="R115" s="35" t="s">
        <v>88</v>
      </c>
      <c r="T115" s="35" t="s">
        <v>86</v>
      </c>
      <c r="U115" s="35" t="s">
        <v>87</v>
      </c>
      <c r="V115" s="35" t="s">
        <v>88</v>
      </c>
      <c r="W115" s="1"/>
      <c r="X115" s="1"/>
    </row>
    <row r="116" spans="2:24" x14ac:dyDescent="0.25">
      <c r="J116" s="1"/>
      <c r="K116" s="1"/>
      <c r="O116" s="34"/>
      <c r="W116" s="1"/>
      <c r="X116" s="1"/>
    </row>
    <row r="117" spans="2:24" x14ac:dyDescent="0.25">
      <c r="C117" s="42" t="s">
        <v>62</v>
      </c>
      <c r="D117" s="34" t="s">
        <v>63</v>
      </c>
      <c r="J117" s="1"/>
      <c r="K117" s="1"/>
      <c r="O117" s="61">
        <v>-1</v>
      </c>
      <c r="P117" s="36" t="e">
        <f t="shared" ref="P117:P135" si="29">$C$119*O117</f>
        <v>#N/A</v>
      </c>
      <c r="Q117" s="36" t="e">
        <f t="shared" ref="Q117:Q135" si="30">$D$119+$D$119*SQRT(1-O117^2)</f>
        <v>#N/A</v>
      </c>
      <c r="R117" s="36" t="e">
        <f t="shared" ref="R117:R135" si="31">$D$119-$D$119*SQRT(1-O117^2)</f>
        <v>#N/A</v>
      </c>
      <c r="T117" s="36" t="e">
        <f t="shared" ref="T117:T135" si="32">$C$120*O117</f>
        <v>#N/A</v>
      </c>
      <c r="U117" s="36" t="e">
        <f t="shared" ref="U117:U135" si="33">$D$119+$D$120*SQRT(1-O117^2)</f>
        <v>#N/A</v>
      </c>
      <c r="V117" s="36" t="e">
        <f t="shared" ref="V117:V135" si="34">$D$119-$D$120*SQRT(1-O117^2)</f>
        <v>#N/A</v>
      </c>
      <c r="W117" s="1"/>
      <c r="X117" s="1"/>
    </row>
    <row r="118" spans="2:24" x14ac:dyDescent="0.25">
      <c r="B118" s="35"/>
      <c r="C118" s="43" t="s">
        <v>64</v>
      </c>
      <c r="D118" s="35" t="s">
        <v>65</v>
      </c>
      <c r="J118" s="1"/>
      <c r="K118" s="1"/>
      <c r="O118" s="61">
        <v>-0.99405714285714286</v>
      </c>
      <c r="P118" s="36" t="e">
        <f t="shared" si="29"/>
        <v>#N/A</v>
      </c>
      <c r="Q118" s="36" t="e">
        <f t="shared" si="30"/>
        <v>#N/A</v>
      </c>
      <c r="R118" s="36" t="e">
        <f t="shared" si="31"/>
        <v>#N/A</v>
      </c>
      <c r="T118" s="36" t="e">
        <f t="shared" si="32"/>
        <v>#N/A</v>
      </c>
      <c r="U118" s="36" t="e">
        <f t="shared" si="33"/>
        <v>#N/A</v>
      </c>
      <c r="V118" s="36" t="e">
        <f t="shared" si="34"/>
        <v>#N/A</v>
      </c>
      <c r="X118" s="1"/>
    </row>
    <row r="119" spans="2:24" x14ac:dyDescent="0.25">
      <c r="B119" s="34" t="s">
        <v>66</v>
      </c>
      <c r="C119" s="44" t="e">
        <f>C112/2</f>
        <v>#N/A</v>
      </c>
      <c r="D119" s="36" t="e">
        <f>C113/2</f>
        <v>#N/A</v>
      </c>
      <c r="K119" s="1"/>
      <c r="O119" s="61">
        <v>-0.96205714285714283</v>
      </c>
      <c r="P119" s="36" t="e">
        <f t="shared" si="29"/>
        <v>#N/A</v>
      </c>
      <c r="Q119" s="36" t="e">
        <f t="shared" si="30"/>
        <v>#N/A</v>
      </c>
      <c r="R119" s="36" t="e">
        <f t="shared" si="31"/>
        <v>#N/A</v>
      </c>
      <c r="T119" s="36" t="e">
        <f t="shared" si="32"/>
        <v>#N/A</v>
      </c>
      <c r="U119" s="36" t="e">
        <f t="shared" si="33"/>
        <v>#N/A</v>
      </c>
      <c r="V119" s="36" t="e">
        <f t="shared" si="34"/>
        <v>#N/A</v>
      </c>
      <c r="X119" s="1"/>
    </row>
    <row r="120" spans="2:24" x14ac:dyDescent="0.25">
      <c r="B120" s="34" t="s">
        <v>67</v>
      </c>
      <c r="C120" s="44" t="e">
        <f>C119-C115</f>
        <v>#N/A</v>
      </c>
      <c r="D120" s="36" t="e">
        <f>D119-C115</f>
        <v>#N/A</v>
      </c>
      <c r="K120" s="1"/>
      <c r="O120" s="61">
        <v>-0.88662857142857143</v>
      </c>
      <c r="P120" s="36" t="e">
        <f t="shared" si="29"/>
        <v>#N/A</v>
      </c>
      <c r="Q120" s="36" t="e">
        <f t="shared" si="30"/>
        <v>#N/A</v>
      </c>
      <c r="R120" s="36" t="e">
        <f t="shared" si="31"/>
        <v>#N/A</v>
      </c>
      <c r="T120" s="36" t="e">
        <f t="shared" si="32"/>
        <v>#N/A</v>
      </c>
      <c r="U120" s="36" t="e">
        <f t="shared" si="33"/>
        <v>#N/A</v>
      </c>
      <c r="V120" s="36" t="e">
        <f t="shared" si="34"/>
        <v>#N/A</v>
      </c>
      <c r="X120" s="1"/>
    </row>
    <row r="121" spans="2:24" x14ac:dyDescent="0.25">
      <c r="O121" s="61">
        <v>-0.78428571428571425</v>
      </c>
      <c r="P121" s="36" t="e">
        <f t="shared" si="29"/>
        <v>#N/A</v>
      </c>
      <c r="Q121" s="36" t="e">
        <f t="shared" si="30"/>
        <v>#N/A</v>
      </c>
      <c r="R121" s="36" t="e">
        <f t="shared" si="31"/>
        <v>#N/A</v>
      </c>
      <c r="T121" s="36" t="e">
        <f t="shared" si="32"/>
        <v>#N/A</v>
      </c>
      <c r="U121" s="36" t="e">
        <f t="shared" si="33"/>
        <v>#N/A</v>
      </c>
      <c r="V121" s="36" t="e">
        <f t="shared" si="34"/>
        <v>#N/A</v>
      </c>
      <c r="X121" s="1"/>
    </row>
    <row r="122" spans="2:24" x14ac:dyDescent="0.25">
      <c r="B122" s="33" t="s">
        <v>93</v>
      </c>
      <c r="C122" s="36" t="e">
        <f>D81</f>
        <v>#N/A</v>
      </c>
      <c r="O122" s="61">
        <v>-0.65811428571428565</v>
      </c>
      <c r="P122" s="36" t="e">
        <f t="shared" si="29"/>
        <v>#N/A</v>
      </c>
      <c r="Q122" s="36" t="e">
        <f t="shared" si="30"/>
        <v>#N/A</v>
      </c>
      <c r="R122" s="36" t="e">
        <f t="shared" si="31"/>
        <v>#N/A</v>
      </c>
      <c r="T122" s="36" t="e">
        <f t="shared" si="32"/>
        <v>#N/A</v>
      </c>
      <c r="U122" s="36" t="e">
        <f t="shared" si="33"/>
        <v>#N/A</v>
      </c>
      <c r="V122" s="36" t="e">
        <f t="shared" si="34"/>
        <v>#N/A</v>
      </c>
    </row>
    <row r="123" spans="2:24" x14ac:dyDescent="0.25">
      <c r="B123" s="33" t="s">
        <v>94</v>
      </c>
      <c r="C123" s="36" t="e">
        <f>D82</f>
        <v>#N/A</v>
      </c>
      <c r="O123" s="61">
        <v>-0.51188571428571428</v>
      </c>
      <c r="P123" s="36" t="e">
        <f t="shared" si="29"/>
        <v>#N/A</v>
      </c>
      <c r="Q123" s="36" t="e">
        <f t="shared" si="30"/>
        <v>#N/A</v>
      </c>
      <c r="R123" s="36" t="e">
        <f t="shared" si="31"/>
        <v>#N/A</v>
      </c>
      <c r="T123" s="36" t="e">
        <f t="shared" si="32"/>
        <v>#N/A</v>
      </c>
      <c r="U123" s="36" t="e">
        <f t="shared" si="33"/>
        <v>#N/A</v>
      </c>
      <c r="V123" s="36" t="e">
        <f t="shared" si="34"/>
        <v>#N/A</v>
      </c>
    </row>
    <row r="124" spans="2:24" x14ac:dyDescent="0.25">
      <c r="O124" s="61">
        <v>-0.35017142857142858</v>
      </c>
      <c r="P124" s="36" t="e">
        <f t="shared" si="29"/>
        <v>#N/A</v>
      </c>
      <c r="Q124" s="36" t="e">
        <f t="shared" si="30"/>
        <v>#N/A</v>
      </c>
      <c r="R124" s="36" t="e">
        <f t="shared" si="31"/>
        <v>#N/A</v>
      </c>
      <c r="T124" s="36" t="e">
        <f t="shared" si="32"/>
        <v>#N/A</v>
      </c>
      <c r="U124" s="36" t="e">
        <f t="shared" si="33"/>
        <v>#N/A</v>
      </c>
      <c r="V124" s="36" t="e">
        <f t="shared" si="34"/>
        <v>#N/A</v>
      </c>
    </row>
    <row r="125" spans="2:24" x14ac:dyDescent="0.25">
      <c r="O125" s="61">
        <v>-0.17777142857142858</v>
      </c>
      <c r="P125" s="36" t="e">
        <f t="shared" si="29"/>
        <v>#N/A</v>
      </c>
      <c r="Q125" s="36" t="e">
        <f t="shared" si="30"/>
        <v>#N/A</v>
      </c>
      <c r="R125" s="36" t="e">
        <f t="shared" si="31"/>
        <v>#N/A</v>
      </c>
      <c r="T125" s="36" t="e">
        <f t="shared" si="32"/>
        <v>#N/A</v>
      </c>
      <c r="U125" s="36" t="e">
        <f t="shared" si="33"/>
        <v>#N/A</v>
      </c>
      <c r="V125" s="36" t="e">
        <f t="shared" si="34"/>
        <v>#N/A</v>
      </c>
    </row>
    <row r="126" spans="2:24" x14ac:dyDescent="0.25">
      <c r="O126" s="61">
        <v>0</v>
      </c>
      <c r="P126" s="36" t="e">
        <f t="shared" si="29"/>
        <v>#N/A</v>
      </c>
      <c r="Q126" s="36" t="e">
        <f t="shared" si="30"/>
        <v>#N/A</v>
      </c>
      <c r="R126" s="36" t="e">
        <f t="shared" si="31"/>
        <v>#N/A</v>
      </c>
      <c r="T126" s="36" t="e">
        <f t="shared" si="32"/>
        <v>#N/A</v>
      </c>
      <c r="U126" s="36" t="e">
        <f t="shared" si="33"/>
        <v>#N/A</v>
      </c>
      <c r="V126" s="36" t="e">
        <f t="shared" si="34"/>
        <v>#N/A</v>
      </c>
    </row>
    <row r="127" spans="2:24" x14ac:dyDescent="0.25">
      <c r="O127" s="61">
        <v>0.17777142857142869</v>
      </c>
      <c r="P127" s="36" t="e">
        <f t="shared" si="29"/>
        <v>#N/A</v>
      </c>
      <c r="Q127" s="36" t="e">
        <f t="shared" si="30"/>
        <v>#N/A</v>
      </c>
      <c r="R127" s="36" t="e">
        <f t="shared" si="31"/>
        <v>#N/A</v>
      </c>
      <c r="T127" s="36" t="e">
        <f t="shared" si="32"/>
        <v>#N/A</v>
      </c>
      <c r="U127" s="36" t="e">
        <f t="shared" si="33"/>
        <v>#N/A</v>
      </c>
      <c r="V127" s="36" t="e">
        <f t="shared" si="34"/>
        <v>#N/A</v>
      </c>
    </row>
    <row r="128" spans="2:24" x14ac:dyDescent="0.25">
      <c r="O128" s="61">
        <v>0.35017142857142858</v>
      </c>
      <c r="P128" s="36" t="e">
        <f t="shared" si="29"/>
        <v>#N/A</v>
      </c>
      <c r="Q128" s="36" t="e">
        <f t="shared" si="30"/>
        <v>#N/A</v>
      </c>
      <c r="R128" s="36" t="e">
        <f t="shared" si="31"/>
        <v>#N/A</v>
      </c>
      <c r="T128" s="36" t="e">
        <f t="shared" si="32"/>
        <v>#N/A</v>
      </c>
      <c r="U128" s="36" t="e">
        <f t="shared" si="33"/>
        <v>#N/A</v>
      </c>
      <c r="V128" s="36" t="e">
        <f t="shared" si="34"/>
        <v>#N/A</v>
      </c>
    </row>
    <row r="129" spans="14:22" x14ac:dyDescent="0.25">
      <c r="O129" s="61">
        <v>0.51188571428571428</v>
      </c>
      <c r="P129" s="36" t="e">
        <f t="shared" si="29"/>
        <v>#N/A</v>
      </c>
      <c r="Q129" s="36" t="e">
        <f t="shared" si="30"/>
        <v>#N/A</v>
      </c>
      <c r="R129" s="36" t="e">
        <f t="shared" si="31"/>
        <v>#N/A</v>
      </c>
      <c r="T129" s="36" t="e">
        <f t="shared" si="32"/>
        <v>#N/A</v>
      </c>
      <c r="U129" s="36" t="e">
        <f t="shared" si="33"/>
        <v>#N/A</v>
      </c>
      <c r="V129" s="36" t="e">
        <f t="shared" si="34"/>
        <v>#N/A</v>
      </c>
    </row>
    <row r="130" spans="14:22" x14ac:dyDescent="0.25">
      <c r="O130" s="61">
        <v>0.65811428571428565</v>
      </c>
      <c r="P130" s="36" t="e">
        <f t="shared" si="29"/>
        <v>#N/A</v>
      </c>
      <c r="Q130" s="36" t="e">
        <f t="shared" si="30"/>
        <v>#N/A</v>
      </c>
      <c r="R130" s="36" t="e">
        <f t="shared" si="31"/>
        <v>#N/A</v>
      </c>
      <c r="T130" s="36" t="e">
        <f t="shared" si="32"/>
        <v>#N/A</v>
      </c>
      <c r="U130" s="36" t="e">
        <f t="shared" si="33"/>
        <v>#N/A</v>
      </c>
      <c r="V130" s="36" t="e">
        <f t="shared" si="34"/>
        <v>#N/A</v>
      </c>
    </row>
    <row r="131" spans="14:22" x14ac:dyDescent="0.25">
      <c r="O131" s="61">
        <v>0.78428571428571425</v>
      </c>
      <c r="P131" s="36" t="e">
        <f t="shared" si="29"/>
        <v>#N/A</v>
      </c>
      <c r="Q131" s="36" t="e">
        <f t="shared" si="30"/>
        <v>#N/A</v>
      </c>
      <c r="R131" s="36" t="e">
        <f t="shared" si="31"/>
        <v>#N/A</v>
      </c>
      <c r="T131" s="36" t="e">
        <f t="shared" si="32"/>
        <v>#N/A</v>
      </c>
      <c r="U131" s="36" t="e">
        <f t="shared" si="33"/>
        <v>#N/A</v>
      </c>
      <c r="V131" s="36" t="e">
        <f t="shared" si="34"/>
        <v>#N/A</v>
      </c>
    </row>
    <row r="132" spans="14:22" x14ac:dyDescent="0.25">
      <c r="O132" s="61">
        <v>0.88662857142857154</v>
      </c>
      <c r="P132" s="36" t="e">
        <f t="shared" si="29"/>
        <v>#N/A</v>
      </c>
      <c r="Q132" s="36" t="e">
        <f t="shared" si="30"/>
        <v>#N/A</v>
      </c>
      <c r="R132" s="36" t="e">
        <f t="shared" si="31"/>
        <v>#N/A</v>
      </c>
      <c r="T132" s="36" t="e">
        <f t="shared" si="32"/>
        <v>#N/A</v>
      </c>
      <c r="U132" s="36" t="e">
        <f t="shared" si="33"/>
        <v>#N/A</v>
      </c>
      <c r="V132" s="36" t="e">
        <f t="shared" si="34"/>
        <v>#N/A</v>
      </c>
    </row>
    <row r="133" spans="14:22" x14ac:dyDescent="0.25">
      <c r="O133" s="61">
        <v>0.96205714285714294</v>
      </c>
      <c r="P133" s="36" t="e">
        <f t="shared" si="29"/>
        <v>#N/A</v>
      </c>
      <c r="Q133" s="36" t="e">
        <f t="shared" si="30"/>
        <v>#N/A</v>
      </c>
      <c r="R133" s="36" t="e">
        <f t="shared" si="31"/>
        <v>#N/A</v>
      </c>
      <c r="T133" s="36" t="e">
        <f t="shared" si="32"/>
        <v>#N/A</v>
      </c>
      <c r="U133" s="36" t="e">
        <f t="shared" si="33"/>
        <v>#N/A</v>
      </c>
      <c r="V133" s="36" t="e">
        <f t="shared" si="34"/>
        <v>#N/A</v>
      </c>
    </row>
    <row r="134" spans="14:22" x14ac:dyDescent="0.25">
      <c r="O134" s="61">
        <v>0.99405714285714275</v>
      </c>
      <c r="P134" s="36" t="e">
        <f t="shared" si="29"/>
        <v>#N/A</v>
      </c>
      <c r="Q134" s="36" t="e">
        <f t="shared" si="30"/>
        <v>#N/A</v>
      </c>
      <c r="R134" s="36" t="e">
        <f t="shared" si="31"/>
        <v>#N/A</v>
      </c>
      <c r="T134" s="36" t="e">
        <f t="shared" si="32"/>
        <v>#N/A</v>
      </c>
      <c r="U134" s="36" t="e">
        <f t="shared" si="33"/>
        <v>#N/A</v>
      </c>
      <c r="V134" s="36" t="e">
        <f t="shared" si="34"/>
        <v>#N/A</v>
      </c>
    </row>
    <row r="135" spans="14:22" x14ac:dyDescent="0.25">
      <c r="O135" s="61">
        <v>1</v>
      </c>
      <c r="P135" s="36" t="e">
        <f t="shared" si="29"/>
        <v>#N/A</v>
      </c>
      <c r="Q135" s="36" t="e">
        <f t="shared" si="30"/>
        <v>#N/A</v>
      </c>
      <c r="R135" s="36" t="e">
        <f t="shared" si="31"/>
        <v>#N/A</v>
      </c>
      <c r="T135" s="36" t="e">
        <f t="shared" si="32"/>
        <v>#N/A</v>
      </c>
      <c r="U135" s="36" t="e">
        <f t="shared" si="33"/>
        <v>#N/A</v>
      </c>
      <c r="V135" s="36" t="e">
        <f t="shared" si="34"/>
        <v>#N/A</v>
      </c>
    </row>
    <row r="138" spans="14:22" x14ac:dyDescent="0.25">
      <c r="N138" t="s">
        <v>89</v>
      </c>
    </row>
    <row r="140" spans="14:22" x14ac:dyDescent="0.25">
      <c r="P140" t="s">
        <v>81</v>
      </c>
      <c r="T140" t="s">
        <v>82</v>
      </c>
    </row>
    <row r="142" spans="14:22" x14ac:dyDescent="0.25">
      <c r="P142" s="34"/>
      <c r="Q142" s="34" t="s">
        <v>84</v>
      </c>
      <c r="R142" s="34" t="s">
        <v>84</v>
      </c>
      <c r="T142" s="34"/>
      <c r="U142" s="34" t="s">
        <v>84</v>
      </c>
      <c r="V142" s="34" t="s">
        <v>84</v>
      </c>
    </row>
    <row r="143" spans="14:22" x14ac:dyDescent="0.25">
      <c r="P143" s="35" t="s">
        <v>86</v>
      </c>
      <c r="Q143" s="35" t="s">
        <v>87</v>
      </c>
      <c r="R143" s="35" t="s">
        <v>88</v>
      </c>
      <c r="T143" s="35" t="s">
        <v>86</v>
      </c>
      <c r="U143" s="35" t="s">
        <v>87</v>
      </c>
      <c r="V143" s="35" t="s">
        <v>88</v>
      </c>
    </row>
    <row r="145" spans="16:22" x14ac:dyDescent="0.25">
      <c r="P145" s="61" t="e">
        <f t="shared" ref="P145:V160" si="35">P117/12</f>
        <v>#N/A</v>
      </c>
      <c r="Q145" s="61" t="e">
        <f t="shared" si="35"/>
        <v>#N/A</v>
      </c>
      <c r="R145" s="61" t="e">
        <f t="shared" si="35"/>
        <v>#N/A</v>
      </c>
      <c r="S145" s="61"/>
      <c r="T145" s="61" t="e">
        <f t="shared" si="35"/>
        <v>#N/A</v>
      </c>
      <c r="U145" s="61" t="e">
        <f t="shared" si="35"/>
        <v>#N/A</v>
      </c>
      <c r="V145" s="61" t="e">
        <f t="shared" si="35"/>
        <v>#N/A</v>
      </c>
    </row>
    <row r="146" spans="16:22" x14ac:dyDescent="0.25">
      <c r="P146" s="61" t="e">
        <f t="shared" si="35"/>
        <v>#N/A</v>
      </c>
      <c r="Q146" s="61" t="e">
        <f t="shared" si="35"/>
        <v>#N/A</v>
      </c>
      <c r="R146" s="61" t="e">
        <f t="shared" si="35"/>
        <v>#N/A</v>
      </c>
      <c r="S146" s="61"/>
      <c r="T146" s="61" t="e">
        <f t="shared" si="35"/>
        <v>#N/A</v>
      </c>
      <c r="U146" s="61" t="e">
        <f t="shared" si="35"/>
        <v>#N/A</v>
      </c>
      <c r="V146" s="61" t="e">
        <f t="shared" si="35"/>
        <v>#N/A</v>
      </c>
    </row>
    <row r="147" spans="16:22" x14ac:dyDescent="0.25">
      <c r="P147" s="61" t="e">
        <f t="shared" si="35"/>
        <v>#N/A</v>
      </c>
      <c r="Q147" s="61" t="e">
        <f t="shared" si="35"/>
        <v>#N/A</v>
      </c>
      <c r="R147" s="61" t="e">
        <f t="shared" si="35"/>
        <v>#N/A</v>
      </c>
      <c r="S147" s="61"/>
      <c r="T147" s="61" t="e">
        <f t="shared" si="35"/>
        <v>#N/A</v>
      </c>
      <c r="U147" s="61" t="e">
        <f t="shared" si="35"/>
        <v>#N/A</v>
      </c>
      <c r="V147" s="61" t="e">
        <f t="shared" si="35"/>
        <v>#N/A</v>
      </c>
    </row>
    <row r="148" spans="16:22" x14ac:dyDescent="0.25">
      <c r="P148" s="61" t="e">
        <f t="shared" si="35"/>
        <v>#N/A</v>
      </c>
      <c r="Q148" s="61" t="e">
        <f t="shared" si="35"/>
        <v>#N/A</v>
      </c>
      <c r="R148" s="61" t="e">
        <f t="shared" si="35"/>
        <v>#N/A</v>
      </c>
      <c r="S148" s="61"/>
      <c r="T148" s="61" t="e">
        <f t="shared" si="35"/>
        <v>#N/A</v>
      </c>
      <c r="U148" s="61" t="e">
        <f t="shared" si="35"/>
        <v>#N/A</v>
      </c>
      <c r="V148" s="61" t="e">
        <f t="shared" si="35"/>
        <v>#N/A</v>
      </c>
    </row>
    <row r="149" spans="16:22" x14ac:dyDescent="0.25">
      <c r="P149" s="61" t="e">
        <f t="shared" si="35"/>
        <v>#N/A</v>
      </c>
      <c r="Q149" s="61" t="e">
        <f t="shared" si="35"/>
        <v>#N/A</v>
      </c>
      <c r="R149" s="61" t="e">
        <f t="shared" si="35"/>
        <v>#N/A</v>
      </c>
      <c r="S149" s="61"/>
      <c r="T149" s="61" t="e">
        <f t="shared" si="35"/>
        <v>#N/A</v>
      </c>
      <c r="U149" s="61" t="e">
        <f t="shared" si="35"/>
        <v>#N/A</v>
      </c>
      <c r="V149" s="61" t="e">
        <f t="shared" si="35"/>
        <v>#N/A</v>
      </c>
    </row>
    <row r="150" spans="16:22" x14ac:dyDescent="0.25">
      <c r="P150" s="61" t="e">
        <f t="shared" si="35"/>
        <v>#N/A</v>
      </c>
      <c r="Q150" s="61" t="e">
        <f t="shared" si="35"/>
        <v>#N/A</v>
      </c>
      <c r="R150" s="61" t="e">
        <f t="shared" si="35"/>
        <v>#N/A</v>
      </c>
      <c r="S150" s="61"/>
      <c r="T150" s="61" t="e">
        <f t="shared" si="35"/>
        <v>#N/A</v>
      </c>
      <c r="U150" s="61" t="e">
        <f t="shared" si="35"/>
        <v>#N/A</v>
      </c>
      <c r="V150" s="61" t="e">
        <f t="shared" si="35"/>
        <v>#N/A</v>
      </c>
    </row>
    <row r="151" spans="16:22" x14ac:dyDescent="0.25">
      <c r="P151" s="61" t="e">
        <f t="shared" si="35"/>
        <v>#N/A</v>
      </c>
      <c r="Q151" s="61" t="e">
        <f t="shared" si="35"/>
        <v>#N/A</v>
      </c>
      <c r="R151" s="61" t="e">
        <f t="shared" si="35"/>
        <v>#N/A</v>
      </c>
      <c r="S151" s="61"/>
      <c r="T151" s="61" t="e">
        <f t="shared" si="35"/>
        <v>#N/A</v>
      </c>
      <c r="U151" s="61" t="e">
        <f t="shared" si="35"/>
        <v>#N/A</v>
      </c>
      <c r="V151" s="61" t="e">
        <f t="shared" si="35"/>
        <v>#N/A</v>
      </c>
    </row>
    <row r="152" spans="16:22" x14ac:dyDescent="0.25">
      <c r="P152" s="61" t="e">
        <f t="shared" si="35"/>
        <v>#N/A</v>
      </c>
      <c r="Q152" s="61" t="e">
        <f t="shared" si="35"/>
        <v>#N/A</v>
      </c>
      <c r="R152" s="61" t="e">
        <f t="shared" si="35"/>
        <v>#N/A</v>
      </c>
      <c r="S152" s="61"/>
      <c r="T152" s="61" t="e">
        <f t="shared" si="35"/>
        <v>#N/A</v>
      </c>
      <c r="U152" s="61" t="e">
        <f t="shared" si="35"/>
        <v>#N/A</v>
      </c>
      <c r="V152" s="61" t="e">
        <f t="shared" si="35"/>
        <v>#N/A</v>
      </c>
    </row>
    <row r="153" spans="16:22" x14ac:dyDescent="0.25">
      <c r="P153" s="61" t="e">
        <f t="shared" si="35"/>
        <v>#N/A</v>
      </c>
      <c r="Q153" s="61" t="e">
        <f t="shared" si="35"/>
        <v>#N/A</v>
      </c>
      <c r="R153" s="61" t="e">
        <f t="shared" si="35"/>
        <v>#N/A</v>
      </c>
      <c r="S153" s="61"/>
      <c r="T153" s="61" t="e">
        <f t="shared" si="35"/>
        <v>#N/A</v>
      </c>
      <c r="U153" s="61" t="e">
        <f t="shared" si="35"/>
        <v>#N/A</v>
      </c>
      <c r="V153" s="61" t="e">
        <f t="shared" si="35"/>
        <v>#N/A</v>
      </c>
    </row>
    <row r="154" spans="16:22" x14ac:dyDescent="0.25">
      <c r="P154" s="61" t="e">
        <f t="shared" si="35"/>
        <v>#N/A</v>
      </c>
      <c r="Q154" s="61" t="e">
        <f t="shared" si="35"/>
        <v>#N/A</v>
      </c>
      <c r="R154" s="61" t="e">
        <f t="shared" si="35"/>
        <v>#N/A</v>
      </c>
      <c r="S154" s="61"/>
      <c r="T154" s="61" t="e">
        <f t="shared" si="35"/>
        <v>#N/A</v>
      </c>
      <c r="U154" s="61" t="e">
        <f t="shared" si="35"/>
        <v>#N/A</v>
      </c>
      <c r="V154" s="61" t="e">
        <f t="shared" si="35"/>
        <v>#N/A</v>
      </c>
    </row>
    <row r="155" spans="16:22" x14ac:dyDescent="0.25">
      <c r="P155" s="61" t="e">
        <f t="shared" si="35"/>
        <v>#N/A</v>
      </c>
      <c r="Q155" s="61" t="e">
        <f t="shared" si="35"/>
        <v>#N/A</v>
      </c>
      <c r="R155" s="61" t="e">
        <f t="shared" si="35"/>
        <v>#N/A</v>
      </c>
      <c r="S155" s="61"/>
      <c r="T155" s="61" t="e">
        <f t="shared" si="35"/>
        <v>#N/A</v>
      </c>
      <c r="U155" s="61" t="e">
        <f t="shared" si="35"/>
        <v>#N/A</v>
      </c>
      <c r="V155" s="61" t="e">
        <f t="shared" si="35"/>
        <v>#N/A</v>
      </c>
    </row>
    <row r="156" spans="16:22" x14ac:dyDescent="0.25">
      <c r="P156" s="61" t="e">
        <f t="shared" si="35"/>
        <v>#N/A</v>
      </c>
      <c r="Q156" s="61" t="e">
        <f t="shared" si="35"/>
        <v>#N/A</v>
      </c>
      <c r="R156" s="61" t="e">
        <f t="shared" si="35"/>
        <v>#N/A</v>
      </c>
      <c r="S156" s="61"/>
      <c r="T156" s="61" t="e">
        <f t="shared" si="35"/>
        <v>#N/A</v>
      </c>
      <c r="U156" s="61" t="e">
        <f t="shared" si="35"/>
        <v>#N/A</v>
      </c>
      <c r="V156" s="61" t="e">
        <f t="shared" si="35"/>
        <v>#N/A</v>
      </c>
    </row>
    <row r="157" spans="16:22" x14ac:dyDescent="0.25">
      <c r="P157" s="61" t="e">
        <f t="shared" si="35"/>
        <v>#N/A</v>
      </c>
      <c r="Q157" s="61" t="e">
        <f t="shared" si="35"/>
        <v>#N/A</v>
      </c>
      <c r="R157" s="61" t="e">
        <f t="shared" si="35"/>
        <v>#N/A</v>
      </c>
      <c r="S157" s="61"/>
      <c r="T157" s="61" t="e">
        <f t="shared" si="35"/>
        <v>#N/A</v>
      </c>
      <c r="U157" s="61" t="e">
        <f t="shared" si="35"/>
        <v>#N/A</v>
      </c>
      <c r="V157" s="61" t="e">
        <f t="shared" si="35"/>
        <v>#N/A</v>
      </c>
    </row>
    <row r="158" spans="16:22" x14ac:dyDescent="0.25">
      <c r="P158" s="61" t="e">
        <f t="shared" si="35"/>
        <v>#N/A</v>
      </c>
      <c r="Q158" s="61" t="e">
        <f t="shared" si="35"/>
        <v>#N/A</v>
      </c>
      <c r="R158" s="61" t="e">
        <f t="shared" si="35"/>
        <v>#N/A</v>
      </c>
      <c r="S158" s="61"/>
      <c r="T158" s="61" t="e">
        <f t="shared" si="35"/>
        <v>#N/A</v>
      </c>
      <c r="U158" s="61" t="e">
        <f t="shared" si="35"/>
        <v>#N/A</v>
      </c>
      <c r="V158" s="61" t="e">
        <f t="shared" si="35"/>
        <v>#N/A</v>
      </c>
    </row>
    <row r="159" spans="16:22" x14ac:dyDescent="0.25">
      <c r="P159" s="61" t="e">
        <f t="shared" si="35"/>
        <v>#N/A</v>
      </c>
      <c r="Q159" s="61" t="e">
        <f t="shared" si="35"/>
        <v>#N/A</v>
      </c>
      <c r="R159" s="61" t="e">
        <f t="shared" si="35"/>
        <v>#N/A</v>
      </c>
      <c r="S159" s="61"/>
      <c r="T159" s="61" t="e">
        <f t="shared" si="35"/>
        <v>#N/A</v>
      </c>
      <c r="U159" s="61" t="e">
        <f t="shared" si="35"/>
        <v>#N/A</v>
      </c>
      <c r="V159" s="61" t="e">
        <f t="shared" si="35"/>
        <v>#N/A</v>
      </c>
    </row>
    <row r="160" spans="16:22" x14ac:dyDescent="0.25">
      <c r="P160" s="61" t="e">
        <f t="shared" si="35"/>
        <v>#N/A</v>
      </c>
      <c r="Q160" s="61" t="e">
        <f t="shared" si="35"/>
        <v>#N/A</v>
      </c>
      <c r="R160" s="61" t="e">
        <f t="shared" si="35"/>
        <v>#N/A</v>
      </c>
      <c r="S160" s="61"/>
      <c r="T160" s="61" t="e">
        <f t="shared" si="35"/>
        <v>#N/A</v>
      </c>
      <c r="U160" s="61" t="e">
        <f t="shared" si="35"/>
        <v>#N/A</v>
      </c>
      <c r="V160" s="61" t="e">
        <f t="shared" si="35"/>
        <v>#N/A</v>
      </c>
    </row>
    <row r="161" spans="16:22" x14ac:dyDescent="0.25">
      <c r="P161" s="61" t="e">
        <f t="shared" ref="P161:R163" si="36">P133/12</f>
        <v>#N/A</v>
      </c>
      <c r="Q161" s="61" t="e">
        <f t="shared" si="36"/>
        <v>#N/A</v>
      </c>
      <c r="R161" s="61" t="e">
        <f t="shared" si="36"/>
        <v>#N/A</v>
      </c>
      <c r="S161" s="61"/>
      <c r="T161" s="61" t="e">
        <f t="shared" ref="T161:V163" si="37">T133/12</f>
        <v>#N/A</v>
      </c>
      <c r="U161" s="61" t="e">
        <f t="shared" si="37"/>
        <v>#N/A</v>
      </c>
      <c r="V161" s="61" t="e">
        <f t="shared" si="37"/>
        <v>#N/A</v>
      </c>
    </row>
    <row r="162" spans="16:22" x14ac:dyDescent="0.25">
      <c r="P162" s="61" t="e">
        <f t="shared" si="36"/>
        <v>#N/A</v>
      </c>
      <c r="Q162" s="61" t="e">
        <f t="shared" si="36"/>
        <v>#N/A</v>
      </c>
      <c r="R162" s="61" t="e">
        <f t="shared" si="36"/>
        <v>#N/A</v>
      </c>
      <c r="S162" s="61"/>
      <c r="T162" s="61" t="e">
        <f t="shared" si="37"/>
        <v>#N/A</v>
      </c>
      <c r="U162" s="61" t="e">
        <f t="shared" si="37"/>
        <v>#N/A</v>
      </c>
      <c r="V162" s="61" t="e">
        <f t="shared" si="37"/>
        <v>#N/A</v>
      </c>
    </row>
    <row r="163" spans="16:22" x14ac:dyDescent="0.25">
      <c r="P163" s="61" t="e">
        <f t="shared" si="36"/>
        <v>#N/A</v>
      </c>
      <c r="Q163" s="61" t="e">
        <f t="shared" si="36"/>
        <v>#N/A</v>
      </c>
      <c r="R163" s="61" t="e">
        <f t="shared" si="36"/>
        <v>#N/A</v>
      </c>
      <c r="S163" s="61"/>
      <c r="T163" s="61" t="e">
        <f t="shared" si="37"/>
        <v>#N/A</v>
      </c>
      <c r="U163" s="61" t="e">
        <f t="shared" si="37"/>
        <v>#N/A</v>
      </c>
      <c r="V163" s="61" t="e">
        <f t="shared" si="37"/>
        <v>#N/A</v>
      </c>
    </row>
  </sheetData>
  <mergeCells count="5">
    <mergeCell ref="A1:K1"/>
    <mergeCell ref="G3:J3"/>
    <mergeCell ref="A14:C14"/>
    <mergeCell ref="B95:C95"/>
    <mergeCell ref="A2:C2"/>
  </mergeCells>
  <conditionalFormatting sqref="B25">
    <cfRule type="cellIs" dxfId="4" priority="5" operator="equal">
      <formula>"No CIPP Liner Available"</formula>
    </cfRule>
  </conditionalFormatting>
  <conditionalFormatting sqref="B25:C25 D24">
    <cfRule type="cellIs" dxfId="3" priority="4" operator="greaterThan">
      <formula>0</formula>
    </cfRule>
  </conditionalFormatting>
  <pageMargins left="0.7" right="0.7" top="0.75" bottom="0.75" header="0.3" footer="0.3"/>
  <pageSetup orientation="portrait" horizontalDpi="300" verticalDpi="3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082EB-9571-41D6-9E05-1455B33B295D}">
  <sheetPr>
    <tabColor rgb="FF92D050"/>
  </sheetPr>
  <dimension ref="A1:AK77"/>
  <sheetViews>
    <sheetView workbookViewId="0">
      <selection activeCell="D20" sqref="D20"/>
    </sheetView>
  </sheetViews>
  <sheetFormatPr defaultRowHeight="15" x14ac:dyDescent="0.25"/>
  <cols>
    <col min="1" max="1" width="21.42578125" bestFit="1" customWidth="1"/>
    <col min="3" max="3" width="9.85546875" customWidth="1"/>
    <col min="12" max="12" width="16.5703125" hidden="1" customWidth="1"/>
    <col min="36" max="36" width="9.140625" hidden="1" customWidth="1"/>
  </cols>
  <sheetData>
    <row r="1" spans="1:37" ht="21" x14ac:dyDescent="0.35">
      <c r="A1" s="89" t="s">
        <v>31</v>
      </c>
      <c r="B1" s="89"/>
      <c r="C1" s="89"/>
      <c r="D1" s="89"/>
      <c r="E1" s="89"/>
      <c r="F1" s="89"/>
      <c r="G1" s="89"/>
      <c r="H1" s="89"/>
      <c r="I1" s="89"/>
      <c r="J1" s="89"/>
      <c r="K1" s="89"/>
      <c r="L1" s="5"/>
    </row>
    <row r="2" spans="1:37" ht="15.75" thickBot="1" x14ac:dyDescent="0.3">
      <c r="A2" s="90" t="s">
        <v>23</v>
      </c>
      <c r="B2" s="90"/>
      <c r="C2" s="90"/>
      <c r="D2" s="5"/>
      <c r="E2" s="5"/>
      <c r="F2" s="5"/>
      <c r="G2" s="5"/>
      <c r="H2" s="5"/>
      <c r="I2" s="5"/>
      <c r="J2" s="5"/>
      <c r="K2" s="5"/>
      <c r="L2" s="5"/>
    </row>
    <row r="3" spans="1:37" x14ac:dyDescent="0.25">
      <c r="A3" s="28"/>
      <c r="B3" s="28" t="s">
        <v>0</v>
      </c>
      <c r="C3" s="28"/>
      <c r="D3" s="5"/>
      <c r="E3" s="5"/>
      <c r="F3" s="5"/>
      <c r="G3" s="86" t="s">
        <v>22</v>
      </c>
      <c r="H3" s="87"/>
      <c r="I3" s="87"/>
      <c r="J3" s="88"/>
      <c r="K3" s="5"/>
      <c r="L3" s="23" t="s">
        <v>25</v>
      </c>
    </row>
    <row r="4" spans="1:37" x14ac:dyDescent="0.25">
      <c r="A4" s="28" t="s">
        <v>2</v>
      </c>
      <c r="B4" s="28" t="e">
        <f>CMPA!B18</f>
        <v>#N/A</v>
      </c>
      <c r="C4" s="28" t="s">
        <v>6</v>
      </c>
      <c r="D4" s="5"/>
      <c r="E4" s="5"/>
      <c r="F4" s="5"/>
      <c r="G4" s="14"/>
      <c r="H4" s="4" t="s">
        <v>11</v>
      </c>
      <c r="I4" s="4" t="s">
        <v>12</v>
      </c>
      <c r="J4" s="15" t="s">
        <v>13</v>
      </c>
      <c r="K4" s="5"/>
      <c r="L4" s="5"/>
    </row>
    <row r="5" spans="1:37" x14ac:dyDescent="0.25">
      <c r="A5" s="28" t="s">
        <v>3</v>
      </c>
      <c r="B5" s="28" t="e">
        <f>CMPA!D16-B13/12</f>
        <v>#N/A</v>
      </c>
      <c r="C5" s="28" t="s">
        <v>10</v>
      </c>
      <c r="D5" s="5"/>
      <c r="E5" s="5"/>
      <c r="F5" s="5"/>
      <c r="G5" s="14">
        <v>1</v>
      </c>
      <c r="H5" s="16" t="e">
        <f>-H23</f>
        <v>#N/A</v>
      </c>
      <c r="I5" s="17" t="e">
        <f>B4/12</f>
        <v>#N/A</v>
      </c>
      <c r="J5" s="18" t="e">
        <f>I5</f>
        <v>#N/A</v>
      </c>
      <c r="K5" s="5"/>
      <c r="L5" s="23" t="e">
        <f>(I5+I6)/2*(H6-H5)-(J5+J6)/2*(H6-H5)</f>
        <v>#N/A</v>
      </c>
    </row>
    <row r="6" spans="1:37" x14ac:dyDescent="0.25">
      <c r="A6" s="28" t="s">
        <v>4</v>
      </c>
      <c r="B6" s="28" t="e">
        <f>CMPA!D15</f>
        <v>#N/A</v>
      </c>
      <c r="C6" s="28" t="s">
        <v>10</v>
      </c>
      <c r="D6" s="5"/>
      <c r="E6" s="5"/>
      <c r="F6" s="5"/>
      <c r="G6" s="14">
        <v>2</v>
      </c>
      <c r="H6" s="16" t="e">
        <f>-H22</f>
        <v>#N/A</v>
      </c>
      <c r="I6" s="17" t="e">
        <f>$B$21+SQRT($B$5^2-H6^2)</f>
        <v>#N/A</v>
      </c>
      <c r="J6" s="18" t="e">
        <f>IF(ABS(H6)&gt;$B$18,$B$23-SQRT(($B$7/12)^2-(H6+$B$24)^2),$B$26-SQRT($B$6^2-H6^2))</f>
        <v>#N/A</v>
      </c>
      <c r="K6" s="5"/>
      <c r="L6" s="23" t="e">
        <f t="shared" ref="L6:L22" si="0">(I6+I7)/2*(H7-H6)-(J6+J7)/2*(H7-H6)</f>
        <v>#N/A</v>
      </c>
    </row>
    <row r="7" spans="1:37" x14ac:dyDescent="0.25">
      <c r="A7" s="28" t="s">
        <v>5</v>
      </c>
      <c r="B7" s="28" t="e">
        <f>CMPA!B17</f>
        <v>#N/A</v>
      </c>
      <c r="C7" s="28" t="s">
        <v>6</v>
      </c>
      <c r="D7" s="5"/>
      <c r="E7" s="5"/>
      <c r="F7" s="5"/>
      <c r="G7" s="14">
        <v>3</v>
      </c>
      <c r="H7" s="16" t="e">
        <f>-H21</f>
        <v>#N/A</v>
      </c>
      <c r="I7" s="17" t="e">
        <f t="shared" ref="I7:I13" si="1">$B$21+SQRT($B$5^2-H7^2)</f>
        <v>#N/A</v>
      </c>
      <c r="J7" s="18" t="e">
        <f>IF(ABS(H7)&gt;$B$18,$B$23-SQRT(($B$7/12)^2-(H7+$B$24)^2),$B$26-SQRT($B$6^2-H7^2))</f>
        <v>#N/A</v>
      </c>
      <c r="K7" s="5"/>
      <c r="L7" s="23" t="e">
        <f t="shared" si="0"/>
        <v>#N/A</v>
      </c>
    </row>
    <row r="8" spans="1:37" x14ac:dyDescent="0.25">
      <c r="A8" s="5"/>
      <c r="B8" s="5"/>
      <c r="C8" s="5"/>
      <c r="D8" s="5"/>
      <c r="E8" s="5"/>
      <c r="F8" s="5"/>
      <c r="G8" s="14">
        <v>4</v>
      </c>
      <c r="H8" s="16" t="e">
        <f>-H20</f>
        <v>#N/A</v>
      </c>
      <c r="I8" s="17" t="e">
        <f>$B$21+SQRT($B$5^2-H8^2)</f>
        <v>#N/A</v>
      </c>
      <c r="J8" s="18" t="e">
        <f>IF(ABS(H8)&gt;$B$18,$B$23-SQRT(($B$7/12)^2-(H8+$B$24)^2),$B$26-SQRT($B$6^2-H8^2))</f>
        <v>#N/A</v>
      </c>
      <c r="K8" s="5"/>
      <c r="L8" s="23" t="e">
        <f t="shared" si="0"/>
        <v>#N/A</v>
      </c>
      <c r="AI8" t="s">
        <v>20</v>
      </c>
    </row>
    <row r="9" spans="1:37" x14ac:dyDescent="0.25">
      <c r="A9" s="93" t="s">
        <v>110</v>
      </c>
      <c r="B9" s="94"/>
      <c r="C9" s="95"/>
      <c r="D9" s="5"/>
      <c r="E9" s="5"/>
      <c r="F9" s="5"/>
      <c r="G9" s="14">
        <v>5</v>
      </c>
      <c r="H9" s="16" t="e">
        <f>-H19</f>
        <v>#N/A</v>
      </c>
      <c r="I9" s="17" t="e">
        <f t="shared" si="1"/>
        <v>#N/A</v>
      </c>
      <c r="J9" s="18" t="e">
        <f t="shared" ref="J9:J19" si="2">$B$26-SQRT($B$6^2-H9^2)</f>
        <v>#N/A</v>
      </c>
      <c r="K9" s="5"/>
      <c r="L9" s="23" t="e">
        <f t="shared" si="0"/>
        <v>#N/A</v>
      </c>
      <c r="AI9" s="1">
        <f t="shared" ref="AI9:AJ18" si="3">H14</f>
        <v>0</v>
      </c>
      <c r="AJ9" s="2" t="e">
        <f t="shared" si="3"/>
        <v>#N/A</v>
      </c>
      <c r="AK9" t="e">
        <f t="shared" ref="AK9:AK45" si="4">AJ9+$B$13/12</f>
        <v>#N/A</v>
      </c>
    </row>
    <row r="10" spans="1:37" x14ac:dyDescent="0.25">
      <c r="A10" s="28" t="s">
        <v>27</v>
      </c>
      <c r="B10" s="29" t="e">
        <f>I26</f>
        <v>#N/A</v>
      </c>
      <c r="C10" s="28" t="s">
        <v>7</v>
      </c>
      <c r="D10" s="5"/>
      <c r="E10" s="5"/>
      <c r="F10" s="5"/>
      <c r="G10" s="14">
        <v>6</v>
      </c>
      <c r="H10" s="16" t="e">
        <f>-H18</f>
        <v>#N/A</v>
      </c>
      <c r="I10" s="17" t="e">
        <f t="shared" si="1"/>
        <v>#N/A</v>
      </c>
      <c r="J10" s="18" t="e">
        <f t="shared" si="2"/>
        <v>#N/A</v>
      </c>
      <c r="K10" s="5"/>
      <c r="L10" s="23" t="e">
        <f t="shared" si="0"/>
        <v>#N/A</v>
      </c>
      <c r="AI10" s="1" t="e">
        <f>H15</f>
        <v>#N/A</v>
      </c>
      <c r="AJ10" s="2" t="e">
        <f t="shared" si="3"/>
        <v>#N/A</v>
      </c>
      <c r="AK10" t="e">
        <f t="shared" si="4"/>
        <v>#N/A</v>
      </c>
    </row>
    <row r="11" spans="1:37" x14ac:dyDescent="0.25">
      <c r="A11" s="28" t="s">
        <v>8</v>
      </c>
      <c r="B11" s="28" t="e">
        <f>CMPA!D11-B13*2/12</f>
        <v>#N/A</v>
      </c>
      <c r="C11" s="28" t="s">
        <v>10</v>
      </c>
      <c r="D11" s="5" t="e">
        <f>B11*12</f>
        <v>#N/A</v>
      </c>
      <c r="E11" s="5" t="s">
        <v>6</v>
      </c>
      <c r="F11" s="5"/>
      <c r="G11" s="14">
        <v>7</v>
      </c>
      <c r="H11" s="16" t="e">
        <f>-H17</f>
        <v>#N/A</v>
      </c>
      <c r="I11" s="17" t="e">
        <f t="shared" si="1"/>
        <v>#N/A</v>
      </c>
      <c r="J11" s="18" t="e">
        <f t="shared" si="2"/>
        <v>#N/A</v>
      </c>
      <c r="K11" s="5"/>
      <c r="L11" s="23" t="e">
        <f t="shared" si="0"/>
        <v>#N/A</v>
      </c>
      <c r="AI11" s="1" t="e">
        <f t="shared" si="3"/>
        <v>#N/A</v>
      </c>
      <c r="AJ11" s="2" t="e">
        <f t="shared" si="3"/>
        <v>#N/A</v>
      </c>
      <c r="AK11" t="e">
        <f t="shared" si="4"/>
        <v>#N/A</v>
      </c>
    </row>
    <row r="12" spans="1:37" x14ac:dyDescent="0.25">
      <c r="A12" s="28" t="s">
        <v>9</v>
      </c>
      <c r="B12" s="29" t="e">
        <f>CMPA!D12-B13*2/12</f>
        <v>#N/A</v>
      </c>
      <c r="C12" s="28" t="s">
        <v>10</v>
      </c>
      <c r="D12" s="5" t="e">
        <f>B12*12</f>
        <v>#N/A</v>
      </c>
      <c r="E12" s="5" t="s">
        <v>6</v>
      </c>
      <c r="F12" s="5"/>
      <c r="G12" s="14">
        <v>8</v>
      </c>
      <c r="H12" s="16" t="e">
        <f>-H16</f>
        <v>#N/A</v>
      </c>
      <c r="I12" s="17" t="e">
        <f t="shared" si="1"/>
        <v>#N/A</v>
      </c>
      <c r="J12" s="18" t="e">
        <f t="shared" si="2"/>
        <v>#N/A</v>
      </c>
      <c r="K12" s="5"/>
      <c r="L12" s="23" t="e">
        <f t="shared" si="0"/>
        <v>#N/A</v>
      </c>
      <c r="AI12" s="1" t="e">
        <f t="shared" si="3"/>
        <v>#N/A</v>
      </c>
      <c r="AJ12" s="2" t="e">
        <f t="shared" si="3"/>
        <v>#N/A</v>
      </c>
      <c r="AK12" t="e">
        <f t="shared" si="4"/>
        <v>#N/A</v>
      </c>
    </row>
    <row r="13" spans="1:37" x14ac:dyDescent="0.25">
      <c r="A13" s="28" t="s">
        <v>104</v>
      </c>
      <c r="B13" s="85" t="e">
        <f>IF(CMPA!D11&gt;=3.5,IF(CMPA!D11&gt;=5,IF(CMPA!D11&gt;=7.25,IF(CMPA!D11&gt;112/12,"No CIPP liner available","2"),"1.5"),"1"),"0.5")</f>
        <v>#N/A</v>
      </c>
      <c r="C13" s="28" t="s">
        <v>6</v>
      </c>
      <c r="D13" s="5"/>
      <c r="E13" s="5"/>
      <c r="F13" s="5"/>
      <c r="G13" s="14">
        <v>9</v>
      </c>
      <c r="H13" s="16" t="e">
        <f>-H15</f>
        <v>#N/A</v>
      </c>
      <c r="I13" s="17" t="e">
        <f t="shared" si="1"/>
        <v>#N/A</v>
      </c>
      <c r="J13" s="18" t="e">
        <f t="shared" si="2"/>
        <v>#N/A</v>
      </c>
      <c r="K13" s="5"/>
      <c r="L13" s="23" t="e">
        <f t="shared" si="0"/>
        <v>#N/A</v>
      </c>
      <c r="AI13" s="1" t="e">
        <f t="shared" si="3"/>
        <v>#N/A</v>
      </c>
      <c r="AJ13" s="2" t="e">
        <f t="shared" si="3"/>
        <v>#N/A</v>
      </c>
      <c r="AK13" t="e">
        <f t="shared" si="4"/>
        <v>#N/A</v>
      </c>
    </row>
    <row r="14" spans="1:37" x14ac:dyDescent="0.25">
      <c r="A14" s="28" t="s">
        <v>106</v>
      </c>
      <c r="B14" s="29" t="e">
        <f>B13/12+CMPA!B6</f>
        <v>#N/A</v>
      </c>
      <c r="C14" s="28" t="s">
        <v>10</v>
      </c>
      <c r="D14" s="5"/>
      <c r="E14" s="5"/>
      <c r="F14" s="5"/>
      <c r="G14" s="14">
        <v>10</v>
      </c>
      <c r="H14" s="16">
        <v>0</v>
      </c>
      <c r="I14" s="17" t="e">
        <f>B12</f>
        <v>#N/A</v>
      </c>
      <c r="J14" s="18" t="e">
        <f t="shared" si="2"/>
        <v>#N/A</v>
      </c>
      <c r="K14" s="5"/>
      <c r="L14" s="23" t="e">
        <f t="shared" si="0"/>
        <v>#N/A</v>
      </c>
      <c r="AI14" s="1" t="e">
        <f t="shared" si="3"/>
        <v>#N/A</v>
      </c>
      <c r="AJ14" s="2" t="e">
        <f t="shared" si="3"/>
        <v>#N/A</v>
      </c>
      <c r="AK14" t="e">
        <f t="shared" si="4"/>
        <v>#N/A</v>
      </c>
    </row>
    <row r="15" spans="1:37" x14ac:dyDescent="0.25">
      <c r="A15" s="28" t="s">
        <v>111</v>
      </c>
      <c r="B15" s="29" t="e">
        <f>B13/12+CMPA!B7</f>
        <v>#N/A</v>
      </c>
      <c r="C15" s="28" t="s">
        <v>10</v>
      </c>
      <c r="D15" s="5"/>
      <c r="E15" s="5"/>
      <c r="F15" s="5"/>
      <c r="G15" s="14">
        <v>11</v>
      </c>
      <c r="H15" s="16" t="e">
        <f>$H$14+$B$11/18*(G15-$G$14)</f>
        <v>#N/A</v>
      </c>
      <c r="I15" s="17" t="e">
        <f t="shared" ref="I15:I22" si="5">$B$21+SQRT($B$5^2-H15^2)</f>
        <v>#N/A</v>
      </c>
      <c r="J15" s="18" t="e">
        <f t="shared" si="2"/>
        <v>#N/A</v>
      </c>
      <c r="K15" s="5"/>
      <c r="L15" s="23" t="e">
        <f t="shared" si="0"/>
        <v>#N/A</v>
      </c>
      <c r="AI15" s="1" t="e">
        <f t="shared" si="3"/>
        <v>#N/A</v>
      </c>
      <c r="AJ15" s="2" t="e">
        <f t="shared" si="3"/>
        <v>#N/A</v>
      </c>
      <c r="AK15" t="e">
        <f t="shared" si="4"/>
        <v>#N/A</v>
      </c>
    </row>
    <row r="16" spans="1:37" x14ac:dyDescent="0.25">
      <c r="A16" s="9"/>
      <c r="B16" s="5"/>
      <c r="C16" s="5"/>
      <c r="D16" s="5"/>
      <c r="E16" s="5"/>
      <c r="F16" s="5"/>
      <c r="G16" s="14">
        <v>12</v>
      </c>
      <c r="H16" s="16" t="e">
        <f>$H$14+$B$11/18*(G16-$G$14)</f>
        <v>#N/A</v>
      </c>
      <c r="I16" s="17" t="e">
        <f t="shared" si="5"/>
        <v>#N/A</v>
      </c>
      <c r="J16" s="18" t="e">
        <f t="shared" si="2"/>
        <v>#N/A</v>
      </c>
      <c r="K16" s="5"/>
      <c r="L16" s="23" t="e">
        <f t="shared" si="0"/>
        <v>#N/A</v>
      </c>
      <c r="AI16" s="1" t="e">
        <f t="shared" si="3"/>
        <v>#N/A</v>
      </c>
      <c r="AJ16" s="2" t="e">
        <f t="shared" si="3"/>
        <v>#N/A</v>
      </c>
      <c r="AK16" t="e">
        <f t="shared" si="4"/>
        <v>#N/A</v>
      </c>
    </row>
    <row r="17" spans="1:37" x14ac:dyDescent="0.25">
      <c r="A17" s="7" t="s">
        <v>24</v>
      </c>
      <c r="B17" s="8"/>
      <c r="C17" s="5"/>
      <c r="D17" s="5"/>
      <c r="E17" s="5"/>
      <c r="F17" s="5"/>
      <c r="G17" s="14">
        <v>13</v>
      </c>
      <c r="H17" s="16" t="e">
        <f>$H$14+$B$11/18*(G17-$G$14)</f>
        <v>#N/A</v>
      </c>
      <c r="I17" s="17" t="e">
        <f t="shared" si="5"/>
        <v>#N/A</v>
      </c>
      <c r="J17" s="18" t="e">
        <f t="shared" si="2"/>
        <v>#N/A</v>
      </c>
      <c r="K17" s="5"/>
      <c r="L17" s="23" t="e">
        <f t="shared" si="0"/>
        <v>#N/A</v>
      </c>
      <c r="AI17" s="1" t="e">
        <f t="shared" si="3"/>
        <v>#N/A</v>
      </c>
      <c r="AJ17" s="2" t="e">
        <f t="shared" si="3"/>
        <v>#N/A</v>
      </c>
      <c r="AK17" t="e">
        <f t="shared" si="4"/>
        <v>#N/A</v>
      </c>
    </row>
    <row r="18" spans="1:37" x14ac:dyDescent="0.25">
      <c r="A18" s="9" t="s">
        <v>18</v>
      </c>
      <c r="B18" s="10" t="e">
        <f>H23-B7/12</f>
        <v>#N/A</v>
      </c>
      <c r="C18" s="5"/>
      <c r="D18" s="5"/>
      <c r="E18" s="5"/>
      <c r="F18" s="5"/>
      <c r="G18" s="14">
        <v>14</v>
      </c>
      <c r="H18" s="16" t="e">
        <f>$H$14+$B$11/18*(G18-$G$14)</f>
        <v>#N/A</v>
      </c>
      <c r="I18" s="17" t="e">
        <f t="shared" si="5"/>
        <v>#N/A</v>
      </c>
      <c r="J18" s="18" t="e">
        <f t="shared" si="2"/>
        <v>#N/A</v>
      </c>
      <c r="K18" s="5"/>
      <c r="L18" s="23" t="e">
        <f t="shared" si="0"/>
        <v>#N/A</v>
      </c>
      <c r="AI18" s="1" t="e">
        <f t="shared" si="3"/>
        <v>#N/A</v>
      </c>
      <c r="AJ18" s="2" t="e">
        <f t="shared" si="3"/>
        <v>#N/A</v>
      </c>
      <c r="AK18" t="e">
        <f t="shared" si="4"/>
        <v>#N/A</v>
      </c>
    </row>
    <row r="19" spans="1:37" x14ac:dyDescent="0.25">
      <c r="A19" s="9"/>
      <c r="B19" s="11"/>
      <c r="C19" s="5"/>
      <c r="D19" s="5"/>
      <c r="E19" s="5"/>
      <c r="F19" s="5"/>
      <c r="G19" s="14">
        <v>15</v>
      </c>
      <c r="H19" s="16" t="e">
        <f>$H$14+$B$11/18*(G19-$G$14)</f>
        <v>#N/A</v>
      </c>
      <c r="I19" s="17" t="e">
        <f t="shared" si="5"/>
        <v>#N/A</v>
      </c>
      <c r="J19" s="18" t="e">
        <f t="shared" si="2"/>
        <v>#N/A</v>
      </c>
      <c r="K19" s="5"/>
      <c r="L19" s="23" t="e">
        <f t="shared" si="0"/>
        <v>#N/A</v>
      </c>
      <c r="AI19" s="1" t="e">
        <f>AI17</f>
        <v>#N/A</v>
      </c>
      <c r="AJ19" s="2" t="e">
        <f>J22</f>
        <v>#N/A</v>
      </c>
      <c r="AK19" t="e">
        <f t="shared" si="4"/>
        <v>#N/A</v>
      </c>
    </row>
    <row r="20" spans="1:37" x14ac:dyDescent="0.25">
      <c r="A20" s="9" t="s">
        <v>17</v>
      </c>
      <c r="B20" s="11"/>
      <c r="C20" s="5"/>
      <c r="D20" s="5"/>
      <c r="E20" s="5"/>
      <c r="F20" s="5"/>
      <c r="G20" s="14">
        <v>16</v>
      </c>
      <c r="H20" s="16" t="e">
        <f>$H$14+$B$11/36*((G20-$G$14)*2+1)</f>
        <v>#N/A</v>
      </c>
      <c r="I20" s="17" t="e">
        <f t="shared" si="5"/>
        <v>#N/A</v>
      </c>
      <c r="J20" s="18" t="e">
        <f>IF(ABS(H20)&gt;$B$18,$B$23-SQRT(($B$7/12)^2-(H20-$B$24)^2),$B$26-SQRT($B$6^2-H20^2))</f>
        <v>#N/A</v>
      </c>
      <c r="K20" s="5"/>
      <c r="L20" s="23" t="e">
        <f t="shared" si="0"/>
        <v>#N/A</v>
      </c>
      <c r="AI20" s="1" t="e">
        <f>AI16</f>
        <v>#N/A</v>
      </c>
      <c r="AJ20" s="2" t="e">
        <f>J21</f>
        <v>#N/A</v>
      </c>
      <c r="AK20" t="e">
        <f t="shared" si="4"/>
        <v>#N/A</v>
      </c>
    </row>
    <row r="21" spans="1:37" x14ac:dyDescent="0.25">
      <c r="A21" s="9" t="s">
        <v>14</v>
      </c>
      <c r="B21" s="70" t="e">
        <f>B12-B5</f>
        <v>#N/A</v>
      </c>
      <c r="C21" s="5"/>
      <c r="D21" s="5"/>
      <c r="E21" s="5"/>
      <c r="F21" s="5"/>
      <c r="G21" s="14">
        <v>17</v>
      </c>
      <c r="H21" s="16" t="e">
        <f>$H$14+$B$11/36*((G21-$G$14)*2+1)</f>
        <v>#N/A</v>
      </c>
      <c r="I21" s="17" t="e">
        <f t="shared" si="5"/>
        <v>#N/A</v>
      </c>
      <c r="J21" s="18" t="e">
        <f>IF(ABS(H21)&gt;$B$18,$B$23-SQRT(($B$7/12)^2-(H21-$B$24)^2),$B$26-SQRT($B$6^2-H21^2))</f>
        <v>#N/A</v>
      </c>
      <c r="K21" s="5"/>
      <c r="L21" s="23" t="e">
        <f t="shared" si="0"/>
        <v>#N/A</v>
      </c>
      <c r="AI21" s="1" t="e">
        <f>AI15</f>
        <v>#N/A</v>
      </c>
      <c r="AJ21" s="2" t="e">
        <f>J20</f>
        <v>#N/A</v>
      </c>
      <c r="AK21" t="e">
        <f t="shared" si="4"/>
        <v>#N/A</v>
      </c>
    </row>
    <row r="22" spans="1:37" x14ac:dyDescent="0.25">
      <c r="A22" s="9"/>
      <c r="B22" s="11"/>
      <c r="C22" s="5"/>
      <c r="D22" s="5"/>
      <c r="E22" s="5"/>
      <c r="F22" s="5"/>
      <c r="G22" s="14">
        <v>18</v>
      </c>
      <c r="H22" s="16" t="e">
        <f>$H$14+$B$11/36*((G22-$G$14)*2+1)</f>
        <v>#N/A</v>
      </c>
      <c r="I22" s="17" t="e">
        <f t="shared" si="5"/>
        <v>#N/A</v>
      </c>
      <c r="J22" s="18" t="e">
        <f>IF(ABS(H22)&gt;$B$18,$B$23-SQRT(($B$7/12)^2-(H22-$B$24)^2),$B$26-SQRT($B$6^2-H22^2))</f>
        <v>#N/A</v>
      </c>
      <c r="K22" s="5"/>
      <c r="L22" s="23" t="e">
        <f t="shared" si="0"/>
        <v>#N/A</v>
      </c>
      <c r="AI22" s="1" t="e">
        <f>AI14</f>
        <v>#N/A</v>
      </c>
      <c r="AJ22" s="2" t="e">
        <f>J19</f>
        <v>#N/A</v>
      </c>
      <c r="AK22" t="e">
        <f t="shared" si="4"/>
        <v>#N/A</v>
      </c>
    </row>
    <row r="23" spans="1:37" ht="15.75" thickBot="1" x14ac:dyDescent="0.3">
      <c r="A23" s="9" t="s">
        <v>15</v>
      </c>
      <c r="B23" s="11" t="e">
        <f>B4/12</f>
        <v>#N/A</v>
      </c>
      <c r="C23" s="5"/>
      <c r="D23" s="5"/>
      <c r="E23" s="5"/>
      <c r="F23" s="5"/>
      <c r="G23" s="19">
        <v>19</v>
      </c>
      <c r="H23" s="20" t="e">
        <f>$H$14+$B$11/18*(G23-$G$14)</f>
        <v>#N/A</v>
      </c>
      <c r="I23" s="21" t="e">
        <f>B4/12</f>
        <v>#N/A</v>
      </c>
      <c r="J23" s="22" t="e">
        <f>I23</f>
        <v>#N/A</v>
      </c>
      <c r="K23" s="5"/>
      <c r="AI23" s="1" t="e">
        <f>AI13</f>
        <v>#N/A</v>
      </c>
      <c r="AJ23" s="2" t="e">
        <f>J18</f>
        <v>#N/A</v>
      </c>
      <c r="AK23" t="e">
        <f t="shared" si="4"/>
        <v>#N/A</v>
      </c>
    </row>
    <row r="24" spans="1:37" x14ac:dyDescent="0.25">
      <c r="A24" s="9" t="s">
        <v>16</v>
      </c>
      <c r="B24" s="10" t="e">
        <f>B18</f>
        <v>#N/A</v>
      </c>
      <c r="C24" s="5"/>
      <c r="D24" s="5"/>
      <c r="E24" s="5"/>
      <c r="F24" s="5"/>
      <c r="G24" s="5"/>
      <c r="H24" s="5"/>
      <c r="I24" s="5"/>
      <c r="J24" s="5"/>
      <c r="K24" s="5"/>
      <c r="AI24" s="1" t="e">
        <f>AI12</f>
        <v>#N/A</v>
      </c>
      <c r="AJ24" s="2" t="e">
        <f>J17</f>
        <v>#N/A</v>
      </c>
      <c r="AK24" t="e">
        <f t="shared" si="4"/>
        <v>#N/A</v>
      </c>
    </row>
    <row r="25" spans="1:37" x14ac:dyDescent="0.25">
      <c r="A25" s="9"/>
      <c r="B25" s="11"/>
      <c r="C25" s="5"/>
      <c r="D25" s="5"/>
      <c r="E25" s="5"/>
      <c r="F25" s="5"/>
      <c r="G25" s="5"/>
      <c r="H25" s="5"/>
      <c r="I25" s="24" t="s">
        <v>26</v>
      </c>
      <c r="J25" s="5"/>
      <c r="K25" s="5"/>
      <c r="L25" s="5"/>
      <c r="AI25" s="1" t="e">
        <f>AI11</f>
        <v>#N/A</v>
      </c>
      <c r="AJ25" s="2" t="e">
        <f>J16</f>
        <v>#N/A</v>
      </c>
      <c r="AK25" t="e">
        <f t="shared" si="4"/>
        <v>#N/A</v>
      </c>
    </row>
    <row r="26" spans="1:37" x14ac:dyDescent="0.25">
      <c r="A26" s="12" t="s">
        <v>19</v>
      </c>
      <c r="B26" s="13" t="e">
        <f>B6</f>
        <v>#N/A</v>
      </c>
      <c r="C26" s="5"/>
      <c r="D26" s="5"/>
      <c r="E26" s="5"/>
      <c r="F26" s="5"/>
      <c r="G26" s="5"/>
      <c r="H26" s="26"/>
      <c r="I26" s="25" t="e">
        <f>SUM(L5:L22)</f>
        <v>#N/A</v>
      </c>
      <c r="J26" s="5"/>
      <c r="K26" s="5"/>
      <c r="L26" s="5"/>
      <c r="AI26" s="1" t="e">
        <f>AI10</f>
        <v>#N/A</v>
      </c>
      <c r="AJ26" s="2" t="e">
        <f>J15</f>
        <v>#N/A</v>
      </c>
      <c r="AK26" t="e">
        <f t="shared" si="4"/>
        <v>#N/A</v>
      </c>
    </row>
    <row r="27" spans="1:37" x14ac:dyDescent="0.25">
      <c r="A27" s="5"/>
      <c r="B27" s="5"/>
      <c r="C27" s="5"/>
      <c r="D27" s="5"/>
      <c r="E27" s="5"/>
      <c r="F27" s="5"/>
      <c r="G27" s="5"/>
      <c r="H27" s="5"/>
      <c r="I27" s="5"/>
      <c r="J27" s="5"/>
      <c r="K27" s="5"/>
      <c r="L27" s="5"/>
      <c r="AI27" s="1">
        <f>AI9</f>
        <v>0</v>
      </c>
      <c r="AJ27" s="2" t="e">
        <f>J14</f>
        <v>#N/A</v>
      </c>
      <c r="AK27" t="e">
        <f t="shared" si="4"/>
        <v>#N/A</v>
      </c>
    </row>
    <row r="28" spans="1:37" x14ac:dyDescent="0.25">
      <c r="A28" s="5"/>
      <c r="B28" s="5"/>
      <c r="C28" s="5"/>
      <c r="D28" s="5"/>
      <c r="E28" s="5"/>
      <c r="F28" s="5"/>
      <c r="G28" s="5"/>
      <c r="H28" s="5"/>
      <c r="I28" s="5"/>
      <c r="J28" s="5"/>
      <c r="K28" s="5"/>
      <c r="L28" s="5"/>
      <c r="AI28" s="1" t="e">
        <f>AI44</f>
        <v>#N/A</v>
      </c>
      <c r="AJ28" s="2" t="e">
        <f>J13</f>
        <v>#N/A</v>
      </c>
      <c r="AK28" t="e">
        <f t="shared" si="4"/>
        <v>#N/A</v>
      </c>
    </row>
    <row r="29" spans="1:37" x14ac:dyDescent="0.25">
      <c r="AI29" s="1" t="e">
        <f>AI43</f>
        <v>#N/A</v>
      </c>
      <c r="AJ29" s="2" t="e">
        <f>J12</f>
        <v>#N/A</v>
      </c>
      <c r="AK29" t="e">
        <f t="shared" si="4"/>
        <v>#N/A</v>
      </c>
    </row>
    <row r="30" spans="1:37" x14ac:dyDescent="0.25">
      <c r="H30" s="1"/>
      <c r="AI30" s="1" t="e">
        <f>AI42</f>
        <v>#N/A</v>
      </c>
      <c r="AJ30" s="2" t="e">
        <f>J11</f>
        <v>#N/A</v>
      </c>
      <c r="AK30" t="e">
        <f t="shared" si="4"/>
        <v>#N/A</v>
      </c>
    </row>
    <row r="31" spans="1:37" x14ac:dyDescent="0.25">
      <c r="AI31" s="1" t="e">
        <f>AI41</f>
        <v>#N/A</v>
      </c>
      <c r="AJ31" s="2" t="e">
        <f>J10</f>
        <v>#N/A</v>
      </c>
      <c r="AK31" t="e">
        <f t="shared" si="4"/>
        <v>#N/A</v>
      </c>
    </row>
    <row r="32" spans="1:37" x14ac:dyDescent="0.25">
      <c r="AI32" s="1" t="e">
        <f>AI40</f>
        <v>#N/A</v>
      </c>
      <c r="AJ32" s="2" t="e">
        <f>J9</f>
        <v>#N/A</v>
      </c>
      <c r="AK32" t="e">
        <f t="shared" si="4"/>
        <v>#N/A</v>
      </c>
    </row>
    <row r="33" spans="2:37" x14ac:dyDescent="0.25">
      <c r="AI33" s="1" t="e">
        <f>AI39</f>
        <v>#N/A</v>
      </c>
      <c r="AJ33" s="2" t="e">
        <f>J8</f>
        <v>#N/A</v>
      </c>
      <c r="AK33" t="e">
        <f t="shared" si="4"/>
        <v>#N/A</v>
      </c>
    </row>
    <row r="34" spans="2:37" x14ac:dyDescent="0.25">
      <c r="AI34" s="1" t="e">
        <f>AI38</f>
        <v>#N/A</v>
      </c>
      <c r="AJ34" s="2" t="e">
        <f>J7</f>
        <v>#N/A</v>
      </c>
      <c r="AK34" t="e">
        <f t="shared" si="4"/>
        <v>#N/A</v>
      </c>
    </row>
    <row r="35" spans="2:37" x14ac:dyDescent="0.25">
      <c r="AI35" s="1" t="e">
        <f>AI37</f>
        <v>#N/A</v>
      </c>
      <c r="AJ35" t="e">
        <f>J6</f>
        <v>#N/A</v>
      </c>
      <c r="AK35" t="e">
        <f t="shared" si="4"/>
        <v>#N/A</v>
      </c>
    </row>
    <row r="36" spans="2:37" x14ac:dyDescent="0.25">
      <c r="AI36" s="1" t="e">
        <f t="shared" ref="AI36:AJ44" si="6">H5</f>
        <v>#N/A</v>
      </c>
      <c r="AJ36" s="2" t="e">
        <f>J5</f>
        <v>#N/A</v>
      </c>
      <c r="AK36" t="e">
        <f t="shared" si="4"/>
        <v>#N/A</v>
      </c>
    </row>
    <row r="37" spans="2:37" x14ac:dyDescent="0.25">
      <c r="AI37" s="1" t="e">
        <f t="shared" si="6"/>
        <v>#N/A</v>
      </c>
      <c r="AJ37" s="2" t="e">
        <f t="shared" si="6"/>
        <v>#N/A</v>
      </c>
      <c r="AK37" t="e">
        <f t="shared" si="4"/>
        <v>#N/A</v>
      </c>
    </row>
    <row r="38" spans="2:37" x14ac:dyDescent="0.25">
      <c r="C38" s="27"/>
      <c r="AI38" s="1" t="e">
        <f t="shared" si="6"/>
        <v>#N/A</v>
      </c>
      <c r="AJ38" s="2" t="e">
        <f t="shared" si="6"/>
        <v>#N/A</v>
      </c>
      <c r="AK38" t="e">
        <f t="shared" si="4"/>
        <v>#N/A</v>
      </c>
    </row>
    <row r="39" spans="2:37" x14ac:dyDescent="0.25">
      <c r="AI39" s="1" t="e">
        <f t="shared" si="6"/>
        <v>#N/A</v>
      </c>
      <c r="AJ39" s="2" t="e">
        <f t="shared" si="6"/>
        <v>#N/A</v>
      </c>
      <c r="AK39" t="e">
        <f t="shared" si="4"/>
        <v>#N/A</v>
      </c>
    </row>
    <row r="40" spans="2:37" x14ac:dyDescent="0.25">
      <c r="AI40" s="1" t="e">
        <f t="shared" si="6"/>
        <v>#N/A</v>
      </c>
      <c r="AJ40" s="2" t="e">
        <f t="shared" si="6"/>
        <v>#N/A</v>
      </c>
      <c r="AK40" t="e">
        <f t="shared" si="4"/>
        <v>#N/A</v>
      </c>
    </row>
    <row r="41" spans="2:37" x14ac:dyDescent="0.25">
      <c r="AI41" s="1" t="e">
        <f t="shared" si="6"/>
        <v>#N/A</v>
      </c>
      <c r="AJ41" s="2" t="e">
        <f t="shared" si="6"/>
        <v>#N/A</v>
      </c>
      <c r="AK41" t="e">
        <f t="shared" si="4"/>
        <v>#N/A</v>
      </c>
    </row>
    <row r="42" spans="2:37" x14ac:dyDescent="0.25">
      <c r="AI42" s="1" t="e">
        <f t="shared" si="6"/>
        <v>#N/A</v>
      </c>
      <c r="AJ42" s="2" t="e">
        <f t="shared" si="6"/>
        <v>#N/A</v>
      </c>
      <c r="AK42" t="e">
        <f t="shared" si="4"/>
        <v>#N/A</v>
      </c>
    </row>
    <row r="43" spans="2:37" x14ac:dyDescent="0.25">
      <c r="AI43" s="1" t="e">
        <f t="shared" si="6"/>
        <v>#N/A</v>
      </c>
      <c r="AJ43" s="2" t="e">
        <f t="shared" si="6"/>
        <v>#N/A</v>
      </c>
      <c r="AK43" t="e">
        <f t="shared" si="4"/>
        <v>#N/A</v>
      </c>
    </row>
    <row r="44" spans="2:37" x14ac:dyDescent="0.25">
      <c r="AI44" s="1" t="e">
        <f t="shared" si="6"/>
        <v>#N/A</v>
      </c>
      <c r="AJ44" s="2" t="e">
        <f t="shared" si="6"/>
        <v>#N/A</v>
      </c>
      <c r="AK44" t="e">
        <f t="shared" si="4"/>
        <v>#N/A</v>
      </c>
    </row>
    <row r="45" spans="2:37" x14ac:dyDescent="0.25">
      <c r="AI45" s="1">
        <f>S52</f>
        <v>0</v>
      </c>
      <c r="AJ45" s="2" t="e">
        <f>AJ9</f>
        <v>#N/A</v>
      </c>
      <c r="AK45" t="e">
        <f t="shared" si="4"/>
        <v>#N/A</v>
      </c>
    </row>
    <row r="48" spans="2:37" x14ac:dyDescent="0.25">
      <c r="B48" s="33"/>
      <c r="C48" s="34"/>
      <c r="D48" s="34"/>
    </row>
    <row r="49" spans="1:20" x14ac:dyDescent="0.25">
      <c r="D49" s="34"/>
      <c r="E49" s="34"/>
      <c r="L49" s="34"/>
      <c r="M49" s="34"/>
      <c r="N49" s="34"/>
      <c r="O49" s="34"/>
      <c r="P49" s="34"/>
      <c r="Q49" s="34"/>
    </row>
    <row r="50" spans="1:20" x14ac:dyDescent="0.25">
      <c r="L50" s="34"/>
      <c r="M50" s="34"/>
      <c r="N50" s="34"/>
      <c r="O50" s="34"/>
      <c r="P50" s="34"/>
      <c r="Q50" s="34"/>
      <c r="R50" s="34"/>
    </row>
    <row r="51" spans="1:20" x14ac:dyDescent="0.25">
      <c r="D51" s="34"/>
      <c r="E51" s="36"/>
      <c r="L51" s="34"/>
      <c r="M51" s="34"/>
      <c r="N51" s="34"/>
      <c r="O51" s="34"/>
      <c r="P51" s="34"/>
    </row>
    <row r="52" spans="1:20" x14ac:dyDescent="0.25">
      <c r="D52" s="34"/>
      <c r="E52" s="36"/>
      <c r="L52" s="34"/>
      <c r="M52" s="34"/>
      <c r="N52" s="34"/>
      <c r="O52" s="34"/>
      <c r="P52" s="34"/>
      <c r="Q52" s="34"/>
      <c r="R52" s="36"/>
    </row>
    <row r="53" spans="1:20" x14ac:dyDescent="0.25">
      <c r="A53" s="34"/>
      <c r="B53" s="34"/>
      <c r="C53" s="34"/>
      <c r="D53" s="34"/>
      <c r="E53" s="36"/>
      <c r="L53" s="34"/>
      <c r="M53" s="34"/>
      <c r="N53" s="34"/>
      <c r="O53" s="34"/>
      <c r="P53" s="34"/>
      <c r="Q53" s="34"/>
      <c r="R53" s="36"/>
      <c r="T53" s="37"/>
    </row>
    <row r="54" spans="1:20" x14ac:dyDescent="0.25">
      <c r="A54" s="34"/>
      <c r="B54" s="34"/>
      <c r="C54" s="34"/>
      <c r="D54" s="34"/>
      <c r="E54" s="36"/>
      <c r="L54" s="34"/>
      <c r="M54" s="34"/>
      <c r="N54" s="34"/>
      <c r="O54" s="34"/>
      <c r="P54" s="34"/>
      <c r="Q54" s="34"/>
      <c r="R54" s="36"/>
    </row>
    <row r="55" spans="1:20" x14ac:dyDescent="0.25">
      <c r="A55" s="34"/>
      <c r="B55" s="36"/>
      <c r="C55" s="36"/>
      <c r="D55" s="34"/>
      <c r="E55" s="36"/>
      <c r="L55" s="34"/>
      <c r="M55" s="34"/>
      <c r="N55" s="34"/>
      <c r="O55" s="34"/>
      <c r="P55" s="34"/>
      <c r="Q55" s="34"/>
      <c r="R55" s="36"/>
    </row>
    <row r="56" spans="1:20" x14ac:dyDescent="0.25">
      <c r="A56" s="34"/>
      <c r="B56" s="36"/>
      <c r="C56" s="36"/>
      <c r="D56" s="34"/>
      <c r="E56" s="36"/>
      <c r="L56" s="34"/>
      <c r="M56" s="34"/>
      <c r="N56" s="34"/>
      <c r="O56" s="34"/>
      <c r="P56" s="34"/>
      <c r="Q56" s="34"/>
      <c r="R56" s="36"/>
    </row>
    <row r="57" spans="1:20" x14ac:dyDescent="0.25">
      <c r="A57" s="34"/>
      <c r="B57" s="36"/>
      <c r="C57" s="36"/>
      <c r="D57" s="34"/>
      <c r="E57" s="36"/>
      <c r="L57" s="34"/>
      <c r="M57" s="34"/>
      <c r="N57" s="34"/>
      <c r="O57" s="34"/>
      <c r="P57" s="34"/>
      <c r="Q57" s="34"/>
      <c r="R57" s="36"/>
    </row>
    <row r="58" spans="1:20" x14ac:dyDescent="0.25">
      <c r="A58" s="34"/>
      <c r="B58" s="36"/>
      <c r="C58" s="36"/>
      <c r="D58" s="34"/>
      <c r="E58" s="36"/>
      <c r="L58" s="34"/>
      <c r="M58" s="34"/>
      <c r="N58" s="34"/>
      <c r="O58" s="34"/>
      <c r="P58" s="34"/>
      <c r="Q58" s="34"/>
      <c r="R58" s="36"/>
    </row>
    <row r="59" spans="1:20" x14ac:dyDescent="0.25">
      <c r="A59" s="34"/>
      <c r="B59" s="36"/>
      <c r="C59" s="36"/>
      <c r="D59" s="34"/>
      <c r="E59" s="36"/>
      <c r="L59" s="34"/>
      <c r="M59" s="34"/>
      <c r="N59" s="34"/>
      <c r="O59" s="34"/>
      <c r="P59" s="34"/>
      <c r="Q59" s="34"/>
      <c r="R59" s="36"/>
    </row>
    <row r="60" spans="1:20" x14ac:dyDescent="0.25">
      <c r="A60" s="34"/>
      <c r="B60" s="36"/>
      <c r="C60" s="36"/>
      <c r="D60" s="34"/>
      <c r="E60" s="36"/>
      <c r="L60" s="34"/>
      <c r="M60" s="34"/>
      <c r="N60" s="34"/>
      <c r="O60" s="34"/>
      <c r="P60" s="34"/>
      <c r="Q60" s="34"/>
      <c r="R60" s="36"/>
    </row>
    <row r="61" spans="1:20" x14ac:dyDescent="0.25">
      <c r="A61" s="34"/>
      <c r="B61" s="36"/>
      <c r="C61" s="36"/>
      <c r="D61" s="34"/>
      <c r="E61" s="36"/>
      <c r="L61" s="34"/>
      <c r="M61" s="34"/>
      <c r="N61" s="34"/>
      <c r="O61" s="34"/>
      <c r="P61" s="34"/>
      <c r="Q61" s="34"/>
      <c r="R61" s="36"/>
    </row>
    <row r="62" spans="1:20" x14ac:dyDescent="0.25">
      <c r="A62" s="34"/>
      <c r="B62" s="36"/>
      <c r="C62" s="36"/>
      <c r="D62" s="34"/>
      <c r="E62" s="36"/>
      <c r="L62" s="34"/>
      <c r="M62" s="34"/>
      <c r="N62" s="34"/>
      <c r="O62" s="34"/>
      <c r="P62" s="34"/>
      <c r="Q62" s="34"/>
      <c r="R62" s="36"/>
    </row>
    <row r="63" spans="1:20" x14ac:dyDescent="0.25">
      <c r="A63" s="34"/>
      <c r="B63" s="36"/>
      <c r="C63" s="36"/>
      <c r="D63" s="34"/>
      <c r="E63" s="36"/>
      <c r="L63" s="34"/>
      <c r="M63" s="34"/>
      <c r="N63" s="34"/>
      <c r="O63" s="34"/>
      <c r="P63" s="34"/>
      <c r="Q63" s="34"/>
      <c r="R63" s="36"/>
    </row>
    <row r="64" spans="1:20" x14ac:dyDescent="0.25">
      <c r="A64" s="34"/>
      <c r="B64" s="36"/>
      <c r="C64" s="36"/>
      <c r="D64" s="34"/>
      <c r="E64" s="36"/>
      <c r="L64" s="34"/>
      <c r="M64" s="34"/>
      <c r="N64" s="34"/>
      <c r="O64" s="34"/>
      <c r="P64" s="34"/>
      <c r="Q64" s="34"/>
      <c r="R64" s="36"/>
    </row>
    <row r="65" spans="1:18" x14ac:dyDescent="0.25">
      <c r="A65" s="34"/>
      <c r="B65" s="36"/>
      <c r="C65" s="36"/>
      <c r="D65" s="34"/>
      <c r="E65" s="36"/>
      <c r="L65" s="34"/>
      <c r="M65" s="34"/>
      <c r="N65" s="34"/>
      <c r="O65" s="34"/>
      <c r="P65" s="34"/>
      <c r="Q65" s="34"/>
      <c r="R65" s="36"/>
    </row>
    <row r="66" spans="1:18" x14ac:dyDescent="0.25">
      <c r="A66" s="34"/>
      <c r="B66" s="36"/>
      <c r="C66" s="36"/>
      <c r="D66" s="34"/>
      <c r="E66" s="36"/>
      <c r="L66" s="34"/>
      <c r="M66" s="34"/>
      <c r="N66" s="34"/>
      <c r="O66" s="34"/>
      <c r="P66" s="34"/>
      <c r="Q66" s="34"/>
      <c r="R66" s="36"/>
    </row>
    <row r="67" spans="1:18" x14ac:dyDescent="0.25">
      <c r="A67" s="34"/>
      <c r="B67" s="36"/>
      <c r="C67" s="36"/>
      <c r="D67" s="34"/>
      <c r="E67" s="36"/>
      <c r="L67" s="34"/>
      <c r="M67" s="34"/>
      <c r="N67" s="34"/>
      <c r="O67" s="34"/>
      <c r="P67" s="34"/>
      <c r="Q67" s="34"/>
      <c r="R67" s="36"/>
    </row>
    <row r="68" spans="1:18" x14ac:dyDescent="0.25">
      <c r="A68" s="34"/>
      <c r="B68" s="36"/>
      <c r="C68" s="36"/>
      <c r="D68" s="34"/>
      <c r="E68" s="36"/>
      <c r="L68" s="34"/>
      <c r="M68" s="34"/>
      <c r="N68" s="34"/>
      <c r="O68" s="34"/>
      <c r="P68" s="34"/>
      <c r="Q68" s="34"/>
      <c r="R68" s="36"/>
    </row>
    <row r="69" spans="1:18" x14ac:dyDescent="0.25">
      <c r="A69" s="34"/>
      <c r="B69" s="36"/>
      <c r="C69" s="36"/>
      <c r="D69" s="34"/>
      <c r="E69" s="36"/>
      <c r="L69" s="34"/>
      <c r="M69" s="34"/>
      <c r="N69" s="34"/>
      <c r="O69" s="34"/>
      <c r="P69" s="34"/>
      <c r="Q69" s="34"/>
      <c r="R69" s="36"/>
    </row>
    <row r="70" spans="1:18" x14ac:dyDescent="0.25">
      <c r="A70" s="34"/>
      <c r="B70" s="36"/>
      <c r="C70" s="36"/>
      <c r="D70" s="34"/>
      <c r="E70" s="36"/>
      <c r="L70" s="34"/>
      <c r="M70" s="34"/>
      <c r="N70" s="34"/>
      <c r="O70" s="34"/>
      <c r="P70" s="34"/>
      <c r="Q70" s="34"/>
      <c r="R70" s="36"/>
    </row>
    <row r="71" spans="1:18" x14ac:dyDescent="0.25">
      <c r="A71" s="34"/>
      <c r="B71" s="36"/>
      <c r="C71" s="36"/>
      <c r="D71" s="34"/>
      <c r="E71" s="36"/>
      <c r="L71" s="34"/>
      <c r="M71" s="34"/>
      <c r="N71" s="34"/>
      <c r="O71" s="34"/>
      <c r="P71" s="34"/>
      <c r="Q71" s="34"/>
      <c r="R71" s="36"/>
    </row>
    <row r="72" spans="1:18" x14ac:dyDescent="0.25">
      <c r="A72" s="34"/>
      <c r="B72" s="36"/>
      <c r="C72" s="36"/>
      <c r="D72" s="34"/>
      <c r="E72" s="36"/>
      <c r="L72" s="34"/>
      <c r="M72" s="34"/>
      <c r="N72" s="34"/>
      <c r="O72" s="34"/>
      <c r="P72" s="34"/>
      <c r="Q72" s="34"/>
      <c r="R72" s="36"/>
    </row>
    <row r="73" spans="1:18" x14ac:dyDescent="0.25">
      <c r="A73" s="34"/>
      <c r="B73" s="36"/>
      <c r="C73" s="36"/>
      <c r="D73" s="34"/>
      <c r="E73" s="36"/>
      <c r="L73" s="34"/>
      <c r="M73" s="34"/>
      <c r="N73" s="34"/>
      <c r="O73" s="34"/>
      <c r="P73" s="34"/>
      <c r="Q73" s="34"/>
      <c r="R73" s="36"/>
    </row>
    <row r="74" spans="1:18" x14ac:dyDescent="0.25">
      <c r="A74" s="34"/>
      <c r="B74" s="36"/>
      <c r="C74" s="36"/>
    </row>
    <row r="75" spans="1:18" x14ac:dyDescent="0.25">
      <c r="A75" s="34"/>
      <c r="B75" s="36"/>
      <c r="C75" s="36"/>
    </row>
    <row r="76" spans="1:18" x14ac:dyDescent="0.25">
      <c r="A76" s="34"/>
      <c r="B76" s="36"/>
      <c r="C76" s="36"/>
    </row>
    <row r="77" spans="1:18" x14ac:dyDescent="0.25">
      <c r="A77" s="34"/>
      <c r="B77" s="36"/>
      <c r="C77" s="36"/>
    </row>
  </sheetData>
  <mergeCells count="4">
    <mergeCell ref="A9:C9"/>
    <mergeCell ref="A1:K1"/>
    <mergeCell ref="G3:J3"/>
    <mergeCell ref="A2:C2"/>
  </mergeCells>
  <conditionalFormatting sqref="B13:B16 D13">
    <cfRule type="cellIs" dxfId="2" priority="1" operator="greaterThan">
      <formula>0</formula>
    </cfRule>
  </conditionalFormatting>
  <conditionalFormatting sqref="B13:B16">
    <cfRule type="cellIs" dxfId="1" priority="2" operator="equal">
      <formula>"No CIPP Liner Available"</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242A9-98DC-406C-89FE-ABE2DA9C0C98}">
  <sheetPr>
    <tabColor rgb="FF92D050"/>
  </sheetPr>
  <dimension ref="A1:AK45"/>
  <sheetViews>
    <sheetView zoomScaleNormal="100" workbookViewId="0">
      <selection activeCell="B11" sqref="B11"/>
    </sheetView>
  </sheetViews>
  <sheetFormatPr defaultRowHeight="15" x14ac:dyDescent="0.25"/>
  <cols>
    <col min="1" max="1" width="21.42578125" bestFit="1" customWidth="1"/>
    <col min="11" max="11" width="0" hidden="1" customWidth="1"/>
    <col min="12" max="12" width="16.5703125" hidden="1" customWidth="1"/>
    <col min="35" max="35" width="23.140625" bestFit="1" customWidth="1"/>
    <col min="36" max="36" width="12" bestFit="1" customWidth="1"/>
  </cols>
  <sheetData>
    <row r="1" spans="1:37" ht="21" x14ac:dyDescent="0.35">
      <c r="A1" s="89" t="s">
        <v>114</v>
      </c>
      <c r="B1" s="89"/>
      <c r="C1" s="89"/>
      <c r="D1" s="89"/>
      <c r="E1" s="89"/>
      <c r="F1" s="89"/>
      <c r="G1" s="89"/>
      <c r="H1" s="89"/>
      <c r="I1" s="89"/>
      <c r="J1" s="89"/>
      <c r="K1" s="89"/>
      <c r="L1" s="5"/>
    </row>
    <row r="2" spans="1:37" ht="15.75" thickBot="1" x14ac:dyDescent="0.3">
      <c r="A2" s="6" t="s">
        <v>23</v>
      </c>
      <c r="B2" s="5"/>
      <c r="C2" s="5"/>
      <c r="D2" s="5"/>
      <c r="E2" s="5"/>
      <c r="F2" s="5"/>
      <c r="G2" s="5"/>
      <c r="H2" s="5"/>
      <c r="I2" s="5"/>
      <c r="J2" s="5"/>
      <c r="K2" s="5"/>
      <c r="L2" s="5"/>
    </row>
    <row r="3" spans="1:37" x14ac:dyDescent="0.25">
      <c r="A3" s="28"/>
      <c r="B3" s="28" t="s">
        <v>0</v>
      </c>
      <c r="C3" s="28"/>
      <c r="D3" s="5"/>
      <c r="E3" s="5"/>
      <c r="F3" s="5"/>
      <c r="G3" s="86" t="s">
        <v>22</v>
      </c>
      <c r="H3" s="87"/>
      <c r="I3" s="87"/>
      <c r="J3" s="88"/>
      <c r="K3" s="5"/>
      <c r="L3" s="23" t="s">
        <v>25</v>
      </c>
    </row>
    <row r="4" spans="1:37" x14ac:dyDescent="0.25">
      <c r="A4" s="28" t="s">
        <v>2</v>
      </c>
      <c r="B4" s="29" t="e">
        <f>IF(D11&lt;48,"N/A",CMPA!B18)</f>
        <v>#N/A</v>
      </c>
      <c r="C4" s="28" t="s">
        <v>6</v>
      </c>
      <c r="D4" s="5"/>
      <c r="E4" s="5"/>
      <c r="F4" s="5"/>
      <c r="G4" s="14"/>
      <c r="H4" s="4" t="s">
        <v>11</v>
      </c>
      <c r="I4" s="4" t="s">
        <v>12</v>
      </c>
      <c r="J4" s="15" t="s">
        <v>13</v>
      </c>
      <c r="K4" s="5"/>
      <c r="L4" s="5"/>
    </row>
    <row r="5" spans="1:37" x14ac:dyDescent="0.25">
      <c r="A5" s="28" t="s">
        <v>3</v>
      </c>
      <c r="B5" s="29" t="e">
        <f>IF(D11&lt;48,"N/A",CMPA!D16)</f>
        <v>#N/A</v>
      </c>
      <c r="C5" s="28" t="s">
        <v>10</v>
      </c>
      <c r="D5" s="5"/>
      <c r="E5" s="5"/>
      <c r="F5" s="5"/>
      <c r="G5" s="14">
        <v>1</v>
      </c>
      <c r="H5" s="16" t="e">
        <f>-H23</f>
        <v>#N/A</v>
      </c>
      <c r="I5" s="17" t="e">
        <f>B4/12</f>
        <v>#N/A</v>
      </c>
      <c r="J5" s="18" t="e">
        <f>I5</f>
        <v>#N/A</v>
      </c>
      <c r="K5" s="5"/>
      <c r="L5" s="23" t="e">
        <f>(I5+I6)/2*(H6-H5)-(J5+J6)/2*(H6-H5)</f>
        <v>#N/A</v>
      </c>
    </row>
    <row r="6" spans="1:37" x14ac:dyDescent="0.25">
      <c r="A6" s="28" t="s">
        <v>4</v>
      </c>
      <c r="B6" s="29" t="e">
        <f>IF(D11&lt;48,"N/A",CMPA!D15-B13/12)</f>
        <v>#N/A</v>
      </c>
      <c r="C6" s="28" t="s">
        <v>10</v>
      </c>
      <c r="D6" s="5"/>
      <c r="E6" s="5"/>
      <c r="F6" s="5"/>
      <c r="G6" s="14">
        <v>2</v>
      </c>
      <c r="H6" s="16" t="e">
        <f>-H22</f>
        <v>#N/A</v>
      </c>
      <c r="I6" s="17" t="e">
        <f t="shared" ref="I6:I13" si="0">$B$21+SQRT($B$5^2-H6^2)</f>
        <v>#N/A</v>
      </c>
      <c r="J6" s="18" t="e">
        <f>IF(ABS(H6)&gt;$B$18,$B$23-SQRT(($B$7/12)^2-(H6+$B$24)^2),$B$26-SQRT($B$6^2-H6^2))</f>
        <v>#N/A</v>
      </c>
      <c r="K6" s="5"/>
      <c r="L6" s="23" t="e">
        <f t="shared" ref="L6:L22" si="1">(I6+I7)/2*(H7-H6)-(J6+J7)/2*(H7-H6)</f>
        <v>#N/A</v>
      </c>
    </row>
    <row r="7" spans="1:37" x14ac:dyDescent="0.25">
      <c r="A7" s="28" t="s">
        <v>5</v>
      </c>
      <c r="B7" s="29" t="e">
        <f>IF(D11&lt;48,"N/A",CMPA!B17)</f>
        <v>#N/A</v>
      </c>
      <c r="C7" s="28" t="s">
        <v>6</v>
      </c>
      <c r="D7" s="5"/>
      <c r="E7" s="5"/>
      <c r="F7" s="5"/>
      <c r="G7" s="14">
        <v>3</v>
      </c>
      <c r="H7" s="16" t="e">
        <f>-H21</f>
        <v>#N/A</v>
      </c>
      <c r="I7" s="17" t="e">
        <f t="shared" si="0"/>
        <v>#N/A</v>
      </c>
      <c r="J7" s="18" t="e">
        <f>IF(ABS(H7)&gt;$B$18,$B$23-SQRT(($B$7/12)^2-(H7+$B$24)^2),$B$26-SQRT($B$6^2-H7^2))</f>
        <v>#N/A</v>
      </c>
      <c r="K7" s="5"/>
      <c r="L7" s="23" t="e">
        <f t="shared" si="1"/>
        <v>#N/A</v>
      </c>
    </row>
    <row r="8" spans="1:37" x14ac:dyDescent="0.25">
      <c r="A8" s="28"/>
      <c r="B8" s="28"/>
      <c r="C8" s="28"/>
      <c r="D8" s="5"/>
      <c r="E8" s="5"/>
      <c r="F8" s="5"/>
      <c r="G8" s="14">
        <v>4</v>
      </c>
      <c r="H8" s="16" t="e">
        <f>-H20</f>
        <v>#N/A</v>
      </c>
      <c r="I8" s="17" t="e">
        <f t="shared" si="0"/>
        <v>#N/A</v>
      </c>
      <c r="J8" s="18" t="e">
        <f>$B$26-SQRT($B$6^2-H8^2)+($B$13-3)/12</f>
        <v>#N/A</v>
      </c>
      <c r="K8" s="5"/>
      <c r="L8" s="23" t="e">
        <f t="shared" si="1"/>
        <v>#N/A</v>
      </c>
      <c r="AI8" t="s">
        <v>20</v>
      </c>
    </row>
    <row r="9" spans="1:37" x14ac:dyDescent="0.25">
      <c r="A9" s="67" t="s">
        <v>112</v>
      </c>
      <c r="B9" s="62"/>
      <c r="C9" s="62"/>
      <c r="D9" s="5"/>
      <c r="E9" s="5"/>
      <c r="F9" s="5"/>
      <c r="G9" s="14">
        <v>5</v>
      </c>
      <c r="H9" s="16" t="e">
        <f>-H19</f>
        <v>#N/A</v>
      </c>
      <c r="I9" s="17" t="e">
        <f t="shared" si="0"/>
        <v>#N/A</v>
      </c>
      <c r="J9" s="18" t="e">
        <f>$B$26-SQRT($B$6^2-H9^2)+($B$13-1)/12</f>
        <v>#N/A</v>
      </c>
      <c r="K9" s="5"/>
      <c r="L9" s="23" t="e">
        <f t="shared" si="1"/>
        <v>#N/A</v>
      </c>
      <c r="AI9" s="1">
        <f t="shared" ref="AI9:AJ18" si="2">H14</f>
        <v>0</v>
      </c>
      <c r="AJ9" s="2" t="e">
        <f t="shared" si="2"/>
        <v>#N/A</v>
      </c>
      <c r="AK9" s="2" t="e">
        <f>AJ9</f>
        <v>#N/A</v>
      </c>
    </row>
    <row r="10" spans="1:37" x14ac:dyDescent="0.25">
      <c r="A10" s="28" t="s">
        <v>27</v>
      </c>
      <c r="B10" s="29" t="e">
        <f>I26</f>
        <v>#N/A</v>
      </c>
      <c r="C10" s="28" t="s">
        <v>7</v>
      </c>
      <c r="D10" s="5"/>
      <c r="E10" s="5"/>
      <c r="F10" s="5"/>
      <c r="G10" s="14">
        <v>6</v>
      </c>
      <c r="H10" s="16" t="e">
        <f>-H18</f>
        <v>#N/A</v>
      </c>
      <c r="I10" s="17" t="e">
        <f t="shared" si="0"/>
        <v>#N/A</v>
      </c>
      <c r="J10" s="18" t="e">
        <f t="shared" ref="J10:J18" si="3">$B$26-SQRT($B$6^2-H10^2)+$B$13/12</f>
        <v>#N/A</v>
      </c>
      <c r="K10" s="5"/>
      <c r="L10" s="23" t="e">
        <f t="shared" si="1"/>
        <v>#N/A</v>
      </c>
      <c r="AI10" s="1" t="e">
        <f>H15</f>
        <v>#N/A</v>
      </c>
      <c r="AJ10" s="2" t="e">
        <f t="shared" si="2"/>
        <v>#N/A</v>
      </c>
      <c r="AK10" s="2" t="e">
        <f t="shared" ref="AK10:AK45" si="4">AJ10</f>
        <v>#N/A</v>
      </c>
    </row>
    <row r="11" spans="1:37" x14ac:dyDescent="0.25">
      <c r="A11" s="28" t="s">
        <v>8</v>
      </c>
      <c r="B11" s="29" t="e">
        <f>CMPA!D11</f>
        <v>#N/A</v>
      </c>
      <c r="C11" s="28" t="s">
        <v>10</v>
      </c>
      <c r="D11" s="5" t="e">
        <f>B11*12</f>
        <v>#N/A</v>
      </c>
      <c r="E11" s="5" t="s">
        <v>6</v>
      </c>
      <c r="F11" s="5"/>
      <c r="G11" s="14">
        <v>7</v>
      </c>
      <c r="H11" s="16" t="e">
        <f>-H17</f>
        <v>#N/A</v>
      </c>
      <c r="I11" s="17" t="e">
        <f t="shared" si="0"/>
        <v>#N/A</v>
      </c>
      <c r="J11" s="18" t="e">
        <f t="shared" si="3"/>
        <v>#N/A</v>
      </c>
      <c r="K11" s="5"/>
      <c r="L11" s="23" t="e">
        <f t="shared" si="1"/>
        <v>#N/A</v>
      </c>
      <c r="AI11" s="1" t="e">
        <f t="shared" si="2"/>
        <v>#N/A</v>
      </c>
      <c r="AJ11" s="2" t="e">
        <f t="shared" si="2"/>
        <v>#N/A</v>
      </c>
      <c r="AK11" s="2" t="e">
        <f t="shared" si="4"/>
        <v>#N/A</v>
      </c>
    </row>
    <row r="12" spans="1:37" x14ac:dyDescent="0.25">
      <c r="A12" s="28" t="s">
        <v>9</v>
      </c>
      <c r="B12" s="29" t="e">
        <f>CMPA!D12-B13/12</f>
        <v>#N/A</v>
      </c>
      <c r="C12" s="28" t="s">
        <v>10</v>
      </c>
      <c r="D12" s="5" t="e">
        <f>B12*12</f>
        <v>#N/A</v>
      </c>
      <c r="E12" s="5" t="s">
        <v>6</v>
      </c>
      <c r="F12" s="5"/>
      <c r="G12" s="14">
        <v>8</v>
      </c>
      <c r="H12" s="16" t="e">
        <f>-H16</f>
        <v>#N/A</v>
      </c>
      <c r="I12" s="17" t="e">
        <f t="shared" si="0"/>
        <v>#N/A</v>
      </c>
      <c r="J12" s="18" t="e">
        <f t="shared" si="3"/>
        <v>#N/A</v>
      </c>
      <c r="K12" s="5"/>
      <c r="L12" s="23" t="e">
        <f t="shared" si="1"/>
        <v>#N/A</v>
      </c>
      <c r="AI12" s="1" t="e">
        <f t="shared" si="2"/>
        <v>#N/A</v>
      </c>
      <c r="AJ12" s="2" t="e">
        <f t="shared" si="2"/>
        <v>#N/A</v>
      </c>
      <c r="AK12" s="2" t="e">
        <f t="shared" si="4"/>
        <v>#N/A</v>
      </c>
    </row>
    <row r="13" spans="1:37" x14ac:dyDescent="0.25">
      <c r="A13" s="63" t="s">
        <v>33</v>
      </c>
      <c r="B13" s="69">
        <v>5</v>
      </c>
      <c r="C13" s="63" t="s">
        <v>6</v>
      </c>
      <c r="D13" s="5"/>
      <c r="E13" s="5"/>
      <c r="F13" s="5"/>
      <c r="G13" s="14">
        <v>9</v>
      </c>
      <c r="H13" s="16" t="e">
        <f>-H15</f>
        <v>#N/A</v>
      </c>
      <c r="I13" s="17" t="e">
        <f t="shared" si="0"/>
        <v>#N/A</v>
      </c>
      <c r="J13" s="18" t="e">
        <f t="shared" si="3"/>
        <v>#N/A</v>
      </c>
      <c r="K13" s="5"/>
      <c r="L13" s="23" t="e">
        <f t="shared" si="1"/>
        <v>#N/A</v>
      </c>
      <c r="AI13" s="1" t="e">
        <f t="shared" si="2"/>
        <v>#N/A</v>
      </c>
      <c r="AJ13" s="2" t="e">
        <f t="shared" si="2"/>
        <v>#N/A</v>
      </c>
      <c r="AK13" s="2" t="e">
        <f t="shared" si="4"/>
        <v>#N/A</v>
      </c>
    </row>
    <row r="14" spans="1:37" x14ac:dyDescent="0.25">
      <c r="A14" s="28" t="s">
        <v>113</v>
      </c>
      <c r="B14" s="29">
        <f>B13/12+CMPA!B6</f>
        <v>0.41666666666666669</v>
      </c>
      <c r="C14" s="28" t="s">
        <v>10</v>
      </c>
      <c r="D14" s="5"/>
      <c r="E14" s="5"/>
      <c r="F14" s="5"/>
      <c r="G14" s="14">
        <v>10</v>
      </c>
      <c r="H14" s="16">
        <v>0</v>
      </c>
      <c r="I14" s="17" t="e">
        <f>B12+B13/12</f>
        <v>#N/A</v>
      </c>
      <c r="J14" s="18" t="e">
        <f t="shared" si="3"/>
        <v>#N/A</v>
      </c>
      <c r="K14" s="5"/>
      <c r="L14" s="23" t="e">
        <f t="shared" si="1"/>
        <v>#N/A</v>
      </c>
      <c r="AI14" s="1" t="e">
        <f t="shared" si="2"/>
        <v>#N/A</v>
      </c>
      <c r="AJ14" s="2" t="e">
        <f t="shared" si="2"/>
        <v>#N/A</v>
      </c>
      <c r="AK14" s="2" t="e">
        <f t="shared" si="4"/>
        <v>#N/A</v>
      </c>
    </row>
    <row r="15" spans="1:37" x14ac:dyDescent="0.25">
      <c r="A15" s="28" t="s">
        <v>107</v>
      </c>
      <c r="B15" s="29">
        <f>B13/12+CMPA!B7</f>
        <v>0.41666666666666669</v>
      </c>
      <c r="C15" s="28" t="s">
        <v>10</v>
      </c>
      <c r="D15" s="5"/>
      <c r="E15" s="5"/>
      <c r="F15" s="5"/>
      <c r="G15" s="14">
        <v>11</v>
      </c>
      <c r="H15" s="16" t="e">
        <f>$H$14+$B$11/18*(G15-$G$14)</f>
        <v>#N/A</v>
      </c>
      <c r="I15" s="17" t="e">
        <f t="shared" ref="I15:I22" si="5">$B$21+SQRT($B$5^2-H15^2)</f>
        <v>#N/A</v>
      </c>
      <c r="J15" s="18" t="e">
        <f t="shared" si="3"/>
        <v>#N/A</v>
      </c>
      <c r="K15" s="5"/>
      <c r="L15" s="23" t="e">
        <f t="shared" si="1"/>
        <v>#N/A</v>
      </c>
      <c r="AI15" s="1" t="e">
        <f t="shared" si="2"/>
        <v>#N/A</v>
      </c>
      <c r="AJ15" s="2" t="e">
        <f t="shared" si="2"/>
        <v>#N/A</v>
      </c>
      <c r="AK15" s="2" t="e">
        <f t="shared" si="4"/>
        <v>#N/A</v>
      </c>
    </row>
    <row r="16" spans="1:37" x14ac:dyDescent="0.25">
      <c r="A16" s="5"/>
      <c r="B16" s="5"/>
      <c r="C16" s="5"/>
      <c r="D16" s="5"/>
      <c r="E16" s="5"/>
      <c r="F16" s="5"/>
      <c r="G16" s="14">
        <v>12</v>
      </c>
      <c r="H16" s="16" t="e">
        <f>$H$14+$B$11/18*(G16-$G$14)</f>
        <v>#N/A</v>
      </c>
      <c r="I16" s="17" t="e">
        <f t="shared" si="5"/>
        <v>#N/A</v>
      </c>
      <c r="J16" s="18" t="e">
        <f t="shared" si="3"/>
        <v>#N/A</v>
      </c>
      <c r="K16" s="5"/>
      <c r="L16" s="23" t="e">
        <f t="shared" si="1"/>
        <v>#N/A</v>
      </c>
      <c r="AI16" s="1" t="e">
        <f t="shared" si="2"/>
        <v>#N/A</v>
      </c>
      <c r="AJ16" s="2" t="e">
        <f t="shared" si="2"/>
        <v>#N/A</v>
      </c>
      <c r="AK16" s="2" t="e">
        <f t="shared" si="4"/>
        <v>#N/A</v>
      </c>
    </row>
    <row r="17" spans="1:37" x14ac:dyDescent="0.25">
      <c r="A17" s="7" t="s">
        <v>24</v>
      </c>
      <c r="B17" s="8"/>
      <c r="C17" s="5"/>
      <c r="D17" s="5"/>
      <c r="E17" s="5"/>
      <c r="F17" s="5"/>
      <c r="G17" s="14">
        <v>13</v>
      </c>
      <c r="H17" s="16" t="e">
        <f>$H$14+$B$11/18*(G17-$G$14)</f>
        <v>#N/A</v>
      </c>
      <c r="I17" s="17" t="e">
        <f t="shared" si="5"/>
        <v>#N/A</v>
      </c>
      <c r="J17" s="18" t="e">
        <f t="shared" si="3"/>
        <v>#N/A</v>
      </c>
      <c r="K17" s="5"/>
      <c r="L17" s="23" t="e">
        <f t="shared" si="1"/>
        <v>#N/A</v>
      </c>
      <c r="AI17" s="1" t="e">
        <f t="shared" si="2"/>
        <v>#N/A</v>
      </c>
      <c r="AJ17" s="2" t="e">
        <f t="shared" si="2"/>
        <v>#N/A</v>
      </c>
      <c r="AK17" s="2" t="e">
        <f t="shared" si="4"/>
        <v>#N/A</v>
      </c>
    </row>
    <row r="18" spans="1:37" x14ac:dyDescent="0.25">
      <c r="A18" s="9" t="s">
        <v>18</v>
      </c>
      <c r="B18" s="10" t="e">
        <f>H23-B7/12</f>
        <v>#N/A</v>
      </c>
      <c r="C18" s="5"/>
      <c r="D18" s="5"/>
      <c r="E18" s="5"/>
      <c r="F18" s="5"/>
      <c r="G18" s="14">
        <v>14</v>
      </c>
      <c r="H18" s="16" t="e">
        <f>$H$14+$B$11/18*(G18-$G$14)</f>
        <v>#N/A</v>
      </c>
      <c r="I18" s="17" t="e">
        <f t="shared" si="5"/>
        <v>#N/A</v>
      </c>
      <c r="J18" s="18" t="e">
        <f t="shared" si="3"/>
        <v>#N/A</v>
      </c>
      <c r="K18" s="5"/>
      <c r="L18" s="23" t="e">
        <f t="shared" si="1"/>
        <v>#N/A</v>
      </c>
      <c r="AI18" s="1" t="e">
        <f t="shared" si="2"/>
        <v>#N/A</v>
      </c>
      <c r="AJ18" s="2" t="e">
        <f t="shared" si="2"/>
        <v>#N/A</v>
      </c>
      <c r="AK18" s="2" t="e">
        <f t="shared" si="4"/>
        <v>#N/A</v>
      </c>
    </row>
    <row r="19" spans="1:37" x14ac:dyDescent="0.25">
      <c r="A19" s="9"/>
      <c r="B19" s="11"/>
      <c r="C19" s="5"/>
      <c r="D19" s="5"/>
      <c r="E19" s="5"/>
      <c r="F19" s="5"/>
      <c r="G19" s="14">
        <v>15</v>
      </c>
      <c r="H19" s="16" t="e">
        <f>$H$14+$B$11/18*(G19-$G$14)</f>
        <v>#N/A</v>
      </c>
      <c r="I19" s="17" t="e">
        <f t="shared" si="5"/>
        <v>#N/A</v>
      </c>
      <c r="J19" s="18" t="e">
        <f>$B$26-SQRT($B$6^2-H19^2)+($B$13-1)/12</f>
        <v>#N/A</v>
      </c>
      <c r="K19" s="5"/>
      <c r="L19" s="23" t="e">
        <f t="shared" si="1"/>
        <v>#N/A</v>
      </c>
      <c r="AI19" s="1" t="e">
        <f>AI17</f>
        <v>#N/A</v>
      </c>
      <c r="AJ19" s="2" t="e">
        <f>J22</f>
        <v>#N/A</v>
      </c>
      <c r="AK19" s="2" t="e">
        <f t="shared" si="4"/>
        <v>#N/A</v>
      </c>
    </row>
    <row r="20" spans="1:37" x14ac:dyDescent="0.25">
      <c r="A20" s="9" t="s">
        <v>17</v>
      </c>
      <c r="B20" s="11"/>
      <c r="C20" s="5"/>
      <c r="D20" s="5"/>
      <c r="E20" s="5"/>
      <c r="F20" s="5"/>
      <c r="G20" s="14">
        <v>16</v>
      </c>
      <c r="H20" s="16" t="e">
        <f>$H$14+$B$11/36*((G20-$G$14)*2+1)</f>
        <v>#N/A</v>
      </c>
      <c r="I20" s="17" t="e">
        <f t="shared" si="5"/>
        <v>#N/A</v>
      </c>
      <c r="J20" s="18" t="e">
        <f>$B$26-SQRT($B$6^2-H20^2)+($B$13-3)/12</f>
        <v>#N/A</v>
      </c>
      <c r="K20" s="5"/>
      <c r="L20" s="23" t="e">
        <f t="shared" si="1"/>
        <v>#N/A</v>
      </c>
      <c r="AI20" s="1" t="e">
        <f>AI16</f>
        <v>#N/A</v>
      </c>
      <c r="AJ20" s="2" t="e">
        <f>J21</f>
        <v>#N/A</v>
      </c>
      <c r="AK20" s="2" t="e">
        <f t="shared" si="4"/>
        <v>#N/A</v>
      </c>
    </row>
    <row r="21" spans="1:37" x14ac:dyDescent="0.25">
      <c r="A21" s="9" t="s">
        <v>14</v>
      </c>
      <c r="B21" s="11" t="e">
        <f>CMPA!$D$12-B5</f>
        <v>#N/A</v>
      </c>
      <c r="C21" s="5"/>
      <c r="D21" s="5"/>
      <c r="E21" s="5"/>
      <c r="F21" s="5"/>
      <c r="G21" s="14">
        <v>17</v>
      </c>
      <c r="H21" s="16" t="e">
        <f>$H$14+$B$11/36*((G21-$G$14)*2+1)</f>
        <v>#N/A</v>
      </c>
      <c r="I21" s="17" t="e">
        <f t="shared" si="5"/>
        <v>#N/A</v>
      </c>
      <c r="J21" s="18" t="e">
        <f>IF(ABS(H21)&gt;$B$18,$B$23-SQRT(($B$7/12)^2-(H21-$B$24)^2),$B$26-SQRT($B$6^2-H21^2))</f>
        <v>#N/A</v>
      </c>
      <c r="K21" s="5"/>
      <c r="L21" s="23" t="e">
        <f t="shared" si="1"/>
        <v>#N/A</v>
      </c>
      <c r="AI21" s="1" t="e">
        <f>AI15</f>
        <v>#N/A</v>
      </c>
      <c r="AJ21" s="2" t="e">
        <f>J20</f>
        <v>#N/A</v>
      </c>
      <c r="AK21" s="2" t="e">
        <f t="shared" si="4"/>
        <v>#N/A</v>
      </c>
    </row>
    <row r="22" spans="1:37" x14ac:dyDescent="0.25">
      <c r="A22" s="9"/>
      <c r="B22" s="11"/>
      <c r="C22" s="5"/>
      <c r="D22" s="5"/>
      <c r="E22" s="5"/>
      <c r="F22" s="5"/>
      <c r="G22" s="14">
        <v>18</v>
      </c>
      <c r="H22" s="16" t="e">
        <f>$H$14+$B$11/36*((G22-$G$14)*2+1)</f>
        <v>#N/A</v>
      </c>
      <c r="I22" s="17" t="e">
        <f t="shared" si="5"/>
        <v>#N/A</v>
      </c>
      <c r="J22" s="18" t="e">
        <f>IF(ABS(H22)&gt;$B$18,$B$23-SQRT(($B$7/12)^2-(H22-$B$24)^2),$B$26-SQRT($B$6^2-H22^2))</f>
        <v>#N/A</v>
      </c>
      <c r="K22" s="5"/>
      <c r="L22" s="23" t="e">
        <f t="shared" si="1"/>
        <v>#N/A</v>
      </c>
      <c r="AI22" s="1" t="e">
        <f>AI14</f>
        <v>#N/A</v>
      </c>
      <c r="AJ22" s="2" t="e">
        <f>J19</f>
        <v>#N/A</v>
      </c>
      <c r="AK22" s="2" t="e">
        <f t="shared" si="4"/>
        <v>#N/A</v>
      </c>
    </row>
    <row r="23" spans="1:37" ht="15.75" thickBot="1" x14ac:dyDescent="0.3">
      <c r="A23" s="9" t="s">
        <v>15</v>
      </c>
      <c r="B23" s="11" t="e">
        <f>B4/12</f>
        <v>#N/A</v>
      </c>
      <c r="C23" s="5"/>
      <c r="D23" s="5"/>
      <c r="E23" s="5"/>
      <c r="F23" s="5"/>
      <c r="G23" s="19">
        <v>19</v>
      </c>
      <c r="H23" s="20" t="e">
        <f>$H$14+$B$11/18*(G23-$G$14)</f>
        <v>#N/A</v>
      </c>
      <c r="I23" s="21" t="e">
        <f>B4/12</f>
        <v>#N/A</v>
      </c>
      <c r="J23" s="22" t="e">
        <f>I23</f>
        <v>#N/A</v>
      </c>
      <c r="K23" s="5"/>
      <c r="AI23" s="1" t="e">
        <f>AI13</f>
        <v>#N/A</v>
      </c>
      <c r="AJ23" s="2" t="e">
        <f>J18</f>
        <v>#N/A</v>
      </c>
      <c r="AK23" s="2" t="e">
        <f t="shared" si="4"/>
        <v>#N/A</v>
      </c>
    </row>
    <row r="24" spans="1:37" x14ac:dyDescent="0.25">
      <c r="A24" s="9" t="s">
        <v>16</v>
      </c>
      <c r="B24" s="10" t="e">
        <f>B18</f>
        <v>#N/A</v>
      </c>
      <c r="C24" s="5"/>
      <c r="D24" s="5"/>
      <c r="E24" s="5"/>
      <c r="F24" s="5"/>
      <c r="G24" s="5"/>
      <c r="H24" s="5"/>
      <c r="I24" s="5"/>
      <c r="J24" s="5"/>
      <c r="K24" s="5"/>
      <c r="AI24" s="1" t="e">
        <f>AI12</f>
        <v>#N/A</v>
      </c>
      <c r="AJ24" s="2" t="e">
        <f>J17</f>
        <v>#N/A</v>
      </c>
      <c r="AK24" s="2" t="e">
        <f t="shared" si="4"/>
        <v>#N/A</v>
      </c>
    </row>
    <row r="25" spans="1:37" x14ac:dyDescent="0.25">
      <c r="A25" s="9"/>
      <c r="B25" s="11"/>
      <c r="C25" s="5"/>
      <c r="D25" s="5"/>
      <c r="E25" s="5"/>
      <c r="F25" s="5"/>
      <c r="G25" s="5"/>
      <c r="H25" s="5"/>
      <c r="I25" s="24" t="s">
        <v>26</v>
      </c>
      <c r="J25" s="5"/>
      <c r="K25" s="5"/>
      <c r="L25" s="5"/>
      <c r="AI25" s="1" t="e">
        <f>AI11</f>
        <v>#N/A</v>
      </c>
      <c r="AJ25" s="2" t="e">
        <f>J16</f>
        <v>#N/A</v>
      </c>
      <c r="AK25" s="2" t="e">
        <f t="shared" si="4"/>
        <v>#N/A</v>
      </c>
    </row>
    <row r="26" spans="1:37" x14ac:dyDescent="0.25">
      <c r="A26" s="12" t="s">
        <v>19</v>
      </c>
      <c r="B26" s="13" t="e">
        <f>B6</f>
        <v>#N/A</v>
      </c>
      <c r="C26" s="5"/>
      <c r="D26" s="5"/>
      <c r="E26" s="5"/>
      <c r="F26" s="5"/>
      <c r="G26" s="5"/>
      <c r="H26" s="26"/>
      <c r="I26" s="25" t="e">
        <f>SUM(L5:L22)</f>
        <v>#N/A</v>
      </c>
      <c r="J26" s="5"/>
      <c r="K26" s="5"/>
      <c r="L26" s="5"/>
      <c r="AI26" s="1" t="e">
        <f>AI10</f>
        <v>#N/A</v>
      </c>
      <c r="AJ26" s="2" t="e">
        <f>J15</f>
        <v>#N/A</v>
      </c>
      <c r="AK26" s="2" t="e">
        <f t="shared" si="4"/>
        <v>#N/A</v>
      </c>
    </row>
    <row r="27" spans="1:37" x14ac:dyDescent="0.25">
      <c r="A27" s="5"/>
      <c r="B27" s="5"/>
      <c r="C27" s="5"/>
      <c r="D27" s="5"/>
      <c r="E27" s="5"/>
      <c r="F27" s="5"/>
      <c r="G27" s="5"/>
      <c r="H27" s="5"/>
      <c r="I27" s="5"/>
      <c r="J27" s="5"/>
      <c r="K27" s="5"/>
      <c r="L27" s="5"/>
      <c r="AI27" s="1">
        <f>AI9</f>
        <v>0</v>
      </c>
      <c r="AJ27" s="2" t="e">
        <f>J14</f>
        <v>#N/A</v>
      </c>
      <c r="AK27" s="2" t="e">
        <f t="shared" si="4"/>
        <v>#N/A</v>
      </c>
    </row>
    <row r="28" spans="1:37" x14ac:dyDescent="0.25">
      <c r="A28" s="5"/>
      <c r="B28" s="5"/>
      <c r="C28" s="5"/>
      <c r="D28" s="5"/>
      <c r="E28" s="5"/>
      <c r="F28" s="5"/>
      <c r="G28" s="5"/>
      <c r="H28" s="5"/>
      <c r="I28" s="5"/>
      <c r="J28" s="5"/>
      <c r="K28" s="5"/>
      <c r="L28" s="5"/>
      <c r="AI28" s="1" t="e">
        <f>AI44</f>
        <v>#N/A</v>
      </c>
      <c r="AJ28" s="2" t="e">
        <f>J13</f>
        <v>#N/A</v>
      </c>
      <c r="AK28" s="2" t="e">
        <f t="shared" si="4"/>
        <v>#N/A</v>
      </c>
    </row>
    <row r="29" spans="1:37" x14ac:dyDescent="0.25">
      <c r="AI29" s="1" t="e">
        <f>AI43</f>
        <v>#N/A</v>
      </c>
      <c r="AJ29" s="2" t="e">
        <f>J12</f>
        <v>#N/A</v>
      </c>
      <c r="AK29" s="2" t="e">
        <f t="shared" si="4"/>
        <v>#N/A</v>
      </c>
    </row>
    <row r="30" spans="1:37" x14ac:dyDescent="0.25">
      <c r="H30" s="1"/>
      <c r="AI30" s="1" t="e">
        <f>AI42</f>
        <v>#N/A</v>
      </c>
      <c r="AJ30" s="2" t="e">
        <f>J11</f>
        <v>#N/A</v>
      </c>
      <c r="AK30" s="2" t="e">
        <f t="shared" si="4"/>
        <v>#N/A</v>
      </c>
    </row>
    <row r="31" spans="1:37" x14ac:dyDescent="0.25">
      <c r="AI31" s="1" t="e">
        <f>AI41</f>
        <v>#N/A</v>
      </c>
      <c r="AJ31" s="2" t="e">
        <f>J10</f>
        <v>#N/A</v>
      </c>
      <c r="AK31" s="2" t="e">
        <f t="shared" si="4"/>
        <v>#N/A</v>
      </c>
    </row>
    <row r="32" spans="1:37" x14ac:dyDescent="0.25">
      <c r="AI32" s="1" t="e">
        <f>AI40</f>
        <v>#N/A</v>
      </c>
      <c r="AJ32" s="2" t="e">
        <f>J9</f>
        <v>#N/A</v>
      </c>
      <c r="AK32" s="2" t="e">
        <f t="shared" si="4"/>
        <v>#N/A</v>
      </c>
    </row>
    <row r="33" spans="35:37" x14ac:dyDescent="0.25">
      <c r="AI33" s="1" t="e">
        <f>AI39</f>
        <v>#N/A</v>
      </c>
      <c r="AJ33" s="2" t="e">
        <f>J8</f>
        <v>#N/A</v>
      </c>
      <c r="AK33" s="2" t="e">
        <f t="shared" si="4"/>
        <v>#N/A</v>
      </c>
    </row>
    <row r="34" spans="35:37" x14ac:dyDescent="0.25">
      <c r="AI34" s="1" t="e">
        <f>AI38</f>
        <v>#N/A</v>
      </c>
      <c r="AJ34" s="2" t="e">
        <f>J7</f>
        <v>#N/A</v>
      </c>
      <c r="AK34" s="2" t="e">
        <f t="shared" si="4"/>
        <v>#N/A</v>
      </c>
    </row>
    <row r="35" spans="35:37" x14ac:dyDescent="0.25">
      <c r="AI35" s="1" t="e">
        <f>AI37</f>
        <v>#N/A</v>
      </c>
      <c r="AJ35" t="e">
        <f>J6</f>
        <v>#N/A</v>
      </c>
      <c r="AK35" s="2" t="e">
        <f t="shared" si="4"/>
        <v>#N/A</v>
      </c>
    </row>
    <row r="36" spans="35:37" x14ac:dyDescent="0.25">
      <c r="AI36" s="1" t="e">
        <f t="shared" ref="AI36:AJ44" si="6">H5</f>
        <v>#N/A</v>
      </c>
      <c r="AJ36" s="2" t="e">
        <f>J5</f>
        <v>#N/A</v>
      </c>
      <c r="AK36" s="2" t="e">
        <f t="shared" si="4"/>
        <v>#N/A</v>
      </c>
    </row>
    <row r="37" spans="35:37" x14ac:dyDescent="0.25">
      <c r="AI37" s="1" t="e">
        <f t="shared" si="6"/>
        <v>#N/A</v>
      </c>
      <c r="AJ37" s="2" t="e">
        <f t="shared" si="6"/>
        <v>#N/A</v>
      </c>
      <c r="AK37" s="2" t="e">
        <f t="shared" si="4"/>
        <v>#N/A</v>
      </c>
    </row>
    <row r="38" spans="35:37" x14ac:dyDescent="0.25">
      <c r="AI38" s="1" t="e">
        <f t="shared" si="6"/>
        <v>#N/A</v>
      </c>
      <c r="AJ38" s="2" t="e">
        <f t="shared" si="6"/>
        <v>#N/A</v>
      </c>
      <c r="AK38" s="2" t="e">
        <f t="shared" si="4"/>
        <v>#N/A</v>
      </c>
    </row>
    <row r="39" spans="35:37" x14ac:dyDescent="0.25">
      <c r="AI39" s="1" t="e">
        <f t="shared" si="6"/>
        <v>#N/A</v>
      </c>
      <c r="AJ39" s="2" t="e">
        <f t="shared" si="6"/>
        <v>#N/A</v>
      </c>
      <c r="AK39" s="2" t="e">
        <f t="shared" si="4"/>
        <v>#N/A</v>
      </c>
    </row>
    <row r="40" spans="35:37" x14ac:dyDescent="0.25">
      <c r="AI40" s="1" t="e">
        <f t="shared" si="6"/>
        <v>#N/A</v>
      </c>
      <c r="AJ40" s="2" t="e">
        <f t="shared" si="6"/>
        <v>#N/A</v>
      </c>
      <c r="AK40" s="2" t="e">
        <f t="shared" si="4"/>
        <v>#N/A</v>
      </c>
    </row>
    <row r="41" spans="35:37" x14ac:dyDescent="0.25">
      <c r="AI41" s="1" t="e">
        <f t="shared" si="6"/>
        <v>#N/A</v>
      </c>
      <c r="AJ41" s="2" t="e">
        <f t="shared" si="6"/>
        <v>#N/A</v>
      </c>
      <c r="AK41" s="2" t="e">
        <f t="shared" si="4"/>
        <v>#N/A</v>
      </c>
    </row>
    <row r="42" spans="35:37" x14ac:dyDescent="0.25">
      <c r="AI42" s="1" t="e">
        <f t="shared" si="6"/>
        <v>#N/A</v>
      </c>
      <c r="AJ42" s="2" t="e">
        <f t="shared" si="6"/>
        <v>#N/A</v>
      </c>
      <c r="AK42" s="2" t="e">
        <f t="shared" si="4"/>
        <v>#N/A</v>
      </c>
    </row>
    <row r="43" spans="35:37" x14ac:dyDescent="0.25">
      <c r="AI43" s="1" t="e">
        <f t="shared" si="6"/>
        <v>#N/A</v>
      </c>
      <c r="AJ43" s="2" t="e">
        <f t="shared" si="6"/>
        <v>#N/A</v>
      </c>
      <c r="AK43" s="2" t="e">
        <f t="shared" si="4"/>
        <v>#N/A</v>
      </c>
    </row>
    <row r="44" spans="35:37" x14ac:dyDescent="0.25">
      <c r="AI44" s="1" t="e">
        <f t="shared" si="6"/>
        <v>#N/A</v>
      </c>
      <c r="AJ44" s="2" t="e">
        <f t="shared" si="6"/>
        <v>#N/A</v>
      </c>
      <c r="AK44" s="2" t="e">
        <f t="shared" si="4"/>
        <v>#N/A</v>
      </c>
    </row>
    <row r="45" spans="35:37" x14ac:dyDescent="0.25">
      <c r="AI45" s="1">
        <f>H54</f>
        <v>0</v>
      </c>
      <c r="AJ45" s="2" t="e">
        <f>AJ9</f>
        <v>#N/A</v>
      </c>
      <c r="AK45" s="2" t="e">
        <f t="shared" si="4"/>
        <v>#N/A</v>
      </c>
    </row>
  </sheetData>
  <mergeCells count="2">
    <mergeCell ref="A1:K1"/>
    <mergeCell ref="G3:J3"/>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4DBC08-44EE-43EE-8244-D8B2DB206C3F}">
  <sheetPr>
    <tabColor rgb="FF92D050"/>
  </sheetPr>
  <dimension ref="A1:AK45"/>
  <sheetViews>
    <sheetView topLeftCell="G1" workbookViewId="0">
      <selection activeCell="AF10" sqref="AF10:AG13"/>
    </sheetView>
  </sheetViews>
  <sheetFormatPr defaultRowHeight="15" x14ac:dyDescent="0.25"/>
  <cols>
    <col min="1" max="1" width="21.42578125" bestFit="1" customWidth="1"/>
    <col min="10" max="10" width="9.140625" customWidth="1"/>
    <col min="11" max="11" width="9.140625" hidden="1" customWidth="1"/>
    <col min="12" max="12" width="16.5703125" hidden="1" customWidth="1"/>
    <col min="16" max="16" width="9.7109375" bestFit="1" customWidth="1"/>
    <col min="35" max="35" width="23.140625" bestFit="1" customWidth="1"/>
    <col min="36" max="36" width="12" bestFit="1" customWidth="1"/>
  </cols>
  <sheetData>
    <row r="1" spans="1:37" ht="21" x14ac:dyDescent="0.35">
      <c r="A1" s="89" t="s">
        <v>32</v>
      </c>
      <c r="B1" s="89"/>
      <c r="C1" s="89"/>
      <c r="D1" s="89"/>
      <c r="E1" s="89"/>
      <c r="F1" s="89"/>
      <c r="G1" s="89"/>
      <c r="H1" s="89"/>
      <c r="I1" s="89"/>
      <c r="J1" s="89"/>
      <c r="K1" s="89"/>
      <c r="L1" s="5"/>
    </row>
    <row r="2" spans="1:37" ht="15.75" thickBot="1" x14ac:dyDescent="0.3">
      <c r="A2" s="6" t="s">
        <v>23</v>
      </c>
      <c r="B2" s="5"/>
      <c r="C2" s="5"/>
      <c r="D2" s="5"/>
      <c r="E2" s="5"/>
      <c r="F2" s="5"/>
      <c r="G2" s="5"/>
      <c r="H2" s="5"/>
      <c r="I2" s="5"/>
      <c r="J2" s="5"/>
      <c r="K2" s="5"/>
      <c r="L2" s="5"/>
    </row>
    <row r="3" spans="1:37" x14ac:dyDescent="0.25">
      <c r="A3" s="28"/>
      <c r="B3" s="28" t="s">
        <v>0</v>
      </c>
      <c r="C3" s="28"/>
      <c r="D3" s="98" t="e">
        <f>IF(CMPA!B11&lt;72,"Note: standard steel liner sizes are not available for this size of host pipe and may not be available for construction. Some points may need altered for the model.","")</f>
        <v>#N/A</v>
      </c>
      <c r="E3" s="99"/>
      <c r="F3" s="100"/>
      <c r="G3" s="86" t="s">
        <v>22</v>
      </c>
      <c r="H3" s="87"/>
      <c r="I3" s="87"/>
      <c r="J3" s="88"/>
      <c r="K3" s="5"/>
      <c r="L3" s="23" t="s">
        <v>25</v>
      </c>
    </row>
    <row r="4" spans="1:37" x14ac:dyDescent="0.25">
      <c r="A4" s="28" t="s">
        <v>2</v>
      </c>
      <c r="B4" s="29" t="e">
        <f>CMPA!B18</f>
        <v>#N/A</v>
      </c>
      <c r="C4" s="28" t="s">
        <v>6</v>
      </c>
      <c r="D4" s="98"/>
      <c r="E4" s="99"/>
      <c r="F4" s="100"/>
      <c r="G4" s="14"/>
      <c r="H4" s="4" t="s">
        <v>11</v>
      </c>
      <c r="I4" s="4" t="s">
        <v>12</v>
      </c>
      <c r="J4" s="15" t="s">
        <v>13</v>
      </c>
      <c r="K4" s="5"/>
      <c r="L4" s="5"/>
    </row>
    <row r="5" spans="1:37" x14ac:dyDescent="0.25">
      <c r="A5" s="28" t="s">
        <v>3</v>
      </c>
      <c r="B5" s="29" t="e">
        <f>CMPA!D16-(B13)/12</f>
        <v>#N/A</v>
      </c>
      <c r="C5" s="28" t="s">
        <v>10</v>
      </c>
      <c r="D5" s="98"/>
      <c r="E5" s="99"/>
      <c r="F5" s="100"/>
      <c r="G5" s="14">
        <v>1</v>
      </c>
      <c r="H5" s="16" t="e">
        <f>-H23</f>
        <v>#N/A</v>
      </c>
      <c r="I5" s="17" t="e">
        <f>B4/12</f>
        <v>#N/A</v>
      </c>
      <c r="J5" s="18" t="e">
        <f>I5</f>
        <v>#N/A</v>
      </c>
      <c r="K5" s="5"/>
      <c r="L5" s="23" t="e">
        <f>(I5+I6)/2*(H6-H5)-(J5+J6)/2*(H6-H5)</f>
        <v>#N/A</v>
      </c>
    </row>
    <row r="6" spans="1:37" x14ac:dyDescent="0.25">
      <c r="A6" s="28" t="s">
        <v>4</v>
      </c>
      <c r="B6" s="29" t="e">
        <f>CMPA!D15</f>
        <v>#N/A</v>
      </c>
      <c r="C6" s="28" t="s">
        <v>10</v>
      </c>
      <c r="D6" s="98"/>
      <c r="E6" s="99"/>
      <c r="F6" s="100"/>
      <c r="G6" s="14">
        <v>2</v>
      </c>
      <c r="H6" s="16" t="e">
        <f>-H22</f>
        <v>#N/A</v>
      </c>
      <c r="I6" s="17" t="e">
        <f>IF(ABS(H6)&gt;B20,$B$25+SQRT(($B$7/12)^2-(H6+$B$26)^2),AVERAGE($B$25+SQRT(($B$7/12)^2-(H6+$B$26)^2),$B$23+SQRT($B$5^2-H6^2)))</f>
        <v>#N/A</v>
      </c>
      <c r="J6" s="18" t="e">
        <f>IF(ABS(H6)&gt;$B$20,$B$25-SQRT(($B$7/12)^2-(H6+$B$26)^2),$B$28-SQRT($B$6^2-H6^2))</f>
        <v>#N/A</v>
      </c>
      <c r="K6" s="5"/>
      <c r="L6" s="23" t="e">
        <f t="shared" ref="L6:L22" si="0">(I6+I7)/2*(H7-H6)-(J6+J7)/2*(H7-H6)</f>
        <v>#N/A</v>
      </c>
    </row>
    <row r="7" spans="1:37" x14ac:dyDescent="0.25">
      <c r="A7" s="28" t="s">
        <v>5</v>
      </c>
      <c r="B7" s="29" t="e">
        <f>CMPA!B17</f>
        <v>#N/A</v>
      </c>
      <c r="C7" s="28" t="s">
        <v>6</v>
      </c>
      <c r="D7" s="98"/>
      <c r="E7" s="99"/>
      <c r="F7" s="100"/>
      <c r="G7" s="14">
        <v>3</v>
      </c>
      <c r="H7" s="16" t="e">
        <f>-H21</f>
        <v>#N/A</v>
      </c>
      <c r="I7" s="17" t="e">
        <f>IF(CMPA!B11&lt;72,$B$25+SQRT(($B$7/12)^2-(H7+$B$26)^2),$B$23+SQRT($B$5^2-H7^2))</f>
        <v>#N/A</v>
      </c>
      <c r="J7" s="18" t="e">
        <f>IF(ABS(H7)&gt;$B$20,$B$25-SQRT(($B$7/12)^2-(H7+$B$26)^2),$B$28-SQRT($B$6^2-H7^2))</f>
        <v>#N/A</v>
      </c>
      <c r="K7" s="5"/>
      <c r="L7" s="23" t="e">
        <f t="shared" si="0"/>
        <v>#N/A</v>
      </c>
    </row>
    <row r="8" spans="1:37" x14ac:dyDescent="0.25">
      <c r="A8" s="62"/>
      <c r="B8" s="73"/>
      <c r="C8" s="73"/>
      <c r="D8" s="98"/>
      <c r="E8" s="99"/>
      <c r="F8" s="100"/>
      <c r="G8" s="14">
        <v>4</v>
      </c>
      <c r="H8" s="16" t="e">
        <f>-H20</f>
        <v>#N/A</v>
      </c>
      <c r="I8" s="17" t="e">
        <f t="shared" ref="I8:I13" si="1">$B$23+SQRT($B$5^2-H8^2)</f>
        <v>#N/A</v>
      </c>
      <c r="J8" s="18" t="e">
        <f>IF(ABS(H8)&gt;$B$20,AVERAGE($B$25-SQRT(($B$7/12)^2-(H8+$B$26)^2),$B$28-SQRT($B$6^2-H8^2)),$B$28-SQRT($B$6^2-H8^2))</f>
        <v>#N/A</v>
      </c>
      <c r="K8" s="5"/>
      <c r="L8" s="23" t="e">
        <f t="shared" si="0"/>
        <v>#N/A</v>
      </c>
      <c r="AF8" t="s">
        <v>117</v>
      </c>
      <c r="AI8" t="s">
        <v>20</v>
      </c>
    </row>
    <row r="9" spans="1:37" x14ac:dyDescent="0.25">
      <c r="A9" s="72" t="s">
        <v>112</v>
      </c>
      <c r="B9" s="29"/>
      <c r="C9" s="28"/>
      <c r="D9" s="98"/>
      <c r="E9" s="99"/>
      <c r="F9" s="100"/>
      <c r="G9" s="14">
        <v>5</v>
      </c>
      <c r="H9" s="16" t="e">
        <f>-H19</f>
        <v>#N/A</v>
      </c>
      <c r="I9" s="17" t="e">
        <f t="shared" si="1"/>
        <v>#N/A</v>
      </c>
      <c r="J9" s="18" t="e">
        <f t="shared" ref="J9:J19" si="2">$B$28-SQRT($B$6^2-H9^2)</f>
        <v>#N/A</v>
      </c>
      <c r="K9" s="5"/>
      <c r="L9" s="23" t="e">
        <f t="shared" si="0"/>
        <v>#N/A</v>
      </c>
      <c r="AF9" t="s">
        <v>11</v>
      </c>
      <c r="AG9" t="s">
        <v>118</v>
      </c>
      <c r="AI9" s="1">
        <f t="shared" ref="AI9:AJ18" si="3">H14</f>
        <v>0</v>
      </c>
      <c r="AJ9" s="2" t="e">
        <f>I14</f>
        <v>#N/A</v>
      </c>
      <c r="AK9" t="e">
        <f>AJ9+$B$15/12</f>
        <v>#N/A</v>
      </c>
    </row>
    <row r="10" spans="1:37" x14ac:dyDescent="0.25">
      <c r="A10" s="28" t="s">
        <v>27</v>
      </c>
      <c r="B10" s="29" t="e">
        <f>I26</f>
        <v>#N/A</v>
      </c>
      <c r="C10" s="28" t="s">
        <v>7</v>
      </c>
      <c r="D10" s="98"/>
      <c r="E10" s="99"/>
      <c r="F10" s="100"/>
      <c r="G10" s="14">
        <v>6</v>
      </c>
      <c r="H10" s="16" t="e">
        <f>-H18</f>
        <v>#N/A</v>
      </c>
      <c r="I10" s="17" t="e">
        <f t="shared" si="1"/>
        <v>#N/A</v>
      </c>
      <c r="J10" s="18" t="e">
        <f t="shared" si="2"/>
        <v>#N/A</v>
      </c>
      <c r="K10" s="5"/>
      <c r="L10" s="23" t="e">
        <f t="shared" si="0"/>
        <v>#N/A</v>
      </c>
      <c r="AE10" t="s">
        <v>119</v>
      </c>
      <c r="AF10" s="1" t="e">
        <f>IF(ISBLANK(CMPA!$B$4),"",-CMPA!$B$4/2)/12</f>
        <v>#VALUE!</v>
      </c>
      <c r="AG10">
        <f>CMPA!$B$5/12</f>
        <v>0</v>
      </c>
      <c r="AI10" s="1" t="e">
        <f>H15</f>
        <v>#N/A</v>
      </c>
      <c r="AJ10" s="2" t="e">
        <f t="shared" si="3"/>
        <v>#N/A</v>
      </c>
      <c r="AK10" t="e">
        <f t="shared" ref="AK10:AK45" si="4">AJ10+$B$15/12</f>
        <v>#N/A</v>
      </c>
    </row>
    <row r="11" spans="1:37" x14ac:dyDescent="0.25">
      <c r="A11" s="28" t="s">
        <v>8</v>
      </c>
      <c r="B11" s="29" t="e">
        <f>CMPA!D11-(B14+B15)/12*2</f>
        <v>#N/A</v>
      </c>
      <c r="C11" s="28" t="s">
        <v>10</v>
      </c>
      <c r="D11" s="5" t="e">
        <f>B11*12</f>
        <v>#N/A</v>
      </c>
      <c r="E11" s="5" t="s">
        <v>6</v>
      </c>
      <c r="F11" s="5"/>
      <c r="G11" s="14">
        <v>7</v>
      </c>
      <c r="H11" s="16" t="e">
        <f>-H17</f>
        <v>#N/A</v>
      </c>
      <c r="I11" s="17" t="e">
        <f t="shared" si="1"/>
        <v>#N/A</v>
      </c>
      <c r="J11" s="18" t="e">
        <f t="shared" si="2"/>
        <v>#N/A</v>
      </c>
      <c r="K11" s="5"/>
      <c r="L11" s="23" t="e">
        <f t="shared" si="0"/>
        <v>#N/A</v>
      </c>
      <c r="AF11" s="1" t="e">
        <f>IF(ISBLANK(CMPA!$B$4),"",CMPA!$B$4/2)/12</f>
        <v>#VALUE!</v>
      </c>
      <c r="AG11">
        <f>CMPA!$B$5/12</f>
        <v>0</v>
      </c>
      <c r="AI11" s="1" t="e">
        <f t="shared" si="3"/>
        <v>#N/A</v>
      </c>
      <c r="AJ11" s="2" t="e">
        <f t="shared" si="3"/>
        <v>#N/A</v>
      </c>
      <c r="AK11" t="e">
        <f t="shared" si="4"/>
        <v>#N/A</v>
      </c>
    </row>
    <row r="12" spans="1:37" x14ac:dyDescent="0.25">
      <c r="A12" s="28" t="s">
        <v>9</v>
      </c>
      <c r="B12" s="29" t="e">
        <f>CMPA!D12-(B15*2+B13)/12</f>
        <v>#N/A</v>
      </c>
      <c r="C12" s="28" t="s">
        <v>10</v>
      </c>
      <c r="D12" s="5" t="e">
        <f>B12*12</f>
        <v>#N/A</v>
      </c>
      <c r="E12" s="5" t="s">
        <v>6</v>
      </c>
      <c r="F12" s="5"/>
      <c r="G12" s="14">
        <v>8</v>
      </c>
      <c r="H12" s="16" t="e">
        <f>-H16</f>
        <v>#N/A</v>
      </c>
      <c r="I12" s="17" t="e">
        <f t="shared" si="1"/>
        <v>#N/A</v>
      </c>
      <c r="J12" s="18" t="e">
        <f t="shared" si="2"/>
        <v>#N/A</v>
      </c>
      <c r="K12" s="5"/>
      <c r="L12" s="23" t="e">
        <f t="shared" si="0"/>
        <v>#N/A</v>
      </c>
      <c r="AE12" t="s">
        <v>120</v>
      </c>
      <c r="AF12" s="1" t="e">
        <f>IF(ISBLANK(CMPA!$B$5),"",-CMPA!$B$4/2)/12</f>
        <v>#VALUE!</v>
      </c>
      <c r="AG12">
        <v>0</v>
      </c>
      <c r="AI12" s="1" t="e">
        <f t="shared" si="3"/>
        <v>#N/A</v>
      </c>
      <c r="AJ12" s="2" t="e">
        <f t="shared" si="3"/>
        <v>#N/A</v>
      </c>
      <c r="AK12" t="e">
        <f t="shared" si="4"/>
        <v>#N/A</v>
      </c>
    </row>
    <row r="13" spans="1:37" x14ac:dyDescent="0.25">
      <c r="A13" s="28" t="s">
        <v>115</v>
      </c>
      <c r="B13" s="29">
        <v>4</v>
      </c>
      <c r="C13" s="28" t="s">
        <v>6</v>
      </c>
      <c r="D13" s="5"/>
      <c r="E13" s="5"/>
      <c r="F13" s="5"/>
      <c r="G13" s="14">
        <v>9</v>
      </c>
      <c r="H13" s="16" t="e">
        <f>-H15</f>
        <v>#N/A</v>
      </c>
      <c r="I13" s="17" t="e">
        <f t="shared" si="1"/>
        <v>#N/A</v>
      </c>
      <c r="J13" s="18" t="e">
        <f t="shared" si="2"/>
        <v>#N/A</v>
      </c>
      <c r="K13" s="5"/>
      <c r="L13" s="23" t="e">
        <f t="shared" si="0"/>
        <v>#N/A</v>
      </c>
      <c r="AF13" s="1" t="e">
        <f>IF(ISBLANK(CMPA!$B$5),"",-CMPA!$B$4/2)/12</f>
        <v>#VALUE!</v>
      </c>
      <c r="AG13" t="e">
        <f>IF(AF13="","",AG10)</f>
        <v>#VALUE!</v>
      </c>
      <c r="AI13" s="1" t="e">
        <f t="shared" si="3"/>
        <v>#N/A</v>
      </c>
      <c r="AJ13" s="2" t="e">
        <f t="shared" si="3"/>
        <v>#N/A</v>
      </c>
      <c r="AK13" t="e">
        <f t="shared" si="4"/>
        <v>#N/A</v>
      </c>
    </row>
    <row r="14" spans="1:37" x14ac:dyDescent="0.25">
      <c r="A14" s="28" t="s">
        <v>116</v>
      </c>
      <c r="B14" s="29">
        <v>3</v>
      </c>
      <c r="C14" s="28" t="s">
        <v>6</v>
      </c>
      <c r="D14" s="5"/>
      <c r="E14" s="5"/>
      <c r="F14" s="5"/>
      <c r="G14" s="14">
        <v>10</v>
      </c>
      <c r="H14" s="16">
        <v>0</v>
      </c>
      <c r="I14" s="17" t="e">
        <f>B12</f>
        <v>#N/A</v>
      </c>
      <c r="J14" s="18" t="e">
        <f t="shared" si="2"/>
        <v>#N/A</v>
      </c>
      <c r="K14" s="5"/>
      <c r="L14" s="23" t="e">
        <f t="shared" si="0"/>
        <v>#N/A</v>
      </c>
      <c r="AI14" s="1" t="e">
        <f t="shared" si="3"/>
        <v>#N/A</v>
      </c>
      <c r="AJ14" s="2" t="e">
        <f t="shared" si="3"/>
        <v>#N/A</v>
      </c>
      <c r="AK14" t="e">
        <f t="shared" si="4"/>
        <v>#N/A</v>
      </c>
    </row>
    <row r="15" spans="1:37" x14ac:dyDescent="0.25">
      <c r="A15" s="28" t="s">
        <v>39</v>
      </c>
      <c r="B15" s="29">
        <v>1</v>
      </c>
      <c r="C15" s="28" t="s">
        <v>6</v>
      </c>
      <c r="D15" s="5"/>
      <c r="E15" s="5"/>
      <c r="F15" s="5"/>
      <c r="G15" s="14">
        <v>11</v>
      </c>
      <c r="H15" s="16" t="e">
        <f>$H$14+$B$11/18*(G15-$G$14)</f>
        <v>#N/A</v>
      </c>
      <c r="I15" s="17" t="e">
        <f t="shared" ref="I15:I20" si="5">$B$23+SQRT($B$5^2-H15^2)</f>
        <v>#N/A</v>
      </c>
      <c r="J15" s="18" t="e">
        <f t="shared" si="2"/>
        <v>#N/A</v>
      </c>
      <c r="K15" s="5"/>
      <c r="L15" s="23" t="e">
        <f t="shared" si="0"/>
        <v>#N/A</v>
      </c>
      <c r="AI15" s="1" t="e">
        <f t="shared" si="3"/>
        <v>#N/A</v>
      </c>
      <c r="AJ15" s="2" t="e">
        <f t="shared" si="3"/>
        <v>#N/A</v>
      </c>
      <c r="AK15" t="e">
        <f t="shared" si="4"/>
        <v>#N/A</v>
      </c>
    </row>
    <row r="16" spans="1:37" x14ac:dyDescent="0.25">
      <c r="A16" s="28" t="s">
        <v>106</v>
      </c>
      <c r="B16" s="29">
        <f>B15/12+CMPA!B6</f>
        <v>8.3333333333333329E-2</v>
      </c>
      <c r="C16" s="28" t="s">
        <v>10</v>
      </c>
      <c r="D16" s="5"/>
      <c r="E16" s="6"/>
      <c r="F16" s="5"/>
      <c r="G16" s="14">
        <v>12</v>
      </c>
      <c r="H16" s="16" t="e">
        <f>$H$14+$B$11/18*(G16-$G$14)</f>
        <v>#N/A</v>
      </c>
      <c r="I16" s="17" t="e">
        <f t="shared" si="5"/>
        <v>#N/A</v>
      </c>
      <c r="J16" s="18" t="e">
        <f t="shared" si="2"/>
        <v>#N/A</v>
      </c>
      <c r="K16" s="5"/>
      <c r="L16" s="23" t="e">
        <f t="shared" si="0"/>
        <v>#N/A</v>
      </c>
      <c r="AI16" s="1" t="e">
        <f t="shared" si="3"/>
        <v>#N/A</v>
      </c>
      <c r="AJ16" s="2" t="e">
        <f t="shared" si="3"/>
        <v>#N/A</v>
      </c>
      <c r="AK16" t="e">
        <f t="shared" si="4"/>
        <v>#N/A</v>
      </c>
    </row>
    <row r="17" spans="1:37" x14ac:dyDescent="0.25">
      <c r="A17" s="28" t="s">
        <v>107</v>
      </c>
      <c r="B17" s="29">
        <f>B15/12+CMPA!B7</f>
        <v>8.3333333333333329E-2</v>
      </c>
      <c r="C17" s="28" t="s">
        <v>10</v>
      </c>
      <c r="D17" s="5"/>
      <c r="E17" s="5"/>
      <c r="F17" s="5"/>
      <c r="G17" s="14">
        <v>13</v>
      </c>
      <c r="H17" s="16" t="e">
        <f>$H$14+$B$11/18*(G17-$G$14)</f>
        <v>#N/A</v>
      </c>
      <c r="I17" s="17" t="e">
        <f t="shared" si="5"/>
        <v>#N/A</v>
      </c>
      <c r="J17" s="18" t="e">
        <f t="shared" si="2"/>
        <v>#N/A</v>
      </c>
      <c r="K17" s="5"/>
      <c r="L17" s="23" t="e">
        <f t="shared" si="0"/>
        <v>#N/A</v>
      </c>
      <c r="AI17" s="1" t="e">
        <f t="shared" si="3"/>
        <v>#N/A</v>
      </c>
      <c r="AJ17" s="2" t="e">
        <f t="shared" si="3"/>
        <v>#N/A</v>
      </c>
      <c r="AK17" t="e">
        <f t="shared" si="4"/>
        <v>#N/A</v>
      </c>
    </row>
    <row r="18" spans="1:37" x14ac:dyDescent="0.25">
      <c r="A18" s="5"/>
      <c r="B18" s="5"/>
      <c r="C18" s="5"/>
      <c r="D18" s="5"/>
      <c r="E18" s="5"/>
      <c r="F18" s="5"/>
      <c r="G18" s="14">
        <v>14</v>
      </c>
      <c r="H18" s="16" t="e">
        <f>$H$14+$B$11/18*(G18-$G$14)</f>
        <v>#N/A</v>
      </c>
      <c r="I18" s="17" t="e">
        <f t="shared" si="5"/>
        <v>#N/A</v>
      </c>
      <c r="J18" s="18" t="e">
        <f t="shared" si="2"/>
        <v>#N/A</v>
      </c>
      <c r="K18" s="5"/>
      <c r="L18" s="23" t="e">
        <f t="shared" si="0"/>
        <v>#N/A</v>
      </c>
      <c r="AI18" s="1" t="e">
        <f t="shared" si="3"/>
        <v>#N/A</v>
      </c>
      <c r="AJ18" s="2" t="e">
        <f t="shared" si="3"/>
        <v>#N/A</v>
      </c>
      <c r="AK18" t="e">
        <f t="shared" si="4"/>
        <v>#N/A</v>
      </c>
    </row>
    <row r="19" spans="1:37" x14ac:dyDescent="0.25">
      <c r="A19" s="31" t="s">
        <v>24</v>
      </c>
      <c r="B19" s="11"/>
      <c r="C19" s="5"/>
      <c r="D19" s="5"/>
      <c r="E19" s="5"/>
      <c r="F19" s="5"/>
      <c r="G19" s="14">
        <v>15</v>
      </c>
      <c r="H19" s="16" t="e">
        <f>$H$14+$B$11/18*(G19-$G$14)</f>
        <v>#N/A</v>
      </c>
      <c r="I19" s="17" t="e">
        <f t="shared" si="5"/>
        <v>#N/A</v>
      </c>
      <c r="J19" s="18" t="e">
        <f t="shared" si="2"/>
        <v>#N/A</v>
      </c>
      <c r="K19" s="5"/>
      <c r="L19" s="23" t="e">
        <f t="shared" si="0"/>
        <v>#N/A</v>
      </c>
      <c r="AI19" s="1" t="e">
        <f>AI17</f>
        <v>#N/A</v>
      </c>
      <c r="AJ19" s="2" t="e">
        <f>J22</f>
        <v>#N/A</v>
      </c>
      <c r="AK19" t="e">
        <f t="shared" si="4"/>
        <v>#N/A</v>
      </c>
    </row>
    <row r="20" spans="1:37" x14ac:dyDescent="0.25">
      <c r="A20" s="9" t="s">
        <v>18</v>
      </c>
      <c r="B20" s="10" t="e">
        <f>H23-B7/12</f>
        <v>#N/A</v>
      </c>
      <c r="C20" s="5"/>
      <c r="D20" s="5"/>
      <c r="E20" s="5"/>
      <c r="F20" s="5"/>
      <c r="G20" s="14">
        <v>16</v>
      </c>
      <c r="H20" s="16" t="e">
        <f>$H$14+$B$11/36*((G20-$G$14)*2+1)</f>
        <v>#N/A</v>
      </c>
      <c r="I20" s="17" t="e">
        <f t="shared" si="5"/>
        <v>#N/A</v>
      </c>
      <c r="J20" s="18" t="e">
        <f>IF(ABS(H20)&gt;$B$20,AVERAGE($B$25-SQRT(($B$7/12)^2-(H20-$B$26)^2),$B$28-SQRT($B$6^2-H20^2)),$B$28-SQRT($B$6^2-H20^2))</f>
        <v>#N/A</v>
      </c>
      <c r="K20" s="5"/>
      <c r="L20" s="23" t="e">
        <f t="shared" si="0"/>
        <v>#N/A</v>
      </c>
      <c r="AI20" s="1" t="e">
        <f>AI16</f>
        <v>#N/A</v>
      </c>
      <c r="AJ20" s="2" t="e">
        <f>J21</f>
        <v>#N/A</v>
      </c>
      <c r="AK20" t="e">
        <f t="shared" si="4"/>
        <v>#N/A</v>
      </c>
    </row>
    <row r="21" spans="1:37" x14ac:dyDescent="0.25">
      <c r="A21" s="9"/>
      <c r="B21" s="11"/>
      <c r="C21" s="5"/>
      <c r="D21" s="5"/>
      <c r="E21" s="5"/>
      <c r="F21" s="5"/>
      <c r="G21" s="14">
        <v>17</v>
      </c>
      <c r="H21" s="16" t="e">
        <f>$H$14+$B$11/36*((G21-$G$14)*2+1)</f>
        <v>#N/A</v>
      </c>
      <c r="I21" s="17" t="e">
        <f>IF(CMPA!B11&lt;72,$B$25+SQRT(($B$7/12)^2-(H7+$B$26)^2),$B$23+SQRT($B$5^2-H7^2))</f>
        <v>#N/A</v>
      </c>
      <c r="J21" s="18" t="e">
        <f>IF(ABS(H21)&gt;$B$20,$B$25-SQRT(($B$7/12)^2-(H21-$B$26)^2),$B$28-SQRT($B$6^2-H21^2))</f>
        <v>#N/A</v>
      </c>
      <c r="K21" s="5"/>
      <c r="L21" s="23" t="e">
        <f t="shared" si="0"/>
        <v>#N/A</v>
      </c>
      <c r="AI21" s="1" t="e">
        <f>AI15</f>
        <v>#N/A</v>
      </c>
      <c r="AJ21" s="2" t="e">
        <f>J20</f>
        <v>#N/A</v>
      </c>
      <c r="AK21" t="e">
        <f t="shared" si="4"/>
        <v>#N/A</v>
      </c>
    </row>
    <row r="22" spans="1:37" x14ac:dyDescent="0.25">
      <c r="A22" s="9" t="s">
        <v>17</v>
      </c>
      <c r="B22" s="11"/>
      <c r="C22" s="5"/>
      <c r="D22" s="5"/>
      <c r="E22" s="5"/>
      <c r="F22" s="5"/>
      <c r="G22" s="14">
        <v>18</v>
      </c>
      <c r="H22" s="16" t="e">
        <f>$H$14+$B$11/36*((G22-$G$14)*2+1)</f>
        <v>#N/A</v>
      </c>
      <c r="I22" s="17" t="e">
        <f>IF(ABS(H22)&gt;B20,$B$25+SQRT(($B$7/12)^2-(H6+$B$26)^2),AVERAGE($B$25+SQRT(($B$7/12)^2-(H6+$B$26)^2),$B$23+SQRT($B$5^2-H22^2)))</f>
        <v>#N/A</v>
      </c>
      <c r="J22" s="18" t="e">
        <f>IF(ABS(H22)&gt;$B$20,$B$25-SQRT(($B$7/12)^2-(H22-$B$26)^2),$B$28-SQRT($B$6^2-H22^2))</f>
        <v>#N/A</v>
      </c>
      <c r="K22" s="5"/>
      <c r="L22" s="23" t="e">
        <f t="shared" si="0"/>
        <v>#N/A</v>
      </c>
      <c r="AI22" s="1" t="e">
        <f>AI14</f>
        <v>#N/A</v>
      </c>
      <c r="AJ22" s="2" t="e">
        <f>J19</f>
        <v>#N/A</v>
      </c>
      <c r="AK22" t="e">
        <f t="shared" si="4"/>
        <v>#N/A</v>
      </c>
    </row>
    <row r="23" spans="1:37" ht="15.75" thickBot="1" x14ac:dyDescent="0.3">
      <c r="A23" s="9" t="s">
        <v>14</v>
      </c>
      <c r="B23" s="70" t="e">
        <f>B12-B5</f>
        <v>#N/A</v>
      </c>
      <c r="C23" s="5"/>
      <c r="D23" s="5"/>
      <c r="E23" s="5"/>
      <c r="F23" s="5"/>
      <c r="G23" s="19">
        <v>19</v>
      </c>
      <c r="H23" s="20" t="e">
        <f>$H$14+$B$11/18*(G23-$G$14)</f>
        <v>#N/A</v>
      </c>
      <c r="I23" s="21" t="e">
        <f>B4/12</f>
        <v>#N/A</v>
      </c>
      <c r="J23" s="22" t="e">
        <f>I23</f>
        <v>#N/A</v>
      </c>
      <c r="K23" s="5"/>
      <c r="AI23" s="1" t="e">
        <f>AI13</f>
        <v>#N/A</v>
      </c>
      <c r="AJ23" s="2" t="e">
        <f>J18</f>
        <v>#N/A</v>
      </c>
      <c r="AK23" t="e">
        <f t="shared" si="4"/>
        <v>#N/A</v>
      </c>
    </row>
    <row r="24" spans="1:37" x14ac:dyDescent="0.25">
      <c r="A24" s="9"/>
      <c r="B24" s="11"/>
      <c r="C24" s="5"/>
      <c r="D24" s="5"/>
      <c r="E24" s="5"/>
      <c r="F24" s="5"/>
      <c r="G24" s="5"/>
      <c r="H24" s="5"/>
      <c r="I24" s="5"/>
      <c r="J24" s="5"/>
      <c r="K24" s="5"/>
      <c r="AI24" s="1" t="e">
        <f>AI12</f>
        <v>#N/A</v>
      </c>
      <c r="AJ24" s="2" t="e">
        <f>J17</f>
        <v>#N/A</v>
      </c>
      <c r="AK24" t="e">
        <f t="shared" si="4"/>
        <v>#N/A</v>
      </c>
    </row>
    <row r="25" spans="1:37" x14ac:dyDescent="0.25">
      <c r="A25" s="9" t="s">
        <v>15</v>
      </c>
      <c r="B25" s="11" t="e">
        <f>B4/12</f>
        <v>#N/A</v>
      </c>
      <c r="C25" s="5"/>
      <c r="D25" s="5"/>
      <c r="E25" s="5"/>
      <c r="F25" s="5"/>
      <c r="G25" s="5"/>
      <c r="H25" s="5"/>
      <c r="I25" s="24" t="s">
        <v>26</v>
      </c>
      <c r="J25" s="5"/>
      <c r="K25" s="5"/>
      <c r="L25" s="5"/>
      <c r="AI25" s="1" t="e">
        <f>AI11</f>
        <v>#N/A</v>
      </c>
      <c r="AJ25" s="2" t="e">
        <f>J16</f>
        <v>#N/A</v>
      </c>
      <c r="AK25" t="e">
        <f t="shared" si="4"/>
        <v>#N/A</v>
      </c>
    </row>
    <row r="26" spans="1:37" x14ac:dyDescent="0.25">
      <c r="A26" s="9" t="s">
        <v>16</v>
      </c>
      <c r="B26" s="10" t="e">
        <f>B20</f>
        <v>#N/A</v>
      </c>
      <c r="C26" s="5"/>
      <c r="D26" s="5"/>
      <c r="E26" s="5"/>
      <c r="F26" s="5"/>
      <c r="G26" s="5"/>
      <c r="H26" s="26"/>
      <c r="I26" s="25" t="e">
        <f>SUM(L5:L22)</f>
        <v>#N/A</v>
      </c>
      <c r="J26" s="5"/>
      <c r="K26" s="5"/>
      <c r="L26" s="5"/>
      <c r="AI26" s="1" t="e">
        <f>AI10</f>
        <v>#N/A</v>
      </c>
      <c r="AJ26" s="2" t="e">
        <f>J15</f>
        <v>#N/A</v>
      </c>
      <c r="AK26" t="e">
        <f t="shared" si="4"/>
        <v>#N/A</v>
      </c>
    </row>
    <row r="27" spans="1:37" x14ac:dyDescent="0.25">
      <c r="A27" s="9"/>
      <c r="B27" s="11"/>
      <c r="C27" s="5"/>
      <c r="D27" s="5"/>
      <c r="E27" s="5"/>
      <c r="F27" s="5"/>
      <c r="G27" s="5"/>
      <c r="H27" s="5"/>
      <c r="I27" s="5"/>
      <c r="J27" s="5"/>
      <c r="K27" s="5"/>
      <c r="L27" s="5"/>
      <c r="AI27" s="1">
        <f>AI9</f>
        <v>0</v>
      </c>
      <c r="AJ27" s="2" t="e">
        <f>J14</f>
        <v>#N/A</v>
      </c>
      <c r="AK27" t="e">
        <f t="shared" si="4"/>
        <v>#N/A</v>
      </c>
    </row>
    <row r="28" spans="1:37" x14ac:dyDescent="0.25">
      <c r="A28" s="12" t="s">
        <v>19</v>
      </c>
      <c r="B28" s="71" t="e">
        <f>B6</f>
        <v>#N/A</v>
      </c>
      <c r="C28" s="5"/>
      <c r="D28" s="5"/>
      <c r="E28" s="5"/>
      <c r="F28" s="5"/>
      <c r="G28" s="5"/>
      <c r="H28" s="5"/>
      <c r="I28" s="5"/>
      <c r="J28" s="5"/>
      <c r="K28" s="5"/>
      <c r="L28" s="5"/>
      <c r="AI28" s="1" t="e">
        <f>AI44</f>
        <v>#N/A</v>
      </c>
      <c r="AJ28" s="2" t="e">
        <f>J13</f>
        <v>#N/A</v>
      </c>
      <c r="AK28" t="e">
        <f t="shared" si="4"/>
        <v>#N/A</v>
      </c>
    </row>
    <row r="29" spans="1:37" x14ac:dyDescent="0.25">
      <c r="A29" s="5"/>
      <c r="B29" s="5"/>
      <c r="C29" s="5"/>
      <c r="D29" s="5"/>
      <c r="E29" s="5"/>
      <c r="F29" s="5"/>
      <c r="G29" s="5"/>
      <c r="H29" s="5"/>
      <c r="I29" s="5"/>
      <c r="J29" s="5"/>
      <c r="AI29" s="1" t="e">
        <f>AI43</f>
        <v>#N/A</v>
      </c>
      <c r="AJ29" s="2" t="e">
        <f>J12</f>
        <v>#N/A</v>
      </c>
      <c r="AK29" t="e">
        <f t="shared" si="4"/>
        <v>#N/A</v>
      </c>
    </row>
    <row r="30" spans="1:37" x14ac:dyDescent="0.25">
      <c r="H30" s="1"/>
      <c r="AI30" s="1" t="e">
        <f>AI42</f>
        <v>#N/A</v>
      </c>
      <c r="AJ30" s="2" t="e">
        <f>J11</f>
        <v>#N/A</v>
      </c>
      <c r="AK30" t="e">
        <f t="shared" si="4"/>
        <v>#N/A</v>
      </c>
    </row>
    <row r="31" spans="1:37" x14ac:dyDescent="0.25">
      <c r="P31" s="77">
        <v>44897</v>
      </c>
      <c r="AI31" s="1" t="e">
        <f>AI41</f>
        <v>#N/A</v>
      </c>
      <c r="AJ31" s="2" t="e">
        <f>J10</f>
        <v>#N/A</v>
      </c>
      <c r="AK31" t="e">
        <f t="shared" si="4"/>
        <v>#N/A</v>
      </c>
    </row>
    <row r="32" spans="1:37" x14ac:dyDescent="0.25">
      <c r="P32" s="77">
        <f>P31+45</f>
        <v>44942</v>
      </c>
      <c r="AI32" s="1" t="e">
        <f>AI40</f>
        <v>#N/A</v>
      </c>
      <c r="AJ32" s="2" t="e">
        <f>J9</f>
        <v>#N/A</v>
      </c>
      <c r="AK32" t="e">
        <f t="shared" si="4"/>
        <v>#N/A</v>
      </c>
    </row>
    <row r="33" spans="35:37" x14ac:dyDescent="0.25">
      <c r="AI33" s="1" t="e">
        <f>AI39</f>
        <v>#N/A</v>
      </c>
      <c r="AJ33" s="2" t="e">
        <f>J8</f>
        <v>#N/A</v>
      </c>
      <c r="AK33" t="e">
        <f t="shared" si="4"/>
        <v>#N/A</v>
      </c>
    </row>
    <row r="34" spans="35:37" x14ac:dyDescent="0.25">
      <c r="AI34" s="1" t="e">
        <f>AI38</f>
        <v>#N/A</v>
      </c>
      <c r="AJ34" s="2" t="e">
        <f>J7</f>
        <v>#N/A</v>
      </c>
      <c r="AK34" t="e">
        <f t="shared" si="4"/>
        <v>#N/A</v>
      </c>
    </row>
    <row r="35" spans="35:37" x14ac:dyDescent="0.25">
      <c r="AI35" s="1" t="e">
        <f>AI37</f>
        <v>#N/A</v>
      </c>
      <c r="AJ35" s="2" t="e">
        <f>J6</f>
        <v>#N/A</v>
      </c>
      <c r="AK35" t="e">
        <f t="shared" si="4"/>
        <v>#N/A</v>
      </c>
    </row>
    <row r="36" spans="35:37" x14ac:dyDescent="0.25">
      <c r="AI36" s="1" t="e">
        <f t="shared" ref="AI36:AJ44" si="6">H5</f>
        <v>#N/A</v>
      </c>
      <c r="AJ36" s="2" t="e">
        <f>J5</f>
        <v>#N/A</v>
      </c>
      <c r="AK36" t="e">
        <f t="shared" si="4"/>
        <v>#N/A</v>
      </c>
    </row>
    <row r="37" spans="35:37" x14ac:dyDescent="0.25">
      <c r="AI37" s="1" t="e">
        <f t="shared" si="6"/>
        <v>#N/A</v>
      </c>
      <c r="AJ37" s="2" t="e">
        <f t="shared" si="6"/>
        <v>#N/A</v>
      </c>
      <c r="AK37" t="e">
        <f t="shared" si="4"/>
        <v>#N/A</v>
      </c>
    </row>
    <row r="38" spans="35:37" x14ac:dyDescent="0.25">
      <c r="AI38" s="1" t="e">
        <f t="shared" si="6"/>
        <v>#N/A</v>
      </c>
      <c r="AJ38" s="2" t="e">
        <f t="shared" si="6"/>
        <v>#N/A</v>
      </c>
      <c r="AK38" t="e">
        <f t="shared" si="4"/>
        <v>#N/A</v>
      </c>
    </row>
    <row r="39" spans="35:37" x14ac:dyDescent="0.25">
      <c r="AI39" s="1" t="e">
        <f t="shared" si="6"/>
        <v>#N/A</v>
      </c>
      <c r="AJ39" s="2" t="e">
        <f t="shared" si="6"/>
        <v>#N/A</v>
      </c>
      <c r="AK39" t="e">
        <f t="shared" si="4"/>
        <v>#N/A</v>
      </c>
    </row>
    <row r="40" spans="35:37" x14ac:dyDescent="0.25">
      <c r="AI40" s="1" t="e">
        <f t="shared" si="6"/>
        <v>#N/A</v>
      </c>
      <c r="AJ40" s="2" t="e">
        <f t="shared" si="6"/>
        <v>#N/A</v>
      </c>
      <c r="AK40" t="e">
        <f t="shared" si="4"/>
        <v>#N/A</v>
      </c>
    </row>
    <row r="41" spans="35:37" x14ac:dyDescent="0.25">
      <c r="AI41" s="1" t="e">
        <f t="shared" si="6"/>
        <v>#N/A</v>
      </c>
      <c r="AJ41" s="2" t="e">
        <f t="shared" si="6"/>
        <v>#N/A</v>
      </c>
      <c r="AK41" t="e">
        <f t="shared" si="4"/>
        <v>#N/A</v>
      </c>
    </row>
    <row r="42" spans="35:37" x14ac:dyDescent="0.25">
      <c r="AI42" s="1" t="e">
        <f t="shared" si="6"/>
        <v>#N/A</v>
      </c>
      <c r="AJ42" s="2" t="e">
        <f t="shared" si="6"/>
        <v>#N/A</v>
      </c>
      <c r="AK42" t="e">
        <f t="shared" si="4"/>
        <v>#N/A</v>
      </c>
    </row>
    <row r="43" spans="35:37" x14ac:dyDescent="0.25">
      <c r="AI43" s="1" t="e">
        <f t="shared" si="6"/>
        <v>#N/A</v>
      </c>
      <c r="AJ43" s="2" t="e">
        <f t="shared" si="6"/>
        <v>#N/A</v>
      </c>
      <c r="AK43" t="e">
        <f t="shared" si="4"/>
        <v>#N/A</v>
      </c>
    </row>
    <row r="44" spans="35:37" x14ac:dyDescent="0.25">
      <c r="AI44" s="1" t="e">
        <f t="shared" si="6"/>
        <v>#N/A</v>
      </c>
      <c r="AJ44" s="2" t="e">
        <f t="shared" si="6"/>
        <v>#N/A</v>
      </c>
      <c r="AK44" t="e">
        <f t="shared" si="4"/>
        <v>#N/A</v>
      </c>
    </row>
    <row r="45" spans="35:37" x14ac:dyDescent="0.25">
      <c r="AI45" s="1">
        <f>H54</f>
        <v>0</v>
      </c>
      <c r="AJ45" s="2" t="e">
        <f>AJ9</f>
        <v>#N/A</v>
      </c>
      <c r="AK45" t="e">
        <f t="shared" si="4"/>
        <v>#N/A</v>
      </c>
    </row>
  </sheetData>
  <mergeCells count="3">
    <mergeCell ref="A1:K1"/>
    <mergeCell ref="G3:J3"/>
    <mergeCell ref="D3:F10"/>
  </mergeCells>
  <conditionalFormatting sqref="D3">
    <cfRule type="cellIs" dxfId="0" priority="1" operator="greaterThan">
      <formula>""""""</formula>
    </cfRule>
  </conditionalFormatting>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261B-3456-403B-B34F-C8FCF313E3F4}">
  <sheetPr>
    <tabColor theme="4" tint="-0.249977111117893"/>
  </sheetPr>
  <dimension ref="A1:D9"/>
  <sheetViews>
    <sheetView workbookViewId="0">
      <selection activeCell="E12" sqref="E12"/>
    </sheetView>
  </sheetViews>
  <sheetFormatPr defaultRowHeight="15" x14ac:dyDescent="0.25"/>
  <sheetData>
    <row r="1" spans="1:4" x14ac:dyDescent="0.25">
      <c r="A1" t="s">
        <v>298</v>
      </c>
      <c r="B1" t="s">
        <v>292</v>
      </c>
      <c r="C1" t="s">
        <v>293</v>
      </c>
      <c r="D1" t="s">
        <v>294</v>
      </c>
    </row>
    <row r="2" spans="1:4" x14ac:dyDescent="0.25">
      <c r="A2">
        <v>1</v>
      </c>
      <c r="B2" t="s">
        <v>295</v>
      </c>
      <c r="C2" t="s">
        <v>296</v>
      </c>
      <c r="D2" t="s">
        <v>297</v>
      </c>
    </row>
    <row r="3" spans="1:4" x14ac:dyDescent="0.25">
      <c r="A3">
        <v>2</v>
      </c>
      <c r="B3" s="101">
        <v>45282</v>
      </c>
      <c r="C3" t="s">
        <v>296</v>
      </c>
      <c r="D3" t="s">
        <v>303</v>
      </c>
    </row>
    <row r="4" spans="1:4" x14ac:dyDescent="0.25">
      <c r="B4" s="101"/>
      <c r="D4" t="s">
        <v>306</v>
      </c>
    </row>
    <row r="5" spans="1:4" x14ac:dyDescent="0.25">
      <c r="B5" s="101"/>
      <c r="D5" t="s">
        <v>307</v>
      </c>
    </row>
    <row r="6" spans="1:4" x14ac:dyDescent="0.25">
      <c r="B6" s="101"/>
      <c r="D6" t="s">
        <v>304</v>
      </c>
    </row>
    <row r="7" spans="1:4" x14ac:dyDescent="0.25">
      <c r="B7" s="101"/>
      <c r="D7" t="s">
        <v>305</v>
      </c>
    </row>
    <row r="8" spans="1:4" x14ac:dyDescent="0.25">
      <c r="A8">
        <v>3</v>
      </c>
      <c r="B8" s="101">
        <v>44986</v>
      </c>
      <c r="C8" t="s">
        <v>296</v>
      </c>
      <c r="D8" t="s">
        <v>309</v>
      </c>
    </row>
    <row r="9" spans="1:4" x14ac:dyDescent="0.25">
      <c r="A9">
        <v>4</v>
      </c>
      <c r="B9" s="101">
        <v>45020</v>
      </c>
      <c r="C9" t="s">
        <v>296</v>
      </c>
      <c r="D9" t="s">
        <v>310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CMPA</vt:lpstr>
      <vt:lpstr>HDPE Liner</vt:lpstr>
      <vt:lpstr>CIPP Liner</vt:lpstr>
      <vt:lpstr>Paved Invert</vt:lpstr>
      <vt:lpstr>Steel Liner</vt:lpstr>
      <vt:lpstr>Version History</vt:lpstr>
      <vt:lpstr>Structure_Data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Schwinghamer, Alex</dc:creator>
  <cp:lastModifiedBy>Schwinghamer, Alex</cp:lastModifiedBy>
  <dcterms:created xsi:type="dcterms:W3CDTF">2021-02-08T18:15:33Z</dcterms:created>
  <dcterms:modified xsi:type="dcterms:W3CDTF">2023-04-04T11:52:51Z</dcterms:modified>
</cp:coreProperties>
</file>