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hartsheets/sheet2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S:\Finance\General Finance\External 2025-27 Budget Development\Budget Runs\House Budget\"/>
    </mc:Choice>
  </mc:AlternateContent>
  <xr:revisionPtr revIDLastSave="0" documentId="13_ncr:1_{F4C420F4-1843-4448-9E37-9182814BB2DE}" xr6:coauthVersionLast="47" xr6:coauthVersionMax="47" xr10:uidLastSave="{00000000-0000-0000-0000-000000000000}"/>
  <bookViews>
    <workbookView xWindow="-120" yWindow="-120" windowWidth="29040" windowHeight="15720" tabRatio="858" xr2:uid="{00000000-000D-0000-FFFF-FFFF00000000}"/>
  </bookViews>
  <sheets>
    <sheet name="RUN Overview" sheetId="19" r:id="rId1"/>
    <sheet name="OVERALL Summary" sheetId="17" r:id="rId2"/>
    <sheet name="OVERALL Summary Detail" sheetId="18" r:id="rId3"/>
    <sheet name="OPERATING Total Funding" sheetId="5" r:id="rId4"/>
    <sheet name="OPERATING IU SOMD" sheetId="21" r:id="rId5"/>
    <sheet name="OPERATING Funding Per FTE" sheetId="6" r:id="rId6"/>
    <sheet name="Performance Goals" sheetId="23" r:id="rId7"/>
    <sheet name="CAPITAL Project Requests" sheetId="7" r:id="rId8"/>
    <sheet name="CAPITAL Debt Service Chart" sheetId="11" r:id="rId9"/>
    <sheet name="CAPITAL Summary" sheetId="8" r:id="rId10"/>
    <sheet name="CAPITAL Debt Summary" sheetId="9" r:id="rId11"/>
    <sheet name="CAPITAL Outstanding Debt Chart" sheetId="10" r:id="rId12"/>
    <sheet name="R&amp;R Funding" sheetId="15" r:id="rId13"/>
    <sheet name="LINE ITEM Requests" sheetId="12" r:id="rId14"/>
    <sheet name="LINE ITEM Dual Credit" sheetId="13" r:id="rId15"/>
    <sheet name="LINE ITEM Summary" sheetId="14" r:id="rId16"/>
  </sheets>
  <definedNames>
    <definedName name="_xlnm.Print_Area" localSheetId="10">'CAPITAL Debt Summary'!$A$1:$AG$32</definedName>
    <definedName name="_xlnm.Print_Area" localSheetId="7">'CAPITAL Project Requests'!$B:$O</definedName>
    <definedName name="_xlnm.Print_Area" localSheetId="9">'CAPITAL Summary'!$A$1:$V$33</definedName>
    <definedName name="_xlnm.Print_Area" localSheetId="14">'LINE ITEM Dual Credit'!$A$1:$K$30</definedName>
    <definedName name="_xlnm.Print_Area" localSheetId="5">'OPERATING Funding Per FTE'!$A$1:$N$26</definedName>
    <definedName name="_xlnm.Print_Area" localSheetId="4">'OPERATING IU SOMD'!$A$1:$G$17</definedName>
    <definedName name="_xlnm.Print_Area" localSheetId="3">'OPERATING Total Funding'!$A$1:$T$34</definedName>
    <definedName name="_xlnm.Print_Area" localSheetId="1">'OVERALL Summary'!$A$1:$I$20</definedName>
    <definedName name="_xlnm.Print_Area" localSheetId="2">'OVERALL Summary Detail'!$A$1:$I$110</definedName>
    <definedName name="_xlnm.Print_Area" localSheetId="12">'R&amp;R Funding'!$A$1:$L$27</definedName>
    <definedName name="_xlnm.Print_Titles" localSheetId="10">'CAPITAL Debt Summary'!A:A</definedName>
    <definedName name="_xlnm.Print_Titles" localSheetId="7">'CAPITAL Project Requests'!1:8</definedName>
    <definedName name="_xlnm.Print_Titles" localSheetId="13">'LINE ITEM Requests'!1:8</definedName>
    <definedName name="_xlnm.Print_Titles" localSheetId="2">'OVERALL Summary Detail'!1:7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3" l="1"/>
  <c r="I24" i="13"/>
  <c r="I25" i="13"/>
  <c r="I26" i="13"/>
  <c r="I22" i="13"/>
  <c r="I18" i="13"/>
  <c r="I19" i="13"/>
  <c r="I17" i="13"/>
  <c r="I9" i="13"/>
  <c r="I10" i="13"/>
  <c r="I11" i="13"/>
  <c r="I12" i="13"/>
  <c r="I13" i="13"/>
  <c r="I14" i="13"/>
  <c r="I8" i="13"/>
  <c r="E23" i="13"/>
  <c r="E24" i="13"/>
  <c r="E25" i="13"/>
  <c r="E26" i="13"/>
  <c r="E22" i="13"/>
  <c r="E18" i="13"/>
  <c r="E19" i="13"/>
  <c r="E17" i="13"/>
  <c r="E9" i="13"/>
  <c r="E10" i="13"/>
  <c r="E11" i="13"/>
  <c r="E12" i="13"/>
  <c r="E13" i="13"/>
  <c r="E14" i="13"/>
  <c r="E8" i="13"/>
  <c r="I7" i="13"/>
  <c r="E7" i="13"/>
  <c r="E95" i="12"/>
  <c r="C95" i="12"/>
  <c r="C96" i="12" s="1"/>
  <c r="C94" i="12"/>
  <c r="O93" i="12"/>
  <c r="P93" i="12"/>
  <c r="M93" i="12"/>
  <c r="L93" i="12"/>
  <c r="I93" i="12"/>
  <c r="H93" i="12"/>
  <c r="F93" i="12"/>
  <c r="E93" i="12"/>
  <c r="D93" i="12"/>
  <c r="C93" i="12"/>
  <c r="P76" i="12"/>
  <c r="O76" i="12"/>
  <c r="M76" i="12"/>
  <c r="L76" i="12"/>
  <c r="I76" i="12"/>
  <c r="H76" i="12"/>
  <c r="F76" i="12"/>
  <c r="E76" i="12"/>
  <c r="D76" i="12"/>
  <c r="C76" i="12"/>
  <c r="C57" i="12"/>
  <c r="C53" i="12"/>
  <c r="C46" i="12"/>
  <c r="L40" i="12"/>
  <c r="C40" i="12"/>
  <c r="L34" i="12"/>
  <c r="C34" i="12"/>
  <c r="C16" i="12"/>
  <c r="C28" i="12"/>
  <c r="C11" i="21"/>
  <c r="S32" i="5"/>
  <c r="J32" i="5"/>
  <c r="S25" i="5"/>
  <c r="J25" i="5"/>
  <c r="S28" i="5"/>
  <c r="S29" i="5"/>
  <c r="S30" i="5"/>
  <c r="S31" i="5"/>
  <c r="S27" i="5"/>
  <c r="S21" i="5"/>
  <c r="S22" i="5"/>
  <c r="S23" i="5"/>
  <c r="S24" i="5"/>
  <c r="S20" i="5"/>
  <c r="S18" i="5"/>
  <c r="J18" i="5"/>
  <c r="S10" i="5"/>
  <c r="S11" i="5"/>
  <c r="S12" i="5"/>
  <c r="S13" i="5"/>
  <c r="S14" i="5"/>
  <c r="S15" i="5"/>
  <c r="S16" i="5"/>
  <c r="S17" i="5"/>
  <c r="S9" i="5"/>
  <c r="J31" i="5"/>
  <c r="J30" i="5"/>
  <c r="J27" i="5"/>
  <c r="J29" i="5"/>
  <c r="J28" i="5"/>
  <c r="J24" i="5"/>
  <c r="J21" i="5"/>
  <c r="J20" i="5"/>
  <c r="J17" i="5"/>
  <c r="J16" i="5"/>
  <c r="J10" i="5"/>
  <c r="J11" i="5"/>
  <c r="J12" i="5"/>
  <c r="J13" i="5"/>
  <c r="J14" i="5"/>
  <c r="J15" i="5"/>
  <c r="J9" i="5"/>
  <c r="E20" i="5" l="1"/>
  <c r="I90" i="12" l="1"/>
  <c r="P90" i="12" s="1"/>
  <c r="P81" i="12"/>
  <c r="I81" i="12"/>
  <c r="P64" i="12"/>
  <c r="I64" i="12"/>
  <c r="E86" i="12"/>
  <c r="E89" i="12"/>
  <c r="L89" i="12" s="1"/>
  <c r="F74" i="12"/>
  <c r="L88" i="12"/>
  <c r="F88" i="12"/>
  <c r="M88" i="12" s="1"/>
  <c r="N88" i="12" s="1"/>
  <c r="G85" i="12"/>
  <c r="M85" i="12"/>
  <c r="N85" i="12" s="1"/>
  <c r="E85" i="12"/>
  <c r="L85" i="12" s="1"/>
  <c r="F59" i="12"/>
  <c r="F84" i="12"/>
  <c r="M84" i="12" s="1"/>
  <c r="F56" i="12"/>
  <c r="F52" i="12"/>
  <c r="F45" i="12"/>
  <c r="F46" i="12" s="1"/>
  <c r="F39" i="12"/>
  <c r="F33" i="12"/>
  <c r="F50" i="12"/>
  <c r="M50" i="12" s="1"/>
  <c r="F48" i="12"/>
  <c r="M48" i="12" s="1"/>
  <c r="F43" i="12"/>
  <c r="F37" i="12"/>
  <c r="F38" i="12"/>
  <c r="M38" i="12" s="1"/>
  <c r="F36" i="12"/>
  <c r="M36" i="12" s="1"/>
  <c r="F31" i="12"/>
  <c r="M31" i="12" s="1"/>
  <c r="F14" i="12"/>
  <c r="M14" i="12" s="1"/>
  <c r="F9" i="12"/>
  <c r="M9" i="12" s="1"/>
  <c r="M52" i="12" l="1"/>
  <c r="M53" i="12" s="1"/>
  <c r="F53" i="12"/>
  <c r="M39" i="12"/>
  <c r="M40" i="12" s="1"/>
  <c r="F40" i="12"/>
  <c r="M56" i="12"/>
  <c r="M57" i="12" s="1"/>
  <c r="F57" i="12"/>
  <c r="M33" i="12"/>
  <c r="M34" i="12" s="1"/>
  <c r="F34" i="12"/>
  <c r="M59" i="12"/>
  <c r="F89" i="12"/>
  <c r="G88" i="12"/>
  <c r="L9" i="13"/>
  <c r="L10" i="13"/>
  <c r="L11" i="13"/>
  <c r="L13" i="13"/>
  <c r="L14" i="13"/>
  <c r="L17" i="13"/>
  <c r="L18" i="13"/>
  <c r="L19" i="13"/>
  <c r="L22" i="13"/>
  <c r="L23" i="13"/>
  <c r="L24" i="13"/>
  <c r="L25" i="13"/>
  <c r="L26" i="13"/>
  <c r="L8" i="13"/>
  <c r="I4" i="7"/>
  <c r="N10" i="7"/>
  <c r="G57" i="19"/>
  <c r="G58" i="19"/>
  <c r="J58" i="19"/>
  <c r="J57" i="19"/>
  <c r="F49" i="19"/>
  <c r="F50" i="19"/>
  <c r="C19" i="6"/>
  <c r="C14" i="6"/>
  <c r="G72" i="12"/>
  <c r="G70" i="12"/>
  <c r="B19" i="6"/>
  <c r="B14" i="6"/>
  <c r="B26" i="6" s="1"/>
  <c r="C11" i="6"/>
  <c r="E74" i="12"/>
  <c r="K16" i="13"/>
  <c r="K21" i="13"/>
  <c r="C96" i="18"/>
  <c r="L74" i="12" l="1"/>
  <c r="M89" i="12"/>
  <c r="N89" i="12" s="1"/>
  <c r="G89" i="12"/>
  <c r="C26" i="6"/>
  <c r="B9" i="18"/>
  <c r="L84" i="12"/>
  <c r="E84" i="12"/>
  <c r="G91" i="12"/>
  <c r="G92" i="12"/>
  <c r="E87" i="12"/>
  <c r="F86" i="12"/>
  <c r="B7" i="12"/>
  <c r="L50" i="12"/>
  <c r="L48" i="12"/>
  <c r="E50" i="12"/>
  <c r="E48" i="12"/>
  <c r="L43" i="12"/>
  <c r="E43" i="12"/>
  <c r="L38" i="12"/>
  <c r="E38" i="12"/>
  <c r="L36" i="12"/>
  <c r="E36" i="12"/>
  <c r="F30" i="12"/>
  <c r="M30" i="12"/>
  <c r="E14" i="12"/>
  <c r="E9" i="12"/>
  <c r="U29" i="8"/>
  <c r="U30" i="8"/>
  <c r="U31" i="8"/>
  <c r="U32" i="8"/>
  <c r="U28" i="8"/>
  <c r="U21" i="8"/>
  <c r="U22" i="8"/>
  <c r="U23" i="8"/>
  <c r="U24" i="8"/>
  <c r="U25" i="8"/>
  <c r="U20" i="8"/>
  <c r="U9" i="8"/>
  <c r="U10" i="8"/>
  <c r="U11" i="8"/>
  <c r="U12" i="8"/>
  <c r="U13" i="8"/>
  <c r="U14" i="8"/>
  <c r="U15" i="8"/>
  <c r="U16" i="8"/>
  <c r="U17" i="8"/>
  <c r="U8" i="8"/>
  <c r="S17" i="8"/>
  <c r="Q28" i="8"/>
  <c r="R28" i="8" s="1"/>
  <c r="Q21" i="8"/>
  <c r="R21" i="8" s="1"/>
  <c r="Q22" i="8"/>
  <c r="R22" i="8" s="1"/>
  <c r="Q23" i="8"/>
  <c r="R23" i="8" s="1"/>
  <c r="Q24" i="8"/>
  <c r="R24" i="8" s="1"/>
  <c r="Q25" i="8"/>
  <c r="R25" i="8" s="1"/>
  <c r="Q9" i="8"/>
  <c r="R9" i="8" s="1"/>
  <c r="Q10" i="8"/>
  <c r="R10" i="8" s="1"/>
  <c r="Q11" i="8"/>
  <c r="R11" i="8" s="1"/>
  <c r="Q12" i="8"/>
  <c r="R12" i="8" s="1"/>
  <c r="Q13" i="8"/>
  <c r="R13" i="8" s="1"/>
  <c r="Q14" i="8"/>
  <c r="R14" i="8" s="1"/>
  <c r="Q15" i="8"/>
  <c r="R15" i="8" s="1"/>
  <c r="Q16" i="8"/>
  <c r="R16" i="8" s="1"/>
  <c r="Q17" i="8"/>
  <c r="R17" i="8" s="1"/>
  <c r="M12" i="8"/>
  <c r="L29" i="8"/>
  <c r="L30" i="8"/>
  <c r="L31" i="8"/>
  <c r="L32" i="8"/>
  <c r="L28" i="8"/>
  <c r="L21" i="8"/>
  <c r="L22" i="8"/>
  <c r="L23" i="8"/>
  <c r="L24" i="8"/>
  <c r="L25" i="8"/>
  <c r="L20" i="8"/>
  <c r="L9" i="8"/>
  <c r="L10" i="8"/>
  <c r="L11" i="8"/>
  <c r="L12" i="8"/>
  <c r="L13" i="8"/>
  <c r="L14" i="8"/>
  <c r="L15" i="8"/>
  <c r="L16" i="8"/>
  <c r="L17" i="8"/>
  <c r="L8" i="8"/>
  <c r="H21" i="8"/>
  <c r="H22" i="8"/>
  <c r="H23" i="8"/>
  <c r="H24" i="8"/>
  <c r="H25" i="8"/>
  <c r="I25" i="8" s="1"/>
  <c r="H9" i="8"/>
  <c r="H10" i="8"/>
  <c r="H11" i="8"/>
  <c r="H12" i="8"/>
  <c r="H13" i="8"/>
  <c r="H14" i="8"/>
  <c r="H15" i="8"/>
  <c r="H16" i="8"/>
  <c r="H17" i="8"/>
  <c r="I17" i="8" s="1"/>
  <c r="T25" i="8"/>
  <c r="K25" i="8"/>
  <c r="M74" i="12" l="1"/>
  <c r="L26" i="8"/>
  <c r="M26" i="8" s="1"/>
  <c r="L18" i="8"/>
  <c r="L33" i="8" s="1"/>
  <c r="M33" i="8" s="1"/>
  <c r="P26" i="8"/>
  <c r="I24" i="8"/>
  <c r="G26" i="8"/>
  <c r="G18" i="8"/>
  <c r="G33" i="8" s="1"/>
  <c r="P18" i="8"/>
  <c r="E18" i="8"/>
  <c r="D25" i="8"/>
  <c r="C26" i="8"/>
  <c r="D17" i="8"/>
  <c r="C18" i="8"/>
  <c r="M18" i="8" l="1"/>
  <c r="P33" i="8"/>
  <c r="K24" i="8"/>
  <c r="AD15" i="9"/>
  <c r="C33" i="8"/>
  <c r="B20" i="8"/>
  <c r="D20" i="8" s="1"/>
  <c r="B23" i="8" l="1"/>
  <c r="D23" i="8" s="1"/>
  <c r="B8" i="8"/>
  <c r="D8" i="8" s="1"/>
  <c r="M47" i="7" l="1"/>
  <c r="O47" i="7"/>
  <c r="K47" i="7"/>
  <c r="M39" i="7"/>
  <c r="O39" i="7"/>
  <c r="K39" i="7"/>
  <c r="M32" i="7"/>
  <c r="O32" i="7"/>
  <c r="K32" i="7"/>
  <c r="M28" i="7"/>
  <c r="O28" i="7"/>
  <c r="K28" i="7"/>
  <c r="M20" i="7"/>
  <c r="O20" i="7"/>
  <c r="K20" i="7"/>
  <c r="M16" i="7"/>
  <c r="O16" i="7"/>
  <c r="K16" i="7"/>
  <c r="M12" i="7"/>
  <c r="O12" i="7"/>
  <c r="K12" i="7"/>
  <c r="L43" i="7"/>
  <c r="L42" i="7"/>
  <c r="L41" i="7"/>
  <c r="H32" i="8" s="1"/>
  <c r="L35" i="7"/>
  <c r="L34" i="7"/>
  <c r="L31" i="7"/>
  <c r="L30" i="7"/>
  <c r="L27" i="7"/>
  <c r="L26" i="7"/>
  <c r="L25" i="7"/>
  <c r="L24" i="7"/>
  <c r="L23" i="7"/>
  <c r="L22" i="7"/>
  <c r="H8" i="8" s="1"/>
  <c r="L19" i="7"/>
  <c r="L18" i="7"/>
  <c r="L15" i="7"/>
  <c r="L14" i="7"/>
  <c r="H30" i="8" s="1"/>
  <c r="L11" i="7"/>
  <c r="L10" i="7"/>
  <c r="L12" i="7" s="1"/>
  <c r="L47" i="7" l="1"/>
  <c r="L39" i="7"/>
  <c r="H20" i="8"/>
  <c r="H26" i="8" s="1"/>
  <c r="L32" i="7"/>
  <c r="H31" i="8"/>
  <c r="L28" i="7"/>
  <c r="L20" i="7"/>
  <c r="H29" i="8"/>
  <c r="L16" i="7"/>
  <c r="H28" i="8"/>
  <c r="F134" i="23"/>
  <c r="F133" i="23"/>
  <c r="F132" i="23"/>
  <c r="F131" i="23"/>
  <c r="E130" i="23"/>
  <c r="F130" i="23" s="1"/>
  <c r="E129" i="23"/>
  <c r="F129" i="23" s="1"/>
  <c r="F127" i="23"/>
  <c r="F126" i="23"/>
  <c r="F125" i="23"/>
  <c r="F124" i="23"/>
  <c r="F123" i="23"/>
  <c r="F122" i="23"/>
  <c r="E121" i="23"/>
  <c r="F121" i="23" s="1"/>
  <c r="E120" i="23"/>
  <c r="F120" i="23" s="1"/>
  <c r="E118" i="23"/>
  <c r="F118" i="23" s="1"/>
  <c r="F117" i="23"/>
  <c r="F116" i="23"/>
  <c r="F115" i="23"/>
  <c r="F114" i="23"/>
  <c r="F113" i="23"/>
  <c r="E112" i="23"/>
  <c r="F112" i="23" s="1"/>
  <c r="E111" i="23"/>
  <c r="F111" i="23" s="1"/>
  <c r="F109" i="23"/>
  <c r="F108" i="23"/>
  <c r="F107" i="23"/>
  <c r="F106" i="23"/>
  <c r="F105" i="23"/>
  <c r="F104" i="23"/>
  <c r="E103" i="23"/>
  <c r="F103" i="23" s="1"/>
  <c r="F101" i="23"/>
  <c r="F100" i="23"/>
  <c r="F99" i="23"/>
  <c r="F98" i="23"/>
  <c r="F97" i="23"/>
  <c r="E96" i="23"/>
  <c r="F96" i="23" s="1"/>
  <c r="E95" i="23"/>
  <c r="F95" i="23" s="1"/>
  <c r="F94" i="23"/>
  <c r="F92" i="23"/>
  <c r="F91" i="23"/>
  <c r="F90" i="23"/>
  <c r="F89" i="23"/>
  <c r="F88" i="23"/>
  <c r="F87" i="23"/>
  <c r="E86" i="23"/>
  <c r="F86" i="23" s="1"/>
  <c r="F85" i="23"/>
  <c r="F83" i="23"/>
  <c r="F82" i="23"/>
  <c r="F81" i="23"/>
  <c r="F80" i="23"/>
  <c r="F79" i="23"/>
  <c r="E78" i="23"/>
  <c r="F78" i="23" s="1"/>
  <c r="E77" i="23"/>
  <c r="F77" i="23" s="1"/>
  <c r="F76" i="23"/>
  <c r="F74" i="23"/>
  <c r="F73" i="23"/>
  <c r="F72" i="23"/>
  <c r="F71" i="23"/>
  <c r="F70" i="23"/>
  <c r="E69" i="23"/>
  <c r="F69" i="23" s="1"/>
  <c r="E68" i="23"/>
  <c r="F68" i="23" s="1"/>
  <c r="F67" i="23"/>
  <c r="F65" i="23"/>
  <c r="F64" i="23"/>
  <c r="F63" i="23"/>
  <c r="F62" i="23"/>
  <c r="F61" i="23"/>
  <c r="E60" i="23"/>
  <c r="F60" i="23" s="1"/>
  <c r="E59" i="23"/>
  <c r="F59" i="23" s="1"/>
  <c r="F58" i="23"/>
  <c r="E56" i="23"/>
  <c r="F56" i="23" s="1"/>
  <c r="F55" i="23"/>
  <c r="F54" i="23"/>
  <c r="F53" i="23"/>
  <c r="F52" i="23"/>
  <c r="F51" i="23"/>
  <c r="E50" i="23"/>
  <c r="F50" i="23" s="1"/>
  <c r="E49" i="23"/>
  <c r="F49" i="23" s="1"/>
  <c r="F47" i="23"/>
  <c r="F46" i="23"/>
  <c r="F45" i="23"/>
  <c r="F44" i="23"/>
  <c r="F43" i="23"/>
  <c r="E42" i="23"/>
  <c r="F42" i="23" s="1"/>
  <c r="E41" i="23"/>
  <c r="F41" i="23" s="1"/>
  <c r="F40" i="23"/>
  <c r="F38" i="23"/>
  <c r="F37" i="23"/>
  <c r="F36" i="23"/>
  <c r="F35" i="23"/>
  <c r="F34" i="23"/>
  <c r="E33" i="23"/>
  <c r="F33" i="23" s="1"/>
  <c r="E32" i="23"/>
  <c r="F32" i="23" s="1"/>
  <c r="E31" i="23"/>
  <c r="F31" i="23" s="1"/>
  <c r="F29" i="23"/>
  <c r="F28" i="23"/>
  <c r="F27" i="23"/>
  <c r="F26" i="23"/>
  <c r="F25" i="23"/>
  <c r="E24" i="23"/>
  <c r="F24" i="23" s="1"/>
  <c r="E23" i="23"/>
  <c r="F23" i="23" s="1"/>
  <c r="E21" i="23"/>
  <c r="F21" i="23" s="1"/>
  <c r="F20" i="23"/>
  <c r="F19" i="23"/>
  <c r="F18" i="23"/>
  <c r="F17" i="23"/>
  <c r="F16" i="23"/>
  <c r="E15" i="23"/>
  <c r="F15" i="23" s="1"/>
  <c r="F14" i="23"/>
  <c r="E12" i="23"/>
  <c r="F12" i="23" s="1"/>
  <c r="F11" i="23"/>
  <c r="F10" i="23"/>
  <c r="F9" i="23"/>
  <c r="F8" i="23"/>
  <c r="E7" i="23"/>
  <c r="F7" i="23" s="1"/>
  <c r="E6" i="23"/>
  <c r="F6" i="23" s="1"/>
  <c r="F5" i="23"/>
  <c r="I8" i="8" l="1"/>
  <c r="C9" i="18" s="1"/>
  <c r="D9" i="18" s="1"/>
  <c r="H18" i="8"/>
  <c r="H33" i="8" s="1"/>
  <c r="E26" i="6"/>
  <c r="E25" i="6"/>
  <c r="E24" i="6"/>
  <c r="E23" i="6"/>
  <c r="E22" i="6"/>
  <c r="E21" i="6"/>
  <c r="E19" i="6"/>
  <c r="E18" i="6"/>
  <c r="E17" i="6"/>
  <c r="E16" i="6"/>
  <c r="E8" i="6"/>
  <c r="E9" i="6"/>
  <c r="E10" i="6"/>
  <c r="E11" i="6"/>
  <c r="E12" i="6"/>
  <c r="E13" i="6"/>
  <c r="E14" i="6"/>
  <c r="E7" i="6"/>
  <c r="H28" i="7" l="1"/>
  <c r="H20" i="7"/>
  <c r="G20" i="7"/>
  <c r="G16" i="7"/>
  <c r="H16" i="7"/>
  <c r="F30" i="5" l="1"/>
  <c r="F20" i="5"/>
  <c r="H8" i="5"/>
  <c r="Q22" i="5"/>
  <c r="Q16" i="5"/>
  <c r="Q17" i="5"/>
  <c r="H22" i="5"/>
  <c r="H16" i="5"/>
  <c r="H17" i="5"/>
  <c r="B48" i="18"/>
  <c r="F23" i="12"/>
  <c r="F22" i="12"/>
  <c r="F20" i="12"/>
  <c r="F19" i="12"/>
  <c r="F21" i="12"/>
  <c r="M18" i="12"/>
  <c r="F18" i="12"/>
  <c r="M24" i="12"/>
  <c r="F24" i="12"/>
  <c r="H20" i="5" l="1"/>
  <c r="H30" i="5"/>
  <c r="M55" i="12"/>
  <c r="F55" i="12"/>
  <c r="F31" i="5"/>
  <c r="M49" i="12"/>
  <c r="L49" i="12"/>
  <c r="F49" i="12"/>
  <c r="E49" i="12"/>
  <c r="G43" i="12" l="1"/>
  <c r="M43" i="12"/>
  <c r="N43" i="12" s="1"/>
  <c r="M42" i="12"/>
  <c r="F42" i="12"/>
  <c r="F28" i="5" l="1"/>
  <c r="L37" i="12"/>
  <c r="E37" i="12"/>
  <c r="M37" i="12" s="1"/>
  <c r="H28" i="5" l="1"/>
  <c r="F27" i="5"/>
  <c r="M32" i="12"/>
  <c r="H27" i="5" l="1"/>
  <c r="G52" i="12"/>
  <c r="M45" i="12"/>
  <c r="M46" i="12" s="1"/>
  <c r="F13" i="12" l="1"/>
  <c r="F11" i="12"/>
  <c r="F10" i="12"/>
  <c r="E13" i="12" l="1"/>
  <c r="L13" i="12" s="1"/>
  <c r="E11" i="12"/>
  <c r="L11" i="12" s="1"/>
  <c r="L14" i="12"/>
  <c r="L9" i="12"/>
  <c r="E10" i="12"/>
  <c r="L10" i="12" s="1"/>
  <c r="I28" i="7"/>
  <c r="D12" i="9" s="1"/>
  <c r="I20" i="7"/>
  <c r="P12" i="9" s="1"/>
  <c r="B12" i="9"/>
  <c r="I16" i="7"/>
  <c r="T12" i="9" s="1"/>
  <c r="N41" i="7"/>
  <c r="N34" i="7"/>
  <c r="N30" i="7"/>
  <c r="N22" i="7"/>
  <c r="N18" i="7"/>
  <c r="N14" i="7"/>
  <c r="N47" i="7" l="1"/>
  <c r="Q32" i="8"/>
  <c r="R32" i="8" s="1"/>
  <c r="N39" i="7"/>
  <c r="Q20" i="8"/>
  <c r="R20" i="8" s="1"/>
  <c r="N32" i="7"/>
  <c r="Q31" i="8"/>
  <c r="R31" i="8" s="1"/>
  <c r="G96" i="18" s="1"/>
  <c r="N28" i="7"/>
  <c r="Q8" i="8"/>
  <c r="R8" i="8" s="1"/>
  <c r="T8" i="8" s="1"/>
  <c r="N20" i="7"/>
  <c r="Q29" i="8"/>
  <c r="R29" i="8" s="1"/>
  <c r="N16" i="7"/>
  <c r="Q30" i="8"/>
  <c r="N12" i="7"/>
  <c r="E18" i="5" l="1"/>
  <c r="E25" i="5"/>
  <c r="G23" i="5"/>
  <c r="F29" i="5"/>
  <c r="K30" i="5"/>
  <c r="K27" i="5"/>
  <c r="F21" i="5"/>
  <c r="F22" i="5"/>
  <c r="F23" i="5"/>
  <c r="F24" i="5"/>
  <c r="F10" i="5"/>
  <c r="F11" i="5"/>
  <c r="F12" i="5"/>
  <c r="F13" i="5"/>
  <c r="F14" i="5"/>
  <c r="F15" i="5"/>
  <c r="F16" i="5"/>
  <c r="F17" i="5"/>
  <c r="F9" i="5"/>
  <c r="G9" i="5"/>
  <c r="G10" i="5"/>
  <c r="G11" i="5"/>
  <c r="G12" i="5"/>
  <c r="G13" i="5"/>
  <c r="G14" i="5"/>
  <c r="G15" i="5"/>
  <c r="K12" i="19"/>
  <c r="J59" i="19" s="1"/>
  <c r="H12" i="19"/>
  <c r="G59" i="19" s="1"/>
  <c r="E32" i="5" l="1"/>
  <c r="H9" i="5"/>
  <c r="K9" i="5" s="1"/>
  <c r="H14" i="5"/>
  <c r="K14" i="5" s="1"/>
  <c r="H13" i="5"/>
  <c r="K13" i="5" s="1"/>
  <c r="H29" i="5"/>
  <c r="K29" i="5" s="1"/>
  <c r="H15" i="5"/>
  <c r="K15" i="5" s="1"/>
  <c r="H12" i="5"/>
  <c r="K12" i="5" s="1"/>
  <c r="H11" i="5"/>
  <c r="K11" i="5" s="1"/>
  <c r="H10" i="5"/>
  <c r="K10" i="5" s="1"/>
  <c r="H24" i="5"/>
  <c r="K24" i="5" s="1"/>
  <c r="H23" i="5"/>
  <c r="K23" i="5" s="1"/>
  <c r="H21" i="5"/>
  <c r="K21" i="5" s="1"/>
  <c r="K28" i="5"/>
  <c r="K20" i="5"/>
  <c r="H31" i="5" l="1"/>
  <c r="F7" i="15"/>
  <c r="E7" i="15"/>
  <c r="K31" i="5" l="1"/>
  <c r="G42" i="7"/>
  <c r="G28" i="7"/>
  <c r="I32" i="7" l="1"/>
  <c r="X12" i="9" s="1"/>
  <c r="H32" i="7"/>
  <c r="G32" i="7"/>
  <c r="D8" i="13" l="1"/>
  <c r="M9" i="8"/>
  <c r="M10" i="8"/>
  <c r="M11" i="8"/>
  <c r="M13" i="8"/>
  <c r="M14" i="8"/>
  <c r="M15" i="8"/>
  <c r="M16" i="8"/>
  <c r="M21" i="8"/>
  <c r="M22" i="8"/>
  <c r="V9" i="8"/>
  <c r="V10" i="8"/>
  <c r="V11" i="8"/>
  <c r="V13" i="8"/>
  <c r="V14" i="8"/>
  <c r="V15" i="8"/>
  <c r="V16" i="8"/>
  <c r="V21" i="8"/>
  <c r="V22" i="8"/>
  <c r="D9" i="13" l="1"/>
  <c r="D10" i="13"/>
  <c r="D11" i="13"/>
  <c r="D12" i="13"/>
  <c r="D13" i="13"/>
  <c r="D14" i="13"/>
  <c r="D17" i="13"/>
  <c r="D18" i="13"/>
  <c r="D19" i="13"/>
  <c r="D22" i="13"/>
  <c r="E33" i="12" s="1"/>
  <c r="E34" i="12" s="1"/>
  <c r="D23" i="13"/>
  <c r="E39" i="12" s="1"/>
  <c r="E40" i="12" s="1"/>
  <c r="D24" i="13"/>
  <c r="E45" i="12" s="1"/>
  <c r="D25" i="13"/>
  <c r="E56" i="12" s="1"/>
  <c r="D26" i="13"/>
  <c r="E52" i="12" s="1"/>
  <c r="H8" i="13"/>
  <c r="H9" i="13"/>
  <c r="H10" i="13"/>
  <c r="H11" i="13"/>
  <c r="H12" i="13"/>
  <c r="H13" i="13"/>
  <c r="H14" i="13"/>
  <c r="H17" i="13"/>
  <c r="H18" i="13"/>
  <c r="H19" i="13"/>
  <c r="H22" i="13"/>
  <c r="H23" i="13"/>
  <c r="H24" i="13"/>
  <c r="H25" i="13"/>
  <c r="H26" i="13"/>
  <c r="L52" i="12" l="1"/>
  <c r="L53" i="12" s="1"/>
  <c r="E53" i="12"/>
  <c r="L56" i="12"/>
  <c r="L57" i="12" s="1"/>
  <c r="E57" i="12"/>
  <c r="L45" i="12"/>
  <c r="L46" i="12" s="1"/>
  <c r="E46" i="12"/>
  <c r="D20" i="13"/>
  <c r="E15" i="12" s="1"/>
  <c r="E16" i="12" s="1"/>
  <c r="D15" i="13"/>
  <c r="H15" i="13"/>
  <c r="H20" i="13"/>
  <c r="F82" i="12"/>
  <c r="M79" i="12"/>
  <c r="F79" i="12"/>
  <c r="F95" i="12" s="1"/>
  <c r="E23" i="8"/>
  <c r="E24" i="8"/>
  <c r="D27" i="13" l="1"/>
  <c r="D28" i="13" s="1"/>
  <c r="E25" i="12"/>
  <c r="H27" i="13"/>
  <c r="L25" i="12" l="1"/>
  <c r="L28" i="12" s="1"/>
  <c r="E28" i="12"/>
  <c r="E29" i="8"/>
  <c r="I39" i="7" l="1"/>
  <c r="H12" i="9" s="1"/>
  <c r="E32" i="8"/>
  <c r="I12" i="7"/>
  <c r="L12" i="9" l="1"/>
  <c r="E20" i="8"/>
  <c r="E26" i="8" s="1"/>
  <c r="E33" i="8" s="1"/>
  <c r="U8" i="5" l="1"/>
  <c r="U13" i="5" l="1"/>
  <c r="U12" i="5"/>
  <c r="U11" i="5"/>
  <c r="U10" i="5"/>
  <c r="U9" i="5"/>
  <c r="E63" i="18" l="1"/>
  <c r="B62" i="18"/>
  <c r="B61" i="18" l="1"/>
  <c r="G66" i="12" l="1"/>
  <c r="C7" i="9" l="1"/>
  <c r="G73" i="12"/>
  <c r="N73" i="12"/>
  <c r="B103" i="18"/>
  <c r="B97" i="18"/>
  <c r="B91" i="18"/>
  <c r="B85" i="18"/>
  <c r="B79" i="18"/>
  <c r="B67" i="18"/>
  <c r="B57" i="18"/>
  <c r="B53" i="18"/>
  <c r="B34" i="18"/>
  <c r="B30" i="18"/>
  <c r="B26" i="18"/>
  <c r="B22" i="18"/>
  <c r="B18" i="18"/>
  <c r="B14" i="18"/>
  <c r="B10" i="18"/>
  <c r="B102" i="18"/>
  <c r="B96" i="18"/>
  <c r="B90" i="18"/>
  <c r="B84" i="18"/>
  <c r="B78" i="18"/>
  <c r="B66" i="18"/>
  <c r="B60" i="18"/>
  <c r="B56" i="18"/>
  <c r="B52" i="18"/>
  <c r="B41" i="18"/>
  <c r="B37" i="18"/>
  <c r="B33" i="18"/>
  <c r="B29" i="18"/>
  <c r="B25" i="18"/>
  <c r="B21" i="18"/>
  <c r="B17" i="18"/>
  <c r="B13" i="18"/>
  <c r="B101" i="18"/>
  <c r="B95" i="18"/>
  <c r="B89" i="18"/>
  <c r="B83" i="18"/>
  <c r="B77" i="18"/>
  <c r="B65" i="18"/>
  <c r="B59" i="18"/>
  <c r="B55" i="18"/>
  <c r="B51" i="18"/>
  <c r="B40" i="18"/>
  <c r="B32" i="18"/>
  <c r="B28" i="18"/>
  <c r="B24" i="18"/>
  <c r="B20" i="18"/>
  <c r="B16" i="18"/>
  <c r="B12" i="18"/>
  <c r="B8" i="18"/>
  <c r="B68" i="18"/>
  <c r="B42" i="18"/>
  <c r="K18" i="14"/>
  <c r="I17" i="14"/>
  <c r="G107" i="18" s="1"/>
  <c r="F18" i="14"/>
  <c r="C18" i="14"/>
  <c r="D17" i="14"/>
  <c r="B17" i="14"/>
  <c r="B107" i="18" s="1"/>
  <c r="B20" i="14"/>
  <c r="B109" i="18" s="1"/>
  <c r="Q81" i="12"/>
  <c r="J81" i="12"/>
  <c r="B7" i="18" l="1"/>
  <c r="B73" i="18"/>
  <c r="B47" i="18"/>
  <c r="B46" i="18"/>
  <c r="C20" i="9"/>
  <c r="C28" i="9"/>
  <c r="C36" i="9"/>
  <c r="E36" i="9" s="1"/>
  <c r="G24" i="9"/>
  <c r="G32" i="9"/>
  <c r="K20" i="9"/>
  <c r="K28" i="9"/>
  <c r="K36" i="9"/>
  <c r="M36" i="9" s="1"/>
  <c r="O24" i="9"/>
  <c r="O32" i="9"/>
  <c r="S20" i="9"/>
  <c r="S28" i="9"/>
  <c r="S36" i="9"/>
  <c r="U36" i="9" s="1"/>
  <c r="W24" i="9"/>
  <c r="W32" i="9"/>
  <c r="G20" i="9"/>
  <c r="K32" i="9"/>
  <c r="S32" i="9"/>
  <c r="C33" i="9"/>
  <c r="K25" i="9"/>
  <c r="O17" i="9"/>
  <c r="W29" i="9"/>
  <c r="S19" i="9"/>
  <c r="C21" i="9"/>
  <c r="C29" i="9"/>
  <c r="C17" i="9"/>
  <c r="G25" i="9"/>
  <c r="G33" i="9"/>
  <c r="K21" i="9"/>
  <c r="K29" i="9"/>
  <c r="K17" i="9"/>
  <c r="O25" i="9"/>
  <c r="O33" i="9"/>
  <c r="S21" i="9"/>
  <c r="S29" i="9"/>
  <c r="S17" i="9"/>
  <c r="W25" i="9"/>
  <c r="W33" i="9"/>
  <c r="C32" i="9"/>
  <c r="K24" i="9"/>
  <c r="O20" i="9"/>
  <c r="S24" i="9"/>
  <c r="W28" i="9"/>
  <c r="C25" i="9"/>
  <c r="G21" i="9"/>
  <c r="K33" i="9"/>
  <c r="O29" i="9"/>
  <c r="W21" i="9"/>
  <c r="O31" i="9"/>
  <c r="W31" i="9"/>
  <c r="C22" i="9"/>
  <c r="C30" i="9"/>
  <c r="G18" i="9"/>
  <c r="G26" i="9"/>
  <c r="G34" i="9"/>
  <c r="K22" i="9"/>
  <c r="K30" i="9"/>
  <c r="O18" i="9"/>
  <c r="O26" i="9"/>
  <c r="O34" i="9"/>
  <c r="S22" i="9"/>
  <c r="S30" i="9"/>
  <c r="W18" i="9"/>
  <c r="W26" i="9"/>
  <c r="W34" i="9"/>
  <c r="C24" i="9"/>
  <c r="G36" i="9"/>
  <c r="I36" i="9" s="1"/>
  <c r="O28" i="9"/>
  <c r="W20" i="9"/>
  <c r="G29" i="9"/>
  <c r="O21" i="9"/>
  <c r="S33" i="9"/>
  <c r="W17" i="9"/>
  <c r="W23" i="9"/>
  <c r="C23" i="9"/>
  <c r="C31" i="9"/>
  <c r="G19" i="9"/>
  <c r="G27" i="9"/>
  <c r="G35" i="9"/>
  <c r="I35" i="9" s="1"/>
  <c r="K23" i="9"/>
  <c r="K31" i="9"/>
  <c r="O19" i="9"/>
  <c r="O27" i="9"/>
  <c r="O35" i="9"/>
  <c r="S23" i="9"/>
  <c r="S31" i="9"/>
  <c r="W19" i="9"/>
  <c r="W27" i="9"/>
  <c r="W35" i="9"/>
  <c r="G28" i="9"/>
  <c r="O36" i="9"/>
  <c r="Q36" i="9" s="1"/>
  <c r="W36" i="9"/>
  <c r="Y36" i="9" s="1"/>
  <c r="G17" i="9"/>
  <c r="S25" i="9"/>
  <c r="S27" i="9"/>
  <c r="C18" i="9"/>
  <c r="C26" i="9"/>
  <c r="C34" i="9"/>
  <c r="G22" i="9"/>
  <c r="G30" i="9"/>
  <c r="K18" i="9"/>
  <c r="K26" i="9"/>
  <c r="K34" i="9"/>
  <c r="O22" i="9"/>
  <c r="Q22" i="9" s="1"/>
  <c r="O30" i="9"/>
  <c r="S18" i="9"/>
  <c r="S26" i="9"/>
  <c r="S34" i="9"/>
  <c r="U34" i="9" s="1"/>
  <c r="W22" i="9"/>
  <c r="W30" i="9"/>
  <c r="C19" i="9"/>
  <c r="C27" i="9"/>
  <c r="C35" i="9"/>
  <c r="E35" i="9" s="1"/>
  <c r="G23" i="9"/>
  <c r="G31" i="9"/>
  <c r="I31" i="9" s="1"/>
  <c r="K19" i="9"/>
  <c r="K27" i="9"/>
  <c r="K35" i="9"/>
  <c r="O23" i="9"/>
  <c r="S35" i="9"/>
  <c r="B71" i="18"/>
  <c r="E17" i="14"/>
  <c r="C107" i="18"/>
  <c r="B64" i="18"/>
  <c r="B58" i="18"/>
  <c r="B54" i="18"/>
  <c r="B50" i="18"/>
  <c r="B39" i="18"/>
  <c r="B31" i="18"/>
  <c r="B27" i="18"/>
  <c r="B23" i="18"/>
  <c r="B19" i="18"/>
  <c r="B15" i="18"/>
  <c r="B11" i="18"/>
  <c r="B72" i="18"/>
  <c r="S12" i="7"/>
  <c r="M8" i="8" s="1"/>
  <c r="B9" i="17" l="1"/>
  <c r="Y34" i="9"/>
  <c r="Y27" i="9"/>
  <c r="E33" i="9"/>
  <c r="E29" i="9"/>
  <c r="E18" i="9"/>
  <c r="U24" i="9"/>
  <c r="U33" i="9"/>
  <c r="U27" i="9"/>
  <c r="U31" i="9"/>
  <c r="M23" i="9"/>
  <c r="M30" i="9"/>
  <c r="M34" i="9"/>
  <c r="B8" i="17"/>
  <c r="I28" i="9"/>
  <c r="E21" i="9"/>
  <c r="U35" i="9"/>
  <c r="E27" i="9"/>
  <c r="Y22" i="9"/>
  <c r="M18" i="9"/>
  <c r="U23" i="9"/>
  <c r="I19" i="9"/>
  <c r="Q21" i="9"/>
  <c r="U30" i="9"/>
  <c r="I26" i="9"/>
  <c r="Y21" i="9"/>
  <c r="Q20" i="9"/>
  <c r="Y33" i="9"/>
  <c r="M29" i="9"/>
  <c r="U19" i="9"/>
  <c r="M32" i="9"/>
  <c r="Y24" i="9"/>
  <c r="M20" i="9"/>
  <c r="Q31" i="9"/>
  <c r="Y19" i="9"/>
  <c r="M22" i="9"/>
  <c r="Y26" i="9"/>
  <c r="I34" i="9"/>
  <c r="Y32" i="9"/>
  <c r="U25" i="9"/>
  <c r="I29" i="9"/>
  <c r="Q29" i="9"/>
  <c r="Y25" i="9"/>
  <c r="I20" i="9"/>
  <c r="M35" i="9"/>
  <c r="U26" i="9"/>
  <c r="I22" i="9"/>
  <c r="I17" i="9"/>
  <c r="Q27" i="9"/>
  <c r="E23" i="9"/>
  <c r="Q34" i="9"/>
  <c r="E30" i="9"/>
  <c r="M33" i="9"/>
  <c r="E32" i="9"/>
  <c r="U17" i="9"/>
  <c r="I33" i="9"/>
  <c r="Y29" i="9"/>
  <c r="U28" i="9"/>
  <c r="I24" i="9"/>
  <c r="I23" i="9"/>
  <c r="Y17" i="9"/>
  <c r="Y28" i="9"/>
  <c r="Y30" i="9"/>
  <c r="E24" i="9"/>
  <c r="M17" i="9"/>
  <c r="M28" i="9"/>
  <c r="Q23" i="9"/>
  <c r="I30" i="9"/>
  <c r="E31" i="9"/>
  <c r="I18" i="9"/>
  <c r="M21" i="9"/>
  <c r="I32" i="9"/>
  <c r="M27" i="9"/>
  <c r="U18" i="9"/>
  <c r="E34" i="9"/>
  <c r="Q19" i="9"/>
  <c r="Q26" i="9"/>
  <c r="E22" i="9"/>
  <c r="I21" i="9"/>
  <c r="U29" i="9"/>
  <c r="I25" i="9"/>
  <c r="Q17" i="9"/>
  <c r="U20" i="9"/>
  <c r="Q28" i="9"/>
  <c r="Q25" i="9"/>
  <c r="M26" i="9"/>
  <c r="I27" i="9"/>
  <c r="Y18" i="9"/>
  <c r="U32" i="9"/>
  <c r="E19" i="9"/>
  <c r="Q35" i="9"/>
  <c r="U22" i="9"/>
  <c r="M24" i="9"/>
  <c r="M19" i="9"/>
  <c r="Q30" i="9"/>
  <c r="E26" i="9"/>
  <c r="Y35" i="9"/>
  <c r="M31" i="9"/>
  <c r="Y23" i="9"/>
  <c r="Y20" i="9"/>
  <c r="Q18" i="9"/>
  <c r="Y31" i="9"/>
  <c r="E25" i="9"/>
  <c r="U21" i="9"/>
  <c r="E17" i="9"/>
  <c r="M25" i="9"/>
  <c r="Q32" i="9"/>
  <c r="E28" i="9"/>
  <c r="Q33" i="9"/>
  <c r="Q24" i="9"/>
  <c r="E20" i="9"/>
  <c r="Q8" i="5" l="1"/>
  <c r="L8" i="5"/>
  <c r="L27" i="5" s="1"/>
  <c r="M27" i="5" s="1"/>
  <c r="G24" i="5"/>
  <c r="G20" i="5"/>
  <c r="G21" i="5"/>
  <c r="Q28" i="5" l="1"/>
  <c r="Q24" i="5"/>
  <c r="Q29" i="5"/>
  <c r="Q20" i="5"/>
  <c r="Q30" i="5"/>
  <c r="Q13" i="5"/>
  <c r="Q9" i="5"/>
  <c r="Q31" i="5"/>
  <c r="Q10" i="5"/>
  <c r="Q27" i="5"/>
  <c r="Q11" i="5"/>
  <c r="Q14" i="5"/>
  <c r="Q23" i="5"/>
  <c r="Q21" i="5"/>
  <c r="Q12" i="5"/>
  <c r="Q15" i="5"/>
  <c r="L21" i="5"/>
  <c r="L9" i="5"/>
  <c r="L20" i="5"/>
  <c r="M23" i="5"/>
  <c r="C62" i="18" s="1"/>
  <c r="T21" i="5" l="1"/>
  <c r="T14" i="5"/>
  <c r="T27" i="5"/>
  <c r="T31" i="5"/>
  <c r="T13" i="5"/>
  <c r="T30" i="5"/>
  <c r="T29" i="5"/>
  <c r="T23" i="5"/>
  <c r="T15" i="5"/>
  <c r="T24" i="5"/>
  <c r="T28" i="5"/>
  <c r="T20" i="5"/>
  <c r="C61" i="18"/>
  <c r="D61" i="18" s="1"/>
  <c r="E61" i="18" s="1"/>
  <c r="D62" i="18"/>
  <c r="E62" i="18" s="1"/>
  <c r="N23" i="5"/>
  <c r="F23" i="8"/>
  <c r="H103" i="23"/>
  <c r="H104" i="23"/>
  <c r="H107" i="23"/>
  <c r="H105" i="23"/>
  <c r="H106" i="23"/>
  <c r="H108" i="23"/>
  <c r="H109" i="23"/>
  <c r="H27" i="23"/>
  <c r="H23" i="23"/>
  <c r="H24" i="23"/>
  <c r="H25" i="23"/>
  <c r="H26" i="23"/>
  <c r="H28" i="23"/>
  <c r="H29" i="23"/>
  <c r="H94" i="23"/>
  <c r="H95" i="23"/>
  <c r="H96" i="23"/>
  <c r="H99" i="23"/>
  <c r="H97" i="23"/>
  <c r="H98" i="23"/>
  <c r="H100" i="23"/>
  <c r="H101" i="23"/>
  <c r="V9" i="5"/>
  <c r="T9" i="5"/>
  <c r="V12" i="5"/>
  <c r="T12" i="5"/>
  <c r="V11" i="5"/>
  <c r="T11" i="5"/>
  <c r="V10" i="5"/>
  <c r="T10" i="5"/>
  <c r="Q25" i="5"/>
  <c r="Q18" i="5"/>
  <c r="H25" i="5"/>
  <c r="H18" i="5"/>
  <c r="V23" i="5" l="1"/>
  <c r="G62" i="18" s="1"/>
  <c r="I46" i="23"/>
  <c r="I41" i="23"/>
  <c r="I43" i="23"/>
  <c r="I44" i="23"/>
  <c r="I45" i="23"/>
  <c r="I42" i="23"/>
  <c r="I40" i="23"/>
  <c r="I47" i="23"/>
  <c r="I50" i="23"/>
  <c r="I51" i="23"/>
  <c r="I54" i="23"/>
  <c r="I56" i="23"/>
  <c r="I52" i="23"/>
  <c r="I49" i="23"/>
  <c r="I53" i="23"/>
  <c r="I55" i="23"/>
  <c r="I26" i="23"/>
  <c r="I27" i="23"/>
  <c r="I23" i="23"/>
  <c r="I25" i="23"/>
  <c r="I28" i="23"/>
  <c r="I29" i="23"/>
  <c r="I24" i="23"/>
  <c r="I61" i="23"/>
  <c r="I63" i="23"/>
  <c r="I60" i="23"/>
  <c r="I62" i="23"/>
  <c r="I64" i="23"/>
  <c r="I59" i="23"/>
  <c r="I58" i="23"/>
  <c r="I65" i="23"/>
  <c r="I37" i="23"/>
  <c r="I35" i="23"/>
  <c r="I34" i="23"/>
  <c r="I36" i="23"/>
  <c r="I38" i="23"/>
  <c r="I31" i="23"/>
  <c r="I32" i="23"/>
  <c r="I33" i="23"/>
  <c r="O10" i="8"/>
  <c r="G16" i="18"/>
  <c r="O11" i="8"/>
  <c r="G20" i="18"/>
  <c r="O8" i="8"/>
  <c r="G8" i="18"/>
  <c r="O9" i="8"/>
  <c r="G12" i="18"/>
  <c r="H32" i="5"/>
  <c r="H57" i="19" s="1"/>
  <c r="W23" i="5"/>
  <c r="O23" i="8"/>
  <c r="S23" i="8" s="1"/>
  <c r="W10" i="5"/>
  <c r="K8" i="6"/>
  <c r="W9" i="5"/>
  <c r="K7" i="6"/>
  <c r="W11" i="5"/>
  <c r="K9" i="6"/>
  <c r="W12" i="5"/>
  <c r="K10" i="6"/>
  <c r="Q32" i="5"/>
  <c r="K57" i="19" s="1"/>
  <c r="F12" i="9" l="1"/>
  <c r="U20" i="5" l="1"/>
  <c r="G39" i="7"/>
  <c r="H39" i="7"/>
  <c r="I107" i="23" l="1"/>
  <c r="I108" i="23"/>
  <c r="I109" i="23"/>
  <c r="I103" i="23"/>
  <c r="I104" i="23"/>
  <c r="I105" i="23"/>
  <c r="I106" i="23"/>
  <c r="V20" i="5"/>
  <c r="M20" i="5"/>
  <c r="B36" i="18"/>
  <c r="B35" i="18" s="1"/>
  <c r="N87" i="12"/>
  <c r="N86" i="12"/>
  <c r="N84" i="12"/>
  <c r="G87" i="12"/>
  <c r="G86" i="12"/>
  <c r="G84" i="12"/>
  <c r="Q90" i="12"/>
  <c r="J90" i="12"/>
  <c r="Q64" i="12"/>
  <c r="J64" i="12"/>
  <c r="G74" i="12"/>
  <c r="N78" i="12"/>
  <c r="N74" i="12"/>
  <c r="N71" i="12"/>
  <c r="N69" i="12"/>
  <c r="N68" i="12"/>
  <c r="N67" i="12"/>
  <c r="N66" i="12"/>
  <c r="N65" i="12"/>
  <c r="N63" i="12"/>
  <c r="N62" i="12"/>
  <c r="N61" i="12"/>
  <c r="N60" i="12"/>
  <c r="N59" i="12"/>
  <c r="N55" i="12"/>
  <c r="N50" i="12"/>
  <c r="N49" i="12"/>
  <c r="N48" i="12"/>
  <c r="N42" i="12"/>
  <c r="N38" i="12"/>
  <c r="N37" i="12"/>
  <c r="N36" i="12"/>
  <c r="N31" i="12"/>
  <c r="N30" i="12"/>
  <c r="G62" i="12"/>
  <c r="G63" i="12"/>
  <c r="G65" i="12"/>
  <c r="G67" i="12"/>
  <c r="G68" i="12"/>
  <c r="G69" i="12"/>
  <c r="G71" i="12"/>
  <c r="G61" i="12"/>
  <c r="G60" i="12"/>
  <c r="G59" i="12"/>
  <c r="G55" i="12"/>
  <c r="G50" i="12"/>
  <c r="G49" i="12"/>
  <c r="G48" i="12"/>
  <c r="G42" i="12"/>
  <c r="G38" i="12"/>
  <c r="G37" i="12"/>
  <c r="G36" i="12"/>
  <c r="G31" i="12"/>
  <c r="G30" i="12"/>
  <c r="N19" i="12"/>
  <c r="N20" i="12"/>
  <c r="N21" i="12"/>
  <c r="N22" i="12"/>
  <c r="N23" i="12"/>
  <c r="N24" i="12"/>
  <c r="N18" i="12"/>
  <c r="N14" i="12"/>
  <c r="N10" i="12"/>
  <c r="N11" i="12"/>
  <c r="N12" i="12"/>
  <c r="N13" i="12"/>
  <c r="N9" i="12"/>
  <c r="G19" i="12"/>
  <c r="G20" i="12"/>
  <c r="G21" i="12"/>
  <c r="G22" i="12"/>
  <c r="G23" i="12"/>
  <c r="G24" i="12"/>
  <c r="G18" i="12"/>
  <c r="G9" i="12"/>
  <c r="G10" i="12"/>
  <c r="G11" i="12"/>
  <c r="G12" i="12"/>
  <c r="G13" i="12"/>
  <c r="G14" i="12"/>
  <c r="O20" i="8" l="1"/>
  <c r="G51" i="18"/>
  <c r="F20" i="8"/>
  <c r="C51" i="18"/>
  <c r="N20" i="5"/>
  <c r="F16" i="6"/>
  <c r="H16" i="6" s="1"/>
  <c r="W20" i="5"/>
  <c r="K16" i="6"/>
  <c r="B45" i="18"/>
  <c r="B7" i="17" s="1"/>
  <c r="F22" i="13"/>
  <c r="L16" i="6"/>
  <c r="G16" i="6"/>
  <c r="B44" i="18" l="1"/>
  <c r="F11" i="15"/>
  <c r="F12" i="15"/>
  <c r="F13" i="15"/>
  <c r="E8" i="15"/>
  <c r="E12" i="15"/>
  <c r="E11" i="15"/>
  <c r="E13" i="15"/>
  <c r="E26" i="15"/>
  <c r="R13" i="7"/>
  <c r="S13" i="7"/>
  <c r="T13" i="7"/>
  <c r="U13" i="7"/>
  <c r="I10" i="8"/>
  <c r="R16" i="7"/>
  <c r="S16" i="7"/>
  <c r="T16" i="7"/>
  <c r="U16" i="7"/>
  <c r="S17" i="7"/>
  <c r="U17" i="7"/>
  <c r="V12" i="8" s="1"/>
  <c r="I13" i="8"/>
  <c r="C29" i="18" s="1"/>
  <c r="R20" i="7"/>
  <c r="S20" i="7"/>
  <c r="T20" i="7"/>
  <c r="U20" i="7"/>
  <c r="R21" i="7"/>
  <c r="S21" i="7"/>
  <c r="T21" i="7"/>
  <c r="U21" i="7"/>
  <c r="I16" i="8"/>
  <c r="C41" i="18" s="1"/>
  <c r="R28" i="7"/>
  <c r="I20" i="8" s="1"/>
  <c r="S28" i="7"/>
  <c r="T28" i="7"/>
  <c r="U28" i="7"/>
  <c r="R29" i="7"/>
  <c r="I21" i="8" s="1"/>
  <c r="C56" i="18" s="1"/>
  <c r="S29" i="7"/>
  <c r="T29" i="7"/>
  <c r="U29" i="7"/>
  <c r="I22" i="8"/>
  <c r="C60" i="18" s="1"/>
  <c r="Q26" i="8"/>
  <c r="C66" i="18"/>
  <c r="M24" i="8"/>
  <c r="V24" i="8"/>
  <c r="R33" i="7"/>
  <c r="S33" i="7"/>
  <c r="T33" i="7"/>
  <c r="U33" i="7"/>
  <c r="M28" i="8"/>
  <c r="V28" i="8"/>
  <c r="M29" i="8"/>
  <c r="V29" i="8"/>
  <c r="S39" i="7"/>
  <c r="M30" i="8" s="1"/>
  <c r="U39" i="7"/>
  <c r="V30" i="8" s="1"/>
  <c r="S40" i="7"/>
  <c r="M31" i="8" s="1"/>
  <c r="U40" i="7"/>
  <c r="V31" i="8" s="1"/>
  <c r="M32" i="8"/>
  <c r="V32" i="8"/>
  <c r="U12" i="7"/>
  <c r="I29" i="8"/>
  <c r="C84" i="18" s="1"/>
  <c r="R39" i="7"/>
  <c r="M20" i="8" l="1"/>
  <c r="C52" i="18"/>
  <c r="I26" i="8"/>
  <c r="C17" i="18"/>
  <c r="I15" i="8"/>
  <c r="C37" i="18" s="1"/>
  <c r="I11" i="8"/>
  <c r="C21" i="18" s="1"/>
  <c r="I14" i="8"/>
  <c r="C33" i="18" s="1"/>
  <c r="I9" i="8"/>
  <c r="C13" i="18" s="1"/>
  <c r="G12" i="15"/>
  <c r="G11" i="15"/>
  <c r="K11" i="15" s="1"/>
  <c r="L11" i="15" s="1"/>
  <c r="G13" i="15"/>
  <c r="I30" i="8"/>
  <c r="C90" i="18" s="1"/>
  <c r="R17" i="7"/>
  <c r="T17" i="7"/>
  <c r="T39" i="7"/>
  <c r="R12" i="7"/>
  <c r="R40" i="7"/>
  <c r="T40" i="7"/>
  <c r="I32" i="8"/>
  <c r="C102" i="18" s="1"/>
  <c r="I28" i="8"/>
  <c r="C78" i="18" s="1"/>
  <c r="T12" i="7"/>
  <c r="T32" i="7"/>
  <c r="R32" i="7"/>
  <c r="V8" i="8"/>
  <c r="U32" i="7"/>
  <c r="S32" i="7"/>
  <c r="V20" i="8" l="1"/>
  <c r="U26" i="8"/>
  <c r="V26" i="8" s="1"/>
  <c r="H12" i="15"/>
  <c r="I12" i="15" s="1"/>
  <c r="K12" i="15"/>
  <c r="L12" i="15" s="1"/>
  <c r="I12" i="8"/>
  <c r="C25" i="18" s="1"/>
  <c r="C46" i="18" s="1"/>
  <c r="H11" i="15"/>
  <c r="I11" i="15" s="1"/>
  <c r="H13" i="15"/>
  <c r="I13" i="15" s="1"/>
  <c r="K13" i="15"/>
  <c r="L13" i="15" s="1"/>
  <c r="Q18" i="8"/>
  <c r="G14" i="21"/>
  <c r="F14" i="21" s="1"/>
  <c r="G13" i="21"/>
  <c r="F13" i="21" s="1"/>
  <c r="G12" i="21"/>
  <c r="F12" i="21" s="1"/>
  <c r="G11" i="21"/>
  <c r="F11" i="21" s="1"/>
  <c r="G10" i="21"/>
  <c r="F10" i="21" s="1"/>
  <c r="G9" i="21"/>
  <c r="F9" i="21" s="1"/>
  <c r="G8" i="21"/>
  <c r="F8" i="21" s="1"/>
  <c r="G7" i="21"/>
  <c r="F7" i="21" s="1"/>
  <c r="D14" i="21"/>
  <c r="C14" i="21" s="1"/>
  <c r="D13" i="21"/>
  <c r="C13" i="21" s="1"/>
  <c r="D12" i="21"/>
  <c r="C12" i="21" s="1"/>
  <c r="D11" i="21"/>
  <c r="D10" i="21"/>
  <c r="C10" i="21" s="1"/>
  <c r="D9" i="21"/>
  <c r="C9" i="21" s="1"/>
  <c r="D8" i="21"/>
  <c r="C8" i="21" s="1"/>
  <c r="D7" i="21"/>
  <c r="C7" i="21" s="1"/>
  <c r="Q33" i="8" l="1"/>
  <c r="R18" i="8"/>
  <c r="F15" i="21"/>
  <c r="I18" i="8"/>
  <c r="I33" i="8" s="1"/>
  <c r="I34" i="8" s="1"/>
  <c r="K24" i="19" s="1"/>
  <c r="P8" i="5"/>
  <c r="G8" i="5"/>
  <c r="D22" i="5"/>
  <c r="D17" i="5"/>
  <c r="D16" i="5"/>
  <c r="G17" i="5" l="1"/>
  <c r="G16" i="5"/>
  <c r="G22" i="5"/>
  <c r="F26" i="15"/>
  <c r="G26" i="15" s="1"/>
  <c r="H26" i="15" s="1"/>
  <c r="M26" i="15" s="1"/>
  <c r="F25" i="15"/>
  <c r="E25" i="15"/>
  <c r="F24" i="15"/>
  <c r="E24" i="15"/>
  <c r="F23" i="15"/>
  <c r="E23" i="15"/>
  <c r="F22" i="15"/>
  <c r="E22" i="15"/>
  <c r="D20" i="15"/>
  <c r="C20" i="15"/>
  <c r="F19" i="15"/>
  <c r="E19" i="15"/>
  <c r="F18" i="15"/>
  <c r="E18" i="15"/>
  <c r="F17" i="15"/>
  <c r="E17" i="15"/>
  <c r="D15" i="15"/>
  <c r="C15" i="15"/>
  <c r="F14" i="15"/>
  <c r="E14" i="15"/>
  <c r="F10" i="15"/>
  <c r="E10" i="15"/>
  <c r="F9" i="15"/>
  <c r="E9" i="15"/>
  <c r="F8" i="15"/>
  <c r="L18" i="14"/>
  <c r="J18" i="14"/>
  <c r="G18" i="14"/>
  <c r="E18" i="14"/>
  <c r="L17" i="14"/>
  <c r="J17" i="14"/>
  <c r="G17" i="14"/>
  <c r="L14" i="14"/>
  <c r="G14" i="14"/>
  <c r="L13" i="14"/>
  <c r="G13" i="14"/>
  <c r="L12" i="14"/>
  <c r="G12" i="14"/>
  <c r="L11" i="14"/>
  <c r="G11" i="14"/>
  <c r="L10" i="14"/>
  <c r="G10" i="14"/>
  <c r="L8" i="14"/>
  <c r="G8" i="14"/>
  <c r="C20" i="13"/>
  <c r="J19" i="13"/>
  <c r="F19" i="13"/>
  <c r="J18" i="13"/>
  <c r="F18" i="13"/>
  <c r="J17" i="13"/>
  <c r="F17" i="13"/>
  <c r="C15" i="13"/>
  <c r="J14" i="13"/>
  <c r="F14" i="13"/>
  <c r="J13" i="13"/>
  <c r="F13" i="13"/>
  <c r="J12" i="13"/>
  <c r="F12" i="13"/>
  <c r="J11" i="13"/>
  <c r="F11" i="13"/>
  <c r="J10" i="13"/>
  <c r="F10" i="13"/>
  <c r="J9" i="13"/>
  <c r="F9" i="13"/>
  <c r="J8" i="13"/>
  <c r="F8" i="13"/>
  <c r="K20" i="14"/>
  <c r="I20" i="14"/>
  <c r="F20" i="14"/>
  <c r="C20" i="14"/>
  <c r="P82" i="12"/>
  <c r="O82" i="12"/>
  <c r="M82" i="12"/>
  <c r="L82" i="12"/>
  <c r="I82" i="12"/>
  <c r="H82" i="12"/>
  <c r="E82" i="12"/>
  <c r="D82" i="12"/>
  <c r="C82" i="12"/>
  <c r="G82" i="12" s="1"/>
  <c r="P79" i="12"/>
  <c r="O79" i="12"/>
  <c r="L79" i="12"/>
  <c r="I79" i="12"/>
  <c r="H79" i="12"/>
  <c r="E79" i="12"/>
  <c r="D79" i="12"/>
  <c r="J79" i="12" s="1"/>
  <c r="C79" i="12"/>
  <c r="K19" i="14"/>
  <c r="I19" i="14"/>
  <c r="F19" i="14"/>
  <c r="P57" i="12"/>
  <c r="O57" i="12"/>
  <c r="I57" i="12"/>
  <c r="H57" i="12"/>
  <c r="D57" i="12"/>
  <c r="J57" i="12" s="1"/>
  <c r="P53" i="12"/>
  <c r="O53" i="12"/>
  <c r="I53" i="12"/>
  <c r="H53" i="12"/>
  <c r="D53" i="12"/>
  <c r="Q53" i="12" s="1"/>
  <c r="P46" i="12"/>
  <c r="O46" i="12"/>
  <c r="I46" i="12"/>
  <c r="H46" i="12"/>
  <c r="D46" i="12"/>
  <c r="Q46" i="12" s="1"/>
  <c r="P40" i="12"/>
  <c r="O40" i="12"/>
  <c r="I40" i="12"/>
  <c r="H40" i="12"/>
  <c r="D40" i="12"/>
  <c r="Q40" i="12" s="1"/>
  <c r="P34" i="12"/>
  <c r="O34" i="12"/>
  <c r="I34" i="12"/>
  <c r="H34" i="12"/>
  <c r="D34" i="12"/>
  <c r="J34" i="12" s="1"/>
  <c r="P28" i="12"/>
  <c r="O28" i="12"/>
  <c r="I28" i="12"/>
  <c r="H28" i="12"/>
  <c r="D28" i="12"/>
  <c r="P16" i="12"/>
  <c r="K9" i="14" s="1"/>
  <c r="K15" i="14" s="1"/>
  <c r="O16" i="12"/>
  <c r="I16" i="12"/>
  <c r="F9" i="14" s="1"/>
  <c r="F15" i="14" s="1"/>
  <c r="H16" i="12"/>
  <c r="D16" i="12"/>
  <c r="AD31" i="9"/>
  <c r="AF30" i="9"/>
  <c r="AD30" i="9"/>
  <c r="AF29" i="9"/>
  <c r="AD29" i="9"/>
  <c r="AF28" i="9"/>
  <c r="AD28" i="9"/>
  <c r="AF27" i="9"/>
  <c r="AD27" i="9"/>
  <c r="AF26" i="9"/>
  <c r="AD26" i="9"/>
  <c r="AF25" i="9"/>
  <c r="AD25" i="9"/>
  <c r="AF24" i="9"/>
  <c r="AD24" i="9"/>
  <c r="AF23" i="9"/>
  <c r="AD23" i="9"/>
  <c r="AF22" i="9"/>
  <c r="AD22" i="9"/>
  <c r="AF21" i="9"/>
  <c r="AD21" i="9"/>
  <c r="AF20" i="9"/>
  <c r="AD20" i="9"/>
  <c r="AF19" i="9"/>
  <c r="AD19" i="9"/>
  <c r="AF18" i="9"/>
  <c r="AD18" i="9"/>
  <c r="AF17" i="9"/>
  <c r="AD17" i="9"/>
  <c r="AF16" i="9"/>
  <c r="AD16" i="9"/>
  <c r="AF15" i="9"/>
  <c r="K32" i="8"/>
  <c r="B32" i="8"/>
  <c r="D32" i="8" s="1"/>
  <c r="K31" i="8"/>
  <c r="B31" i="8"/>
  <c r="D31" i="8" s="1"/>
  <c r="R30" i="8"/>
  <c r="K30" i="8"/>
  <c r="B30" i="8"/>
  <c r="D30" i="8" s="1"/>
  <c r="K29" i="8"/>
  <c r="B29" i="8"/>
  <c r="D29" i="8" s="1"/>
  <c r="K28" i="8"/>
  <c r="B28" i="8"/>
  <c r="D28" i="8" s="1"/>
  <c r="B24" i="8"/>
  <c r="D24" i="8" s="1"/>
  <c r="T22" i="8"/>
  <c r="K22" i="8"/>
  <c r="B22" i="8"/>
  <c r="D22" i="8" s="1"/>
  <c r="K21" i="8"/>
  <c r="B21" i="8"/>
  <c r="D21" i="8" s="1"/>
  <c r="K20" i="8"/>
  <c r="U18" i="8"/>
  <c r="T16" i="8"/>
  <c r="K16" i="8"/>
  <c r="B16" i="8"/>
  <c r="D16" i="8" s="1"/>
  <c r="K15" i="8"/>
  <c r="B15" i="8"/>
  <c r="D15" i="8" s="1"/>
  <c r="K14" i="8"/>
  <c r="B14" i="8"/>
  <c r="D14" i="8" s="1"/>
  <c r="K13" i="8"/>
  <c r="B13" i="8"/>
  <c r="D13" i="8" s="1"/>
  <c r="K12" i="8"/>
  <c r="B12" i="8"/>
  <c r="D12" i="8" s="1"/>
  <c r="K11" i="8"/>
  <c r="B11" i="8"/>
  <c r="D11" i="8" s="1"/>
  <c r="T10" i="8"/>
  <c r="K10" i="8"/>
  <c r="B10" i="8"/>
  <c r="D10" i="8" s="1"/>
  <c r="T9" i="8"/>
  <c r="K9" i="8"/>
  <c r="B9" i="8"/>
  <c r="D9" i="8" s="1"/>
  <c r="K8" i="8"/>
  <c r="I47" i="7"/>
  <c r="H47" i="7"/>
  <c r="G47" i="7"/>
  <c r="H12" i="7"/>
  <c r="G12" i="7"/>
  <c r="L19" i="6"/>
  <c r="G19" i="6"/>
  <c r="L14" i="6"/>
  <c r="G14" i="6"/>
  <c r="G15" i="21"/>
  <c r="C15" i="21"/>
  <c r="D15" i="21" s="1"/>
  <c r="P31" i="5"/>
  <c r="G31" i="5"/>
  <c r="P30" i="5"/>
  <c r="G30" i="5"/>
  <c r="P29" i="5"/>
  <c r="G29" i="5"/>
  <c r="P28" i="5"/>
  <c r="G28" i="5"/>
  <c r="P27" i="5"/>
  <c r="G27" i="5"/>
  <c r="I25" i="5"/>
  <c r="D25" i="5"/>
  <c r="P24" i="5"/>
  <c r="P22" i="5"/>
  <c r="P21" i="5"/>
  <c r="P20" i="5"/>
  <c r="D18" i="5"/>
  <c r="P17" i="5"/>
  <c r="P16" i="5"/>
  <c r="P15" i="5"/>
  <c r="P14" i="5"/>
  <c r="P13" i="5"/>
  <c r="L13" i="5"/>
  <c r="P12" i="5"/>
  <c r="P11" i="5"/>
  <c r="P10" i="5"/>
  <c r="P9" i="5"/>
  <c r="H107" i="18"/>
  <c r="I107" i="18" s="1"/>
  <c r="D107" i="18"/>
  <c r="E107" i="18" s="1"/>
  <c r="D102" i="18"/>
  <c r="D96" i="18"/>
  <c r="E96" i="18" s="1"/>
  <c r="D90" i="18"/>
  <c r="E90" i="18" s="1"/>
  <c r="D84" i="18"/>
  <c r="E84" i="18" s="1"/>
  <c r="D78" i="18"/>
  <c r="E78" i="18" s="1"/>
  <c r="C72" i="18"/>
  <c r="I69" i="18"/>
  <c r="H69" i="18"/>
  <c r="E69" i="18"/>
  <c r="D69" i="18"/>
  <c r="G68" i="18"/>
  <c r="H68" i="18" s="1"/>
  <c r="C68" i="18"/>
  <c r="D68" i="18" s="1"/>
  <c r="E68" i="18"/>
  <c r="D66" i="18"/>
  <c r="E66" i="18" s="1"/>
  <c r="I60" i="18"/>
  <c r="E60" i="18"/>
  <c r="D60" i="18"/>
  <c r="D56" i="18"/>
  <c r="E56" i="18" s="1"/>
  <c r="D52" i="18"/>
  <c r="E52" i="18" s="1"/>
  <c r="I43" i="18"/>
  <c r="H43" i="18"/>
  <c r="E43" i="18"/>
  <c r="D43" i="18"/>
  <c r="G42" i="18"/>
  <c r="C42" i="18"/>
  <c r="E42" i="18"/>
  <c r="I41" i="18"/>
  <c r="E41" i="18"/>
  <c r="D41" i="18"/>
  <c r="I38" i="18"/>
  <c r="H38" i="18"/>
  <c r="E38" i="18"/>
  <c r="D38" i="18"/>
  <c r="D37" i="18"/>
  <c r="E37" i="18" s="1"/>
  <c r="D33" i="18"/>
  <c r="E33" i="18" s="1"/>
  <c r="D29" i="18"/>
  <c r="E29" i="18" s="1"/>
  <c r="D25" i="18"/>
  <c r="E25" i="18" s="1"/>
  <c r="D21" i="18"/>
  <c r="E21" i="18" s="1"/>
  <c r="D17" i="18"/>
  <c r="E17" i="18" s="1"/>
  <c r="D13" i="18"/>
  <c r="E13" i="18" s="1"/>
  <c r="E9" i="18"/>
  <c r="K17" i="5" l="1"/>
  <c r="C9" i="14"/>
  <c r="C15" i="14" s="1"/>
  <c r="G15" i="14" s="1"/>
  <c r="D94" i="12"/>
  <c r="D95" i="12"/>
  <c r="U33" i="8"/>
  <c r="V33" i="8" s="1"/>
  <c r="V18" i="8"/>
  <c r="J23" i="13"/>
  <c r="K23" i="13"/>
  <c r="J24" i="13"/>
  <c r="K24" i="13"/>
  <c r="J25" i="13"/>
  <c r="K25" i="13"/>
  <c r="J22" i="13"/>
  <c r="K22" i="13"/>
  <c r="J26" i="13"/>
  <c r="K26" i="13"/>
  <c r="C8" i="17"/>
  <c r="D8" i="17" s="1"/>
  <c r="E8" i="17" s="1"/>
  <c r="R26" i="8"/>
  <c r="H22" i="19"/>
  <c r="H48" i="7"/>
  <c r="H18" i="19" s="1"/>
  <c r="K26" i="8"/>
  <c r="K18" i="8"/>
  <c r="H40" i="23"/>
  <c r="H41" i="23"/>
  <c r="H47" i="23"/>
  <c r="H42" i="23"/>
  <c r="H44" i="23"/>
  <c r="H45" i="23"/>
  <c r="H43" i="23"/>
  <c r="H46" i="23"/>
  <c r="V17" i="5"/>
  <c r="T17" i="5"/>
  <c r="V22" i="5"/>
  <c r="G59" i="18" s="1"/>
  <c r="T22" i="5"/>
  <c r="V16" i="5"/>
  <c r="G36" i="18" s="1"/>
  <c r="T16" i="5"/>
  <c r="K16" i="5"/>
  <c r="C19" i="14"/>
  <c r="L19" i="14" s="1"/>
  <c r="Q82" i="12"/>
  <c r="I48" i="7"/>
  <c r="AB12" i="9"/>
  <c r="M13" i="5"/>
  <c r="M17" i="5"/>
  <c r="C40" i="18" s="1"/>
  <c r="D40" i="18" s="1"/>
  <c r="E40" i="18" s="1"/>
  <c r="Z12" i="9"/>
  <c r="V12" i="9"/>
  <c r="N12" i="9"/>
  <c r="R12" i="9"/>
  <c r="D19" i="14"/>
  <c r="C108" i="18" s="1"/>
  <c r="C11" i="17" s="1"/>
  <c r="G26" i="6"/>
  <c r="L20" i="14"/>
  <c r="C27" i="13"/>
  <c r="L11" i="5"/>
  <c r="L29" i="5"/>
  <c r="U29" i="5"/>
  <c r="L14" i="5"/>
  <c r="U14" i="5"/>
  <c r="T15" i="8"/>
  <c r="T32" i="8"/>
  <c r="M9" i="5"/>
  <c r="L31" i="5"/>
  <c r="U31" i="5"/>
  <c r="T12" i="8"/>
  <c r="T20" i="8"/>
  <c r="T24" i="8"/>
  <c r="T29" i="8"/>
  <c r="L12" i="5"/>
  <c r="L28" i="5"/>
  <c r="U28" i="5"/>
  <c r="L15" i="5"/>
  <c r="U15" i="5"/>
  <c r="T14" i="8"/>
  <c r="T31" i="8"/>
  <c r="L10" i="5"/>
  <c r="L30" i="5"/>
  <c r="U30" i="5"/>
  <c r="T11" i="8"/>
  <c r="T28" i="8"/>
  <c r="L24" i="5"/>
  <c r="U24" i="5"/>
  <c r="U27" i="5"/>
  <c r="G45" i="12"/>
  <c r="M21" i="5"/>
  <c r="U21" i="5"/>
  <c r="T13" i="8"/>
  <c r="T21" i="8"/>
  <c r="T30" i="8"/>
  <c r="D27" i="15"/>
  <c r="K21" i="14"/>
  <c r="K22" i="14" s="1"/>
  <c r="G15" i="17" s="1"/>
  <c r="F21" i="14"/>
  <c r="F22" i="14" s="1"/>
  <c r="G20" i="14"/>
  <c r="B8" i="14"/>
  <c r="B14" i="14"/>
  <c r="B104" i="18"/>
  <c r="G12" i="17"/>
  <c r="G109" i="18"/>
  <c r="H109" i="18" s="1"/>
  <c r="I109" i="18" s="1"/>
  <c r="B80" i="18"/>
  <c r="B76" i="18" s="1"/>
  <c r="B10" i="14"/>
  <c r="B98" i="18"/>
  <c r="B94" i="18" s="1"/>
  <c r="B13" i="14"/>
  <c r="B74" i="18"/>
  <c r="B9" i="14"/>
  <c r="B92" i="18"/>
  <c r="B88" i="18" s="1"/>
  <c r="B12" i="14"/>
  <c r="B86" i="18"/>
  <c r="B82" i="18" s="1"/>
  <c r="B11" i="14"/>
  <c r="D20" i="14"/>
  <c r="G93" i="12"/>
  <c r="G11" i="17"/>
  <c r="G108" i="18"/>
  <c r="B19" i="14"/>
  <c r="D72" i="18"/>
  <c r="E72" i="18" s="1"/>
  <c r="E102" i="18"/>
  <c r="J20" i="14"/>
  <c r="I21" i="14"/>
  <c r="J12" i="9"/>
  <c r="D32" i="5"/>
  <c r="G18" i="15"/>
  <c r="K18" i="15" s="1"/>
  <c r="F24" i="13"/>
  <c r="G25" i="15"/>
  <c r="K25" i="15" s="1"/>
  <c r="F25" i="13"/>
  <c r="F26" i="13"/>
  <c r="F23" i="13"/>
  <c r="N93" i="12"/>
  <c r="Q76" i="12"/>
  <c r="G76" i="12"/>
  <c r="N79" i="12"/>
  <c r="M95" i="12"/>
  <c r="O95" i="12"/>
  <c r="P94" i="12"/>
  <c r="L95" i="12"/>
  <c r="I94" i="12"/>
  <c r="G17" i="15"/>
  <c r="K17" i="15" s="1"/>
  <c r="C27" i="15"/>
  <c r="P95" i="12"/>
  <c r="H94" i="12"/>
  <c r="H95" i="12"/>
  <c r="I95" i="12"/>
  <c r="J93" i="12"/>
  <c r="O94" i="12"/>
  <c r="D42" i="18"/>
  <c r="H42" i="18"/>
  <c r="D46" i="18"/>
  <c r="E46" i="18" s="1"/>
  <c r="G24" i="15"/>
  <c r="K24" i="15" s="1"/>
  <c r="G23" i="15"/>
  <c r="K23" i="15" s="1"/>
  <c r="G22" i="15"/>
  <c r="H22" i="15" s="1"/>
  <c r="M22" i="15" s="1"/>
  <c r="G19" i="15"/>
  <c r="K19" i="15" s="1"/>
  <c r="G9" i="15"/>
  <c r="H9" i="15" s="1"/>
  <c r="M9" i="15" s="1"/>
  <c r="G10" i="15"/>
  <c r="H10" i="15" s="1"/>
  <c r="M10" i="15" s="1"/>
  <c r="G14" i="15"/>
  <c r="K14" i="15" s="1"/>
  <c r="G8" i="15"/>
  <c r="K8" i="15" s="1"/>
  <c r="L26" i="6"/>
  <c r="F20" i="15"/>
  <c r="G18" i="5"/>
  <c r="E15" i="13"/>
  <c r="I15" i="13"/>
  <c r="L15" i="13" s="1"/>
  <c r="E20" i="13"/>
  <c r="F15" i="12" s="1"/>
  <c r="B26" i="8"/>
  <c r="D26" i="8" s="1"/>
  <c r="E15" i="15"/>
  <c r="F15" i="15"/>
  <c r="B18" i="8"/>
  <c r="D18" i="8" s="1"/>
  <c r="F18" i="5"/>
  <c r="I20" i="13"/>
  <c r="L20" i="13" s="1"/>
  <c r="E20" i="15"/>
  <c r="P18" i="5"/>
  <c r="F25" i="5"/>
  <c r="G25" i="5"/>
  <c r="P25" i="5"/>
  <c r="J82" i="12"/>
  <c r="N82" i="12"/>
  <c r="L15" i="14"/>
  <c r="I42" i="18"/>
  <c r="Q34" i="12"/>
  <c r="J40" i="12"/>
  <c r="Q93" i="12"/>
  <c r="J46" i="12"/>
  <c r="J53" i="12"/>
  <c r="J76" i="12"/>
  <c r="I68" i="18"/>
  <c r="N76" i="12"/>
  <c r="G79" i="12"/>
  <c r="Q79" i="12"/>
  <c r="Q57" i="12"/>
  <c r="M15" i="12" l="1"/>
  <c r="M16" i="12" s="1"/>
  <c r="F16" i="12"/>
  <c r="E27" i="13"/>
  <c r="E28" i="13" s="1"/>
  <c r="F25" i="12"/>
  <c r="G9" i="14"/>
  <c r="L9" i="14"/>
  <c r="F12" i="8"/>
  <c r="C24" i="18"/>
  <c r="J15" i="13"/>
  <c r="K15" i="13"/>
  <c r="F8" i="8"/>
  <c r="C8" i="18"/>
  <c r="F21" i="8"/>
  <c r="C55" i="18"/>
  <c r="J20" i="13"/>
  <c r="K20" i="13"/>
  <c r="C39" i="18"/>
  <c r="D39" i="18" s="1"/>
  <c r="E39" i="18" s="1"/>
  <c r="O16" i="8"/>
  <c r="S16" i="8" s="1"/>
  <c r="G41" i="18" s="1"/>
  <c r="H41" i="18" s="1"/>
  <c r="G40" i="18"/>
  <c r="H40" i="18" s="1"/>
  <c r="I40" i="18" s="1"/>
  <c r="C15" i="17"/>
  <c r="C16" i="17" s="1"/>
  <c r="B70" i="18"/>
  <c r="B10" i="17"/>
  <c r="G19" i="14"/>
  <c r="C21" i="14"/>
  <c r="C22" i="14" s="1"/>
  <c r="B15" i="17" s="1"/>
  <c r="N17" i="5"/>
  <c r="F16" i="8"/>
  <c r="J16" i="8" s="1"/>
  <c r="W22" i="5"/>
  <c r="O22" i="8"/>
  <c r="W16" i="5"/>
  <c r="O15" i="8"/>
  <c r="S15" i="8" s="1"/>
  <c r="G37" i="18" s="1"/>
  <c r="H37" i="18" s="1"/>
  <c r="I37" i="18" s="1"/>
  <c r="R33" i="8"/>
  <c r="R34" i="8" s="1"/>
  <c r="K25" i="19" s="1"/>
  <c r="K33" i="8"/>
  <c r="AA28" i="9"/>
  <c r="AA17" i="9"/>
  <c r="AA36" i="9"/>
  <c r="AC36" i="9" s="1"/>
  <c r="AA22" i="9"/>
  <c r="AA34" i="9"/>
  <c r="AA25" i="9"/>
  <c r="AA26" i="9"/>
  <c r="AA30" i="9"/>
  <c r="AA24" i="9"/>
  <c r="AA23" i="9"/>
  <c r="AA35" i="9"/>
  <c r="AC35" i="9" s="1"/>
  <c r="AG35" i="9" s="1"/>
  <c r="AA27" i="9"/>
  <c r="AA31" i="9"/>
  <c r="AA21" i="9"/>
  <c r="AA19" i="9"/>
  <c r="AA32" i="9"/>
  <c r="AC32" i="9" s="1"/>
  <c r="AA18" i="9"/>
  <c r="AA20" i="9"/>
  <c r="AA29" i="9"/>
  <c r="AA33" i="9"/>
  <c r="AC33" i="9" s="1"/>
  <c r="H23" i="19"/>
  <c r="T26" i="8"/>
  <c r="T18" i="8"/>
  <c r="I98" i="23"/>
  <c r="I95" i="23"/>
  <c r="I99" i="23"/>
  <c r="I94" i="23"/>
  <c r="I100" i="23"/>
  <c r="I101" i="23"/>
  <c r="I96" i="23"/>
  <c r="I97" i="23"/>
  <c r="H12" i="23"/>
  <c r="H6" i="23"/>
  <c r="H8" i="23"/>
  <c r="H9" i="23"/>
  <c r="H5" i="23"/>
  <c r="H7" i="23"/>
  <c r="H10" i="23"/>
  <c r="H11" i="23"/>
  <c r="M28" i="5"/>
  <c r="H21" i="23"/>
  <c r="H17" i="23"/>
  <c r="H14" i="23"/>
  <c r="H18" i="23"/>
  <c r="H15" i="23"/>
  <c r="H16" i="23"/>
  <c r="H19" i="23"/>
  <c r="H20" i="23"/>
  <c r="M24" i="5"/>
  <c r="H85" i="23"/>
  <c r="H90" i="23"/>
  <c r="H86" i="23"/>
  <c r="H92" i="23"/>
  <c r="H87" i="23"/>
  <c r="H89" i="23"/>
  <c r="H88" i="23"/>
  <c r="H91" i="23"/>
  <c r="H49" i="23"/>
  <c r="H53" i="23"/>
  <c r="H50" i="23"/>
  <c r="H54" i="23"/>
  <c r="H51" i="23"/>
  <c r="H52" i="23"/>
  <c r="H55" i="23"/>
  <c r="H56" i="23"/>
  <c r="N13" i="5"/>
  <c r="F11" i="6"/>
  <c r="N21" i="5"/>
  <c r="F17" i="6"/>
  <c r="I125" i="23"/>
  <c r="I122" i="23"/>
  <c r="I126" i="23"/>
  <c r="I127" i="23"/>
  <c r="I120" i="23"/>
  <c r="I121" i="23"/>
  <c r="I123" i="23"/>
  <c r="I124" i="23"/>
  <c r="I80" i="23"/>
  <c r="I81" i="23"/>
  <c r="I76" i="23"/>
  <c r="I77" i="23"/>
  <c r="I82" i="23"/>
  <c r="I83" i="23"/>
  <c r="I78" i="23"/>
  <c r="I79" i="23"/>
  <c r="H67" i="23"/>
  <c r="H68" i="23"/>
  <c r="H71" i="23"/>
  <c r="H69" i="23"/>
  <c r="H70" i="23"/>
  <c r="H72" i="23"/>
  <c r="H74" i="23"/>
  <c r="H73" i="23"/>
  <c r="I71" i="23"/>
  <c r="I72" i="23"/>
  <c r="I73" i="23"/>
  <c r="I67" i="23"/>
  <c r="I68" i="23"/>
  <c r="I74" i="23"/>
  <c r="I69" i="23"/>
  <c r="I70" i="23"/>
  <c r="M30" i="5"/>
  <c r="H121" i="23"/>
  <c r="H126" i="23"/>
  <c r="H120" i="23"/>
  <c r="H122" i="23"/>
  <c r="H123" i="23"/>
  <c r="H125" i="23"/>
  <c r="H124" i="23"/>
  <c r="H127" i="23"/>
  <c r="H76" i="23"/>
  <c r="H80" i="23"/>
  <c r="H77" i="23"/>
  <c r="H81" i="23"/>
  <c r="H78" i="23"/>
  <c r="H83" i="23"/>
  <c r="H79" i="23"/>
  <c r="H82" i="23"/>
  <c r="I116" i="23"/>
  <c r="I112" i="23"/>
  <c r="I117" i="23"/>
  <c r="I113" i="23"/>
  <c r="I118" i="23"/>
  <c r="I111" i="23"/>
  <c r="I114" i="23"/>
  <c r="I115" i="23"/>
  <c r="M31" i="5"/>
  <c r="H130" i="23"/>
  <c r="H131" i="23"/>
  <c r="H132" i="23"/>
  <c r="H129" i="23"/>
  <c r="H133" i="23"/>
  <c r="H134" i="23"/>
  <c r="I89" i="23"/>
  <c r="I90" i="23"/>
  <c r="I91" i="23"/>
  <c r="I92" i="23"/>
  <c r="I85" i="23"/>
  <c r="I86" i="23"/>
  <c r="I87" i="23"/>
  <c r="I88" i="23"/>
  <c r="H31" i="23"/>
  <c r="H32" i="23"/>
  <c r="H35" i="23"/>
  <c r="H33" i="23"/>
  <c r="H34" i="23"/>
  <c r="H36" i="23"/>
  <c r="H38" i="23"/>
  <c r="H37" i="23"/>
  <c r="N9" i="5"/>
  <c r="F7" i="6"/>
  <c r="H58" i="23"/>
  <c r="H63" i="23"/>
  <c r="H65" i="23"/>
  <c r="H59" i="23"/>
  <c r="H60" i="23"/>
  <c r="H61" i="23"/>
  <c r="H62" i="23"/>
  <c r="H64" i="23"/>
  <c r="I8" i="23"/>
  <c r="I9" i="23"/>
  <c r="I5" i="23"/>
  <c r="I10" i="23"/>
  <c r="I11" i="23"/>
  <c r="I12" i="23"/>
  <c r="I6" i="23"/>
  <c r="I7" i="23"/>
  <c r="I17" i="23"/>
  <c r="I14" i="23"/>
  <c r="I18" i="23"/>
  <c r="I19" i="23"/>
  <c r="I21" i="23"/>
  <c r="I20" i="23"/>
  <c r="I15" i="23"/>
  <c r="I16" i="23"/>
  <c r="I134" i="23"/>
  <c r="I130" i="23"/>
  <c r="I129" i="23"/>
  <c r="I131" i="23"/>
  <c r="I132" i="23"/>
  <c r="I133" i="23"/>
  <c r="M29" i="5"/>
  <c r="H112" i="23"/>
  <c r="H116" i="23"/>
  <c r="H113" i="23"/>
  <c r="H117" i="23"/>
  <c r="H114" i="23"/>
  <c r="H115" i="23"/>
  <c r="H111" i="23"/>
  <c r="H118" i="23"/>
  <c r="W17" i="5"/>
  <c r="L15" i="12"/>
  <c r="L16" i="12" s="1"/>
  <c r="G15" i="12"/>
  <c r="M22" i="5"/>
  <c r="C59" i="18" s="1"/>
  <c r="C58" i="18" s="1"/>
  <c r="D58" i="18" s="1"/>
  <c r="E58" i="18" s="1"/>
  <c r="K22" i="5"/>
  <c r="V15" i="5"/>
  <c r="V24" i="5"/>
  <c r="V14" i="5"/>
  <c r="V21" i="5"/>
  <c r="M16" i="5"/>
  <c r="C36" i="18" s="1"/>
  <c r="V31" i="5"/>
  <c r="V30" i="5"/>
  <c r="V29" i="5"/>
  <c r="V28" i="5"/>
  <c r="V27" i="5"/>
  <c r="D96" i="12"/>
  <c r="M10" i="5"/>
  <c r="M14" i="5"/>
  <c r="M15" i="5"/>
  <c r="M11" i="5"/>
  <c r="M12" i="5"/>
  <c r="N52" i="12"/>
  <c r="N45" i="12"/>
  <c r="H28" i="13"/>
  <c r="AD12" i="9"/>
  <c r="L25" i="5"/>
  <c r="U18" i="5"/>
  <c r="H18" i="15"/>
  <c r="U25" i="5"/>
  <c r="L18" i="5"/>
  <c r="I10" i="15"/>
  <c r="C18" i="18"/>
  <c r="D18" i="18" s="1"/>
  <c r="E18" i="18" s="1"/>
  <c r="I26" i="15"/>
  <c r="C103" i="18"/>
  <c r="D103" i="18" s="1"/>
  <c r="E103" i="18" s="1"/>
  <c r="L19" i="15"/>
  <c r="G67" i="18"/>
  <c r="H67" i="18" s="1"/>
  <c r="I67" i="18" s="1"/>
  <c r="L25" i="15"/>
  <c r="G97" i="18"/>
  <c r="H97" i="18" s="1"/>
  <c r="I97" i="18" s="1"/>
  <c r="G22" i="18"/>
  <c r="H22" i="18" s="1"/>
  <c r="I22" i="18" s="1"/>
  <c r="I22" i="15"/>
  <c r="C79" i="18"/>
  <c r="D79" i="18" s="1"/>
  <c r="E79" i="18" s="1"/>
  <c r="G26" i="18"/>
  <c r="H26" i="18" s="1"/>
  <c r="I26" i="18" s="1"/>
  <c r="L23" i="15"/>
  <c r="G85" i="18"/>
  <c r="H85" i="18" s="1"/>
  <c r="I85" i="18" s="1"/>
  <c r="L18" i="15"/>
  <c r="G57" i="18"/>
  <c r="H57" i="18" s="1"/>
  <c r="I57" i="18" s="1"/>
  <c r="G30" i="18"/>
  <c r="H30" i="18" s="1"/>
  <c r="I30" i="18" s="1"/>
  <c r="I9" i="15"/>
  <c r="C14" i="18"/>
  <c r="L8" i="15"/>
  <c r="G10" i="18"/>
  <c r="L24" i="15"/>
  <c r="G91" i="18"/>
  <c r="H91" i="18" s="1"/>
  <c r="I91" i="18" s="1"/>
  <c r="L17" i="15"/>
  <c r="G53" i="18"/>
  <c r="H36" i="18"/>
  <c r="I36" i="18" s="1"/>
  <c r="H59" i="18"/>
  <c r="I59" i="18" s="1"/>
  <c r="L14" i="15"/>
  <c r="G34" i="18"/>
  <c r="H34" i="18" s="1"/>
  <c r="I34" i="18" s="1"/>
  <c r="G16" i="17"/>
  <c r="B100" i="18"/>
  <c r="C109" i="18"/>
  <c r="D109" i="18" s="1"/>
  <c r="E109" i="18" s="1"/>
  <c r="E20" i="14"/>
  <c r="B15" i="14"/>
  <c r="B108" i="18"/>
  <c r="J19" i="14"/>
  <c r="E19" i="14"/>
  <c r="B21" i="14"/>
  <c r="J21" i="14" s="1"/>
  <c r="G32" i="5"/>
  <c r="H59" i="19" s="1"/>
  <c r="M12" i="15"/>
  <c r="H14" i="15"/>
  <c r="M14" i="15" s="1"/>
  <c r="H25" i="15"/>
  <c r="M25" i="15" s="1"/>
  <c r="G20" i="15"/>
  <c r="H23" i="15"/>
  <c r="M23" i="15" s="1"/>
  <c r="H24" i="15"/>
  <c r="M24" i="15" s="1"/>
  <c r="F15" i="13"/>
  <c r="F20" i="13"/>
  <c r="O96" i="12"/>
  <c r="H96" i="12"/>
  <c r="I96" i="12"/>
  <c r="P96" i="12"/>
  <c r="K26" i="15"/>
  <c r="M11" i="15"/>
  <c r="K20" i="15"/>
  <c r="L20" i="15" s="1"/>
  <c r="H17" i="15"/>
  <c r="M17" i="15" s="1"/>
  <c r="H8" i="15"/>
  <c r="K9" i="15"/>
  <c r="H19" i="15"/>
  <c r="M19" i="15" s="1"/>
  <c r="G15" i="15"/>
  <c r="K10" i="15"/>
  <c r="K22" i="15"/>
  <c r="F27" i="15"/>
  <c r="M13" i="15"/>
  <c r="E27" i="15"/>
  <c r="P32" i="5"/>
  <c r="K59" i="19" s="1"/>
  <c r="F32" i="5"/>
  <c r="I27" i="13"/>
  <c r="L27" i="13" s="1"/>
  <c r="B33" i="8"/>
  <c r="D33" i="8" s="1"/>
  <c r="M25" i="12" l="1"/>
  <c r="M28" i="12" s="1"/>
  <c r="F28" i="12"/>
  <c r="F94" i="12" s="1"/>
  <c r="G21" i="14"/>
  <c r="L21" i="14"/>
  <c r="P97" i="12"/>
  <c r="I97" i="12"/>
  <c r="G73" i="18"/>
  <c r="M8" i="15"/>
  <c r="C10" i="18"/>
  <c r="C7" i="18" s="1"/>
  <c r="AC30" i="9"/>
  <c r="D59" i="18"/>
  <c r="E59" i="18" s="1"/>
  <c r="O32" i="8"/>
  <c r="G101" i="18"/>
  <c r="F13" i="8"/>
  <c r="C28" i="18"/>
  <c r="F9" i="8"/>
  <c r="C12" i="18"/>
  <c r="C35" i="18"/>
  <c r="D35" i="18" s="1"/>
  <c r="E35" i="18" s="1"/>
  <c r="D36" i="18"/>
  <c r="E36" i="18" s="1"/>
  <c r="O21" i="8"/>
  <c r="G55" i="18"/>
  <c r="F24" i="8"/>
  <c r="J24" i="8" s="1"/>
  <c r="C65" i="18"/>
  <c r="O28" i="8"/>
  <c r="G77" i="18"/>
  <c r="O13" i="8"/>
  <c r="G28" i="18"/>
  <c r="F29" i="8"/>
  <c r="C83" i="18"/>
  <c r="O29" i="8"/>
  <c r="G83" i="18"/>
  <c r="O24" i="8"/>
  <c r="G65" i="18"/>
  <c r="F32" i="8"/>
  <c r="C101" i="18"/>
  <c r="F14" i="8"/>
  <c r="C32" i="18"/>
  <c r="F11" i="8"/>
  <c r="C20" i="18"/>
  <c r="O30" i="8"/>
  <c r="G89" i="18"/>
  <c r="O14" i="8"/>
  <c r="G32" i="18"/>
  <c r="F30" i="8"/>
  <c r="C89" i="18"/>
  <c r="F31" i="8"/>
  <c r="C95" i="18"/>
  <c r="F10" i="8"/>
  <c r="C16" i="18"/>
  <c r="O31" i="8"/>
  <c r="G95" i="18"/>
  <c r="L22" i="14"/>
  <c r="G22" i="14"/>
  <c r="B16" i="17"/>
  <c r="D14" i="18"/>
  <c r="E14" i="18" s="1"/>
  <c r="B106" i="18"/>
  <c r="B12" i="17" s="1"/>
  <c r="B11" i="17"/>
  <c r="H11" i="17" s="1"/>
  <c r="I11" i="17" s="1"/>
  <c r="F28" i="8"/>
  <c r="C77" i="18"/>
  <c r="N22" i="5"/>
  <c r="F22" i="8"/>
  <c r="N16" i="5"/>
  <c r="F15" i="8"/>
  <c r="J15" i="8" s="1"/>
  <c r="T33" i="8"/>
  <c r="AC26" i="9"/>
  <c r="AC21" i="9"/>
  <c r="AC25" i="9"/>
  <c r="AC31" i="9"/>
  <c r="AC34" i="9"/>
  <c r="AC27" i="9"/>
  <c r="AC22" i="9"/>
  <c r="AG22" i="9" s="1"/>
  <c r="AC19" i="9"/>
  <c r="AG19" i="9" s="1"/>
  <c r="AC29" i="9"/>
  <c r="AE25" i="9"/>
  <c r="AE26" i="9"/>
  <c r="AE19" i="9"/>
  <c r="AE35" i="9"/>
  <c r="AE20" i="9"/>
  <c r="AE24" i="9"/>
  <c r="AE33" i="9"/>
  <c r="AE23" i="9"/>
  <c r="AE28" i="9"/>
  <c r="AE22" i="9"/>
  <c r="AE32" i="9"/>
  <c r="AE18" i="9"/>
  <c r="AE36" i="9"/>
  <c r="AE30" i="9"/>
  <c r="AE29" i="9"/>
  <c r="AE21" i="9"/>
  <c r="AE31" i="9"/>
  <c r="AE34" i="9"/>
  <c r="AE27" i="9"/>
  <c r="AE17" i="9"/>
  <c r="AC20" i="9"/>
  <c r="AG20" i="9" s="1"/>
  <c r="AC23" i="9"/>
  <c r="AG23" i="9" s="1"/>
  <c r="AC17" i="9"/>
  <c r="AG17" i="9" s="1"/>
  <c r="AC18" i="9"/>
  <c r="AC24" i="9"/>
  <c r="AC28" i="9"/>
  <c r="N29" i="5"/>
  <c r="F23" i="6"/>
  <c r="N30" i="5"/>
  <c r="F24" i="6"/>
  <c r="W29" i="5"/>
  <c r="K23" i="6"/>
  <c r="W30" i="5"/>
  <c r="K24" i="6"/>
  <c r="W14" i="5"/>
  <c r="K12" i="6"/>
  <c r="N14" i="5"/>
  <c r="F12" i="6"/>
  <c r="N12" i="5"/>
  <c r="F10" i="6"/>
  <c r="W27" i="5"/>
  <c r="K21" i="6"/>
  <c r="W31" i="5"/>
  <c r="K25" i="6"/>
  <c r="W24" i="5"/>
  <c r="K18" i="6"/>
  <c r="N24" i="5"/>
  <c r="F18" i="6"/>
  <c r="N10" i="5"/>
  <c r="F8" i="6"/>
  <c r="N11" i="5"/>
  <c r="F9" i="6"/>
  <c r="N28" i="5"/>
  <c r="F22" i="6"/>
  <c r="W21" i="5"/>
  <c r="K17" i="6"/>
  <c r="N15" i="5"/>
  <c r="F13" i="6"/>
  <c r="W28" i="5"/>
  <c r="K22" i="6"/>
  <c r="W15" i="5"/>
  <c r="K13" i="6"/>
  <c r="N31" i="5"/>
  <c r="F25" i="6"/>
  <c r="N27" i="5"/>
  <c r="F21" i="6"/>
  <c r="K18" i="5"/>
  <c r="M18" i="5"/>
  <c r="AG29" i="9"/>
  <c r="AG21" i="9"/>
  <c r="AG27" i="9"/>
  <c r="AG18" i="9"/>
  <c r="AG31" i="9"/>
  <c r="AG26" i="9"/>
  <c r="AG32" i="9"/>
  <c r="AG34" i="9"/>
  <c r="AG30" i="9"/>
  <c r="AG25" i="9"/>
  <c r="AG33" i="9"/>
  <c r="AG16" i="9"/>
  <c r="L32" i="5"/>
  <c r="H58" i="19" s="1"/>
  <c r="H60" i="19" s="1"/>
  <c r="C57" i="18"/>
  <c r="D57" i="18" s="1"/>
  <c r="E57" i="18" s="1"/>
  <c r="M18" i="15"/>
  <c r="G60" i="18"/>
  <c r="H60" i="18" s="1"/>
  <c r="S22" i="8"/>
  <c r="C106" i="18"/>
  <c r="C12" i="17" s="1"/>
  <c r="G35" i="18"/>
  <c r="H35" i="18" s="1"/>
  <c r="I35" i="18" s="1"/>
  <c r="G39" i="18"/>
  <c r="H39" i="18" s="1"/>
  <c r="I39" i="18" s="1"/>
  <c r="AG15" i="9"/>
  <c r="AG24" i="9"/>
  <c r="AG28" i="9"/>
  <c r="J27" i="13"/>
  <c r="I28" i="13"/>
  <c r="K44" i="19" s="1"/>
  <c r="F27" i="13"/>
  <c r="H44" i="19"/>
  <c r="G25" i="12"/>
  <c r="I18" i="15"/>
  <c r="U32" i="5"/>
  <c r="K58" i="19" s="1"/>
  <c r="K60" i="19" s="1"/>
  <c r="I25" i="15"/>
  <c r="C97" i="18"/>
  <c r="D97" i="18" s="1"/>
  <c r="E97" i="18" s="1"/>
  <c r="L10" i="15"/>
  <c r="G18" i="18"/>
  <c r="H18" i="18" s="1"/>
  <c r="I18" i="18" s="1"/>
  <c r="L26" i="15"/>
  <c r="G103" i="18"/>
  <c r="H103" i="18" s="1"/>
  <c r="I103" i="18" s="1"/>
  <c r="I19" i="15"/>
  <c r="C67" i="18"/>
  <c r="D67" i="18" s="1"/>
  <c r="E67" i="18" s="1"/>
  <c r="I14" i="15"/>
  <c r="C34" i="18"/>
  <c r="D34" i="18" s="1"/>
  <c r="E34" i="18" s="1"/>
  <c r="L9" i="15"/>
  <c r="G14" i="18"/>
  <c r="H14" i="18" s="1"/>
  <c r="I14" i="18" s="1"/>
  <c r="C26" i="18"/>
  <c r="D26" i="18" s="1"/>
  <c r="E26" i="18" s="1"/>
  <c r="H53" i="18"/>
  <c r="I53" i="18" s="1"/>
  <c r="H73" i="18"/>
  <c r="I73" i="18" s="1"/>
  <c r="G8" i="17"/>
  <c r="H8" i="17" s="1"/>
  <c r="I8" i="17" s="1"/>
  <c r="I8" i="15"/>
  <c r="H15" i="17"/>
  <c r="I15" i="17" s="1"/>
  <c r="C30" i="18"/>
  <c r="D30" i="18" s="1"/>
  <c r="E30" i="18" s="1"/>
  <c r="I17" i="15"/>
  <c r="C53" i="18"/>
  <c r="I24" i="15"/>
  <c r="C91" i="18"/>
  <c r="D91" i="18" s="1"/>
  <c r="E91" i="18" s="1"/>
  <c r="D15" i="17"/>
  <c r="E15" i="17" s="1"/>
  <c r="L22" i="15"/>
  <c r="G79" i="18"/>
  <c r="H79" i="18" s="1"/>
  <c r="I79" i="18" s="1"/>
  <c r="C22" i="18"/>
  <c r="D22" i="18" s="1"/>
  <c r="E22" i="18" s="1"/>
  <c r="I23" i="15"/>
  <c r="C85" i="18"/>
  <c r="D85" i="18" s="1"/>
  <c r="E85" i="18" s="1"/>
  <c r="H10" i="18"/>
  <c r="I10" i="18" s="1"/>
  <c r="B22" i="14"/>
  <c r="G53" i="12"/>
  <c r="C104" i="18"/>
  <c r="D14" i="14"/>
  <c r="E14" i="14" s="1"/>
  <c r="H108" i="18"/>
  <c r="I108" i="18" s="1"/>
  <c r="D108" i="18"/>
  <c r="E108" i="18" s="1"/>
  <c r="G27" i="15"/>
  <c r="G39" i="12"/>
  <c r="G56" i="12"/>
  <c r="C98" i="18"/>
  <c r="E94" i="12"/>
  <c r="H15" i="15"/>
  <c r="G33" i="12"/>
  <c r="C80" i="18"/>
  <c r="K15" i="15"/>
  <c r="H20" i="15"/>
  <c r="C73" i="18" l="1"/>
  <c r="D11" i="17"/>
  <c r="E11" i="17" s="1"/>
  <c r="D12" i="17"/>
  <c r="E12" i="17" s="1"/>
  <c r="B13" i="17"/>
  <c r="B17" i="17" s="1"/>
  <c r="F96" i="12"/>
  <c r="F97" i="12" s="1"/>
  <c r="K27" i="15"/>
  <c r="K28" i="15" s="1"/>
  <c r="K51" i="19" s="1"/>
  <c r="F26" i="8"/>
  <c r="J22" i="8"/>
  <c r="G47" i="18"/>
  <c r="H47" i="18" s="1"/>
  <c r="I47" i="18" s="1"/>
  <c r="C47" i="18"/>
  <c r="C76" i="18"/>
  <c r="D76" i="18" s="1"/>
  <c r="H12" i="17"/>
  <c r="I12" i="17" s="1"/>
  <c r="F18" i="8"/>
  <c r="N18" i="5"/>
  <c r="F14" i="6"/>
  <c r="G58" i="18"/>
  <c r="H58" i="18" s="1"/>
  <c r="I58" i="18" s="1"/>
  <c r="I20" i="15"/>
  <c r="M20" i="15"/>
  <c r="I15" i="15"/>
  <c r="M15" i="15"/>
  <c r="N25" i="12"/>
  <c r="D106" i="18"/>
  <c r="E106" i="18" s="1"/>
  <c r="H16" i="17"/>
  <c r="I16" i="17" s="1"/>
  <c r="D16" i="17"/>
  <c r="E16" i="17" s="1"/>
  <c r="D10" i="18"/>
  <c r="E10" i="18" s="1"/>
  <c r="D73" i="18"/>
  <c r="E73" i="18" s="1"/>
  <c r="D53" i="18"/>
  <c r="E53" i="18" s="1"/>
  <c r="G40" i="12"/>
  <c r="C86" i="18"/>
  <c r="D11" i="14"/>
  <c r="E11" i="14" s="1"/>
  <c r="G34" i="12"/>
  <c r="D10" i="14"/>
  <c r="E10" i="14" s="1"/>
  <c r="G46" i="12"/>
  <c r="D12" i="14"/>
  <c r="E12" i="14" s="1"/>
  <c r="C92" i="18"/>
  <c r="D104" i="18"/>
  <c r="D98" i="18"/>
  <c r="E98" i="18" s="1"/>
  <c r="B110" i="18"/>
  <c r="G57" i="12"/>
  <c r="D21" i="14"/>
  <c r="E21" i="14" s="1"/>
  <c r="D13" i="14"/>
  <c r="E96" i="12"/>
  <c r="H35" i="19" s="1"/>
  <c r="N56" i="12"/>
  <c r="N39" i="12"/>
  <c r="N33" i="12"/>
  <c r="L15" i="15"/>
  <c r="H27" i="15"/>
  <c r="H28" i="15" s="1"/>
  <c r="H51" i="19" s="1"/>
  <c r="G9" i="17" l="1"/>
  <c r="H9" i="17" s="1"/>
  <c r="I9" i="17" s="1"/>
  <c r="L27" i="15"/>
  <c r="F33" i="8"/>
  <c r="H38" i="19"/>
  <c r="D47" i="18"/>
  <c r="E47" i="18" s="1"/>
  <c r="C9" i="17"/>
  <c r="M27" i="15"/>
  <c r="G106" i="18"/>
  <c r="H106" i="18" s="1"/>
  <c r="I106" i="18" s="1"/>
  <c r="N40" i="12"/>
  <c r="I11" i="14"/>
  <c r="J11" i="14" s="1"/>
  <c r="G86" i="18"/>
  <c r="E104" i="18"/>
  <c r="D80" i="18"/>
  <c r="E80" i="18" s="1"/>
  <c r="D9" i="14"/>
  <c r="E9" i="14" s="1"/>
  <c r="C74" i="18"/>
  <c r="N34" i="12"/>
  <c r="G80" i="18"/>
  <c r="I10" i="14"/>
  <c r="J10" i="14" s="1"/>
  <c r="D8" i="14"/>
  <c r="E8" i="14" s="1"/>
  <c r="C48" i="18"/>
  <c r="D92" i="18"/>
  <c r="E92" i="18" s="1"/>
  <c r="N46" i="12"/>
  <c r="I12" i="14"/>
  <c r="J12" i="14" s="1"/>
  <c r="G92" i="18"/>
  <c r="N53" i="12"/>
  <c r="G104" i="18"/>
  <c r="I14" i="14"/>
  <c r="J14" i="14" s="1"/>
  <c r="D86" i="18"/>
  <c r="E86" i="18" s="1"/>
  <c r="N57" i="12"/>
  <c r="G98" i="18"/>
  <c r="I13" i="14"/>
  <c r="J13" i="14" s="1"/>
  <c r="E13" i="14"/>
  <c r="L94" i="12"/>
  <c r="L96" i="12" s="1"/>
  <c r="K35" i="19" s="1"/>
  <c r="N15" i="12"/>
  <c r="G16" i="12"/>
  <c r="J16" i="12"/>
  <c r="N16" i="12" s="1"/>
  <c r="J28" i="12"/>
  <c r="N28" i="12" s="1"/>
  <c r="G28" i="12"/>
  <c r="I27" i="15"/>
  <c r="C10" i="17" l="1"/>
  <c r="D9" i="17"/>
  <c r="E9" i="17" s="1"/>
  <c r="D48" i="18"/>
  <c r="E48" i="18" s="1"/>
  <c r="H98" i="18"/>
  <c r="I98" i="18" s="1"/>
  <c r="H92" i="18"/>
  <c r="I92" i="18" s="1"/>
  <c r="H80" i="18"/>
  <c r="I80" i="18" s="1"/>
  <c r="H86" i="18"/>
  <c r="I86" i="18" s="1"/>
  <c r="H104" i="18"/>
  <c r="D15" i="14"/>
  <c r="E15" i="14" s="1"/>
  <c r="Q28" i="12"/>
  <c r="I8" i="14"/>
  <c r="G48" i="18"/>
  <c r="G74" i="18"/>
  <c r="I9" i="14"/>
  <c r="J9" i="14" s="1"/>
  <c r="D74" i="18"/>
  <c r="E74" i="18" s="1"/>
  <c r="Q16" i="12"/>
  <c r="M94" i="12"/>
  <c r="M96" i="12" s="1"/>
  <c r="K38" i="19" l="1"/>
  <c r="M97" i="12"/>
  <c r="D22" i="14"/>
  <c r="E22" i="14" s="1"/>
  <c r="H48" i="18"/>
  <c r="I48" i="18" s="1"/>
  <c r="I104" i="18"/>
  <c r="H74" i="18"/>
  <c r="I74" i="18" s="1"/>
  <c r="D10" i="17"/>
  <c r="I15" i="14"/>
  <c r="J8" i="14"/>
  <c r="G10" i="17" l="1"/>
  <c r="I22" i="14"/>
  <c r="J22" i="14" s="1"/>
  <c r="J15" i="14"/>
  <c r="E10" i="17"/>
  <c r="H10" i="17" l="1"/>
  <c r="I10" i="17" l="1"/>
  <c r="D20" i="18" l="1"/>
  <c r="E20" i="18" s="1"/>
  <c r="H10" i="6"/>
  <c r="I10" i="6" s="1"/>
  <c r="J11" i="8"/>
  <c r="D32" i="18" l="1"/>
  <c r="E32" i="18" s="1"/>
  <c r="H13" i="6"/>
  <c r="I13" i="6" s="1"/>
  <c r="D89" i="18"/>
  <c r="E89" i="18" s="1"/>
  <c r="H23" i="6"/>
  <c r="I23" i="6" s="1"/>
  <c r="H9" i="6"/>
  <c r="I9" i="6" s="1"/>
  <c r="H12" i="6"/>
  <c r="I12" i="6" s="1"/>
  <c r="H22" i="6"/>
  <c r="I22" i="6" s="1"/>
  <c r="D55" i="18"/>
  <c r="E55" i="18" s="1"/>
  <c r="H17" i="6"/>
  <c r="I17" i="6" s="1"/>
  <c r="D65" i="18"/>
  <c r="E65" i="18" s="1"/>
  <c r="H18" i="6"/>
  <c r="I18" i="6" s="1"/>
  <c r="H21" i="6"/>
  <c r="I21" i="6" s="1"/>
  <c r="D12" i="18"/>
  <c r="E12" i="18" s="1"/>
  <c r="H8" i="6"/>
  <c r="I8" i="6" s="1"/>
  <c r="J21" i="8"/>
  <c r="J14" i="8"/>
  <c r="J28" i="8"/>
  <c r="J10" i="8"/>
  <c r="J29" i="8"/>
  <c r="J9" i="8"/>
  <c r="J13" i="8"/>
  <c r="C15" i="18" l="1"/>
  <c r="D15" i="18" s="1"/>
  <c r="E15" i="18" s="1"/>
  <c r="C27" i="18"/>
  <c r="D27" i="18" s="1"/>
  <c r="E27" i="18" s="1"/>
  <c r="V13" i="5"/>
  <c r="C82" i="18"/>
  <c r="D82" i="18" s="1"/>
  <c r="E82" i="18" s="1"/>
  <c r="E76" i="18"/>
  <c r="D77" i="18"/>
  <c r="E77" i="18" s="1"/>
  <c r="D83" i="18"/>
  <c r="E83" i="18" s="1"/>
  <c r="C31" i="18"/>
  <c r="D31" i="18" s="1"/>
  <c r="E31" i="18" s="1"/>
  <c r="D16" i="18"/>
  <c r="E16" i="18" s="1"/>
  <c r="D28" i="18"/>
  <c r="E28" i="18" s="1"/>
  <c r="H24" i="6"/>
  <c r="I24" i="6" s="1"/>
  <c r="D101" i="18"/>
  <c r="E101" i="18" s="1"/>
  <c r="H25" i="6"/>
  <c r="I25" i="6" s="1"/>
  <c r="J32" i="8"/>
  <c r="J30" i="8"/>
  <c r="J31" i="8"/>
  <c r="O12" i="8" l="1"/>
  <c r="G24" i="18"/>
  <c r="W13" i="5"/>
  <c r="K11" i="6"/>
  <c r="C94" i="18"/>
  <c r="D94" i="18" s="1"/>
  <c r="E94" i="18" s="1"/>
  <c r="C19" i="18"/>
  <c r="D19" i="18" s="1"/>
  <c r="E19" i="18" s="1"/>
  <c r="C54" i="18"/>
  <c r="D54" i="18" s="1"/>
  <c r="E54" i="18" s="1"/>
  <c r="C88" i="18"/>
  <c r="D88" i="18" s="1"/>
  <c r="E88" i="18" s="1"/>
  <c r="C64" i="18"/>
  <c r="D64" i="18" s="1"/>
  <c r="E64" i="18" s="1"/>
  <c r="C11" i="18"/>
  <c r="D11" i="18" s="1"/>
  <c r="E11" i="18" s="1"/>
  <c r="D95" i="18"/>
  <c r="E95" i="18" s="1"/>
  <c r="C100" i="18"/>
  <c r="D100" i="18" s="1"/>
  <c r="E100" i="18" s="1"/>
  <c r="H77" i="18"/>
  <c r="I77" i="18" s="1"/>
  <c r="M21" i="6"/>
  <c r="N21" i="6" s="1"/>
  <c r="M9" i="6"/>
  <c r="N9" i="6" s="1"/>
  <c r="H101" i="18"/>
  <c r="I101" i="18" s="1"/>
  <c r="M25" i="6"/>
  <c r="N25" i="6" s="1"/>
  <c r="M12" i="6"/>
  <c r="N12" i="6" s="1"/>
  <c r="H83" i="18"/>
  <c r="I83" i="18" s="1"/>
  <c r="M22" i="6"/>
  <c r="N22" i="6" s="1"/>
  <c r="H32" i="18"/>
  <c r="I32" i="18" s="1"/>
  <c r="M13" i="6"/>
  <c r="N13" i="6" s="1"/>
  <c r="S28" i="8"/>
  <c r="G78" i="18" s="1"/>
  <c r="H78" i="18" s="1"/>
  <c r="I78" i="18" s="1"/>
  <c r="S14" i="8"/>
  <c r="G33" i="18" s="1"/>
  <c r="H33" i="18" s="1"/>
  <c r="I33" i="18" s="1"/>
  <c r="S29" i="8"/>
  <c r="G84" i="18" s="1"/>
  <c r="H84" i="18" s="1"/>
  <c r="I84" i="18" s="1"/>
  <c r="S13" i="8"/>
  <c r="G29" i="18" s="1"/>
  <c r="H29" i="18" s="1"/>
  <c r="I29" i="18" s="1"/>
  <c r="S10" i="8"/>
  <c r="G17" i="18" s="1"/>
  <c r="H17" i="18" s="1"/>
  <c r="I17" i="18" s="1"/>
  <c r="S31" i="8" l="1"/>
  <c r="G102" i="18"/>
  <c r="H102" i="18" s="1"/>
  <c r="I102" i="18" s="1"/>
  <c r="S32" i="8"/>
  <c r="H96" i="18"/>
  <c r="I96" i="18" s="1"/>
  <c r="C71" i="18"/>
  <c r="D71" i="18" s="1"/>
  <c r="G27" i="18"/>
  <c r="H27" i="18" s="1"/>
  <c r="I27" i="18" s="1"/>
  <c r="G15" i="18"/>
  <c r="H15" i="18" s="1"/>
  <c r="I15" i="18" s="1"/>
  <c r="D51" i="18"/>
  <c r="H28" i="18"/>
  <c r="I28" i="18" s="1"/>
  <c r="G76" i="18"/>
  <c r="H76" i="18" s="1"/>
  <c r="I76" i="18" s="1"/>
  <c r="H16" i="18"/>
  <c r="I16" i="18" s="1"/>
  <c r="G31" i="18"/>
  <c r="H31" i="18" s="1"/>
  <c r="I31" i="18" s="1"/>
  <c r="M10" i="6"/>
  <c r="N10" i="6" s="1"/>
  <c r="H95" i="18"/>
  <c r="I95" i="18" s="1"/>
  <c r="M24" i="6"/>
  <c r="N24" i="6" s="1"/>
  <c r="M18" i="6"/>
  <c r="N18" i="6" s="1"/>
  <c r="G82" i="18"/>
  <c r="H82" i="18" s="1"/>
  <c r="I82" i="18" s="1"/>
  <c r="M8" i="6"/>
  <c r="N8" i="6" s="1"/>
  <c r="H89" i="18"/>
  <c r="I89" i="18" s="1"/>
  <c r="M23" i="6"/>
  <c r="N23" i="6" s="1"/>
  <c r="H55" i="18"/>
  <c r="I55" i="18" s="1"/>
  <c r="M17" i="6"/>
  <c r="N17" i="6" s="1"/>
  <c r="D8" i="18"/>
  <c r="E8" i="18" s="1"/>
  <c r="D7" i="18"/>
  <c r="E7" i="18" s="1"/>
  <c r="S24" i="8"/>
  <c r="G66" i="18" s="1"/>
  <c r="H66" i="18" s="1"/>
  <c r="I66" i="18" s="1"/>
  <c r="S9" i="8"/>
  <c r="G13" i="18" s="1"/>
  <c r="H13" i="18" s="1"/>
  <c r="I13" i="18" s="1"/>
  <c r="S21" i="8"/>
  <c r="G56" i="18" s="1"/>
  <c r="H56" i="18" s="1"/>
  <c r="I56" i="18" s="1"/>
  <c r="S30" i="8"/>
  <c r="G90" i="18" s="1"/>
  <c r="H90" i="18" s="1"/>
  <c r="I90" i="18" s="1"/>
  <c r="S11" i="8"/>
  <c r="G21" i="18" s="1"/>
  <c r="H21" i="18" s="1"/>
  <c r="I21" i="18" s="1"/>
  <c r="K25" i="5"/>
  <c r="M25" i="5" l="1"/>
  <c r="C50" i="18"/>
  <c r="D50" i="18" s="1"/>
  <c r="E50" i="18" s="1"/>
  <c r="C70" i="18"/>
  <c r="D70" i="18" s="1"/>
  <c r="E70" i="18" s="1"/>
  <c r="G100" i="18"/>
  <c r="H100" i="18" s="1"/>
  <c r="I100" i="18" s="1"/>
  <c r="G64" i="18"/>
  <c r="H64" i="18" s="1"/>
  <c r="I64" i="18" s="1"/>
  <c r="G19" i="18"/>
  <c r="H19" i="18" s="1"/>
  <c r="I19" i="18" s="1"/>
  <c r="G11" i="18"/>
  <c r="H11" i="18" s="1"/>
  <c r="I11" i="18" s="1"/>
  <c r="E51" i="18"/>
  <c r="E71" i="18"/>
  <c r="H51" i="18"/>
  <c r="H20" i="18"/>
  <c r="I20" i="18" s="1"/>
  <c r="G94" i="18"/>
  <c r="H94" i="18" s="1"/>
  <c r="I94" i="18" s="1"/>
  <c r="H65" i="18"/>
  <c r="I65" i="18" s="1"/>
  <c r="H12" i="18"/>
  <c r="I12" i="18" s="1"/>
  <c r="H8" i="18"/>
  <c r="I8" i="18" s="1"/>
  <c r="G54" i="18"/>
  <c r="H54" i="18" s="1"/>
  <c r="I54" i="18" s="1"/>
  <c r="G88" i="18"/>
  <c r="H88" i="18" s="1"/>
  <c r="I88" i="18" s="1"/>
  <c r="J8" i="8"/>
  <c r="I16" i="6"/>
  <c r="J20" i="8"/>
  <c r="J26" i="8" s="1"/>
  <c r="H7" i="6"/>
  <c r="I7" i="6" s="1"/>
  <c r="N25" i="5" l="1"/>
  <c r="F19" i="6"/>
  <c r="H19" i="6" s="1"/>
  <c r="I19" i="6" s="1"/>
  <c r="I51" i="18"/>
  <c r="M7" i="6"/>
  <c r="N7" i="6" s="1"/>
  <c r="S8" i="8"/>
  <c r="S20" i="8"/>
  <c r="O26" i="8"/>
  <c r="M16" i="6"/>
  <c r="G52" i="18" l="1"/>
  <c r="H52" i="18" s="1"/>
  <c r="I52" i="18" s="1"/>
  <c r="S26" i="8"/>
  <c r="G9" i="18"/>
  <c r="N16" i="6"/>
  <c r="G50" i="18" l="1"/>
  <c r="H50" i="18" s="1"/>
  <c r="I50" i="18" s="1"/>
  <c r="H9" i="18"/>
  <c r="I9" i="18" s="1"/>
  <c r="G7" i="18"/>
  <c r="H7" i="18" s="1"/>
  <c r="I7" i="18" s="1"/>
  <c r="G72" i="18"/>
  <c r="H72" i="18" s="1"/>
  <c r="I72" i="18" s="1"/>
  <c r="G45" i="18"/>
  <c r="R18" i="5"/>
  <c r="T25" i="5"/>
  <c r="V25" i="5" l="1"/>
  <c r="R25" i="5"/>
  <c r="R32" i="5" s="1"/>
  <c r="M11" i="6"/>
  <c r="N11" i="6" s="1"/>
  <c r="H45" i="18"/>
  <c r="I45" i="18" s="1"/>
  <c r="T18" i="5"/>
  <c r="G71" i="18"/>
  <c r="H71" i="18" s="1"/>
  <c r="H24" i="18"/>
  <c r="I24" i="18" s="1"/>
  <c r="W25" i="5" l="1"/>
  <c r="K19" i="6"/>
  <c r="M19" i="6" s="1"/>
  <c r="N19" i="6" s="1"/>
  <c r="V18" i="5"/>
  <c r="V32" i="5" s="1"/>
  <c r="H62" i="18"/>
  <c r="I62" i="18" s="1"/>
  <c r="G61" i="18"/>
  <c r="H61" i="18" s="1"/>
  <c r="I61" i="18" s="1"/>
  <c r="G70" i="18"/>
  <c r="H70" i="18" s="1"/>
  <c r="I70" i="18" s="1"/>
  <c r="O18" i="8"/>
  <c r="S12" i="8"/>
  <c r="T32" i="5"/>
  <c r="G25" i="18" l="1"/>
  <c r="G46" i="18" s="1"/>
  <c r="S18" i="8"/>
  <c r="S33" i="8" s="1"/>
  <c r="W32" i="5"/>
  <c r="K26" i="6"/>
  <c r="M26" i="6" s="1"/>
  <c r="N26" i="6" s="1"/>
  <c r="W18" i="5"/>
  <c r="K14" i="6"/>
  <c r="M14" i="6" s="1"/>
  <c r="N14" i="6" s="1"/>
  <c r="I71" i="18"/>
  <c r="G7" i="17"/>
  <c r="O33" i="8"/>
  <c r="G23" i="18" l="1"/>
  <c r="H23" i="18" s="1"/>
  <c r="I23" i="18" s="1"/>
  <c r="H25" i="18"/>
  <c r="I25" i="18" s="1"/>
  <c r="H46" i="18"/>
  <c r="I46" i="18" s="1"/>
  <c r="G13" i="17"/>
  <c r="G17" i="17" s="1"/>
  <c r="H7" i="17"/>
  <c r="G44" i="18" l="1"/>
  <c r="H44" i="18" s="1"/>
  <c r="I44" i="18" s="1"/>
  <c r="H13" i="17"/>
  <c r="I7" i="17"/>
  <c r="G110" i="18" l="1"/>
  <c r="H110" i="18" s="1"/>
  <c r="I110" i="18" s="1"/>
  <c r="I13" i="17"/>
  <c r="H17" i="17"/>
  <c r="I17" i="17" s="1"/>
  <c r="I18" i="5"/>
  <c r="I32" i="5" s="1"/>
  <c r="C45" i="18"/>
  <c r="C7" i="17" s="1"/>
  <c r="C13" i="17" s="1"/>
  <c r="H11" i="6" l="1"/>
  <c r="I11" i="6" s="1"/>
  <c r="J12" i="8"/>
  <c r="J18" i="8" s="1"/>
  <c r="J33" i="8" s="1"/>
  <c r="C44" i="18"/>
  <c r="C110" i="18" s="1"/>
  <c r="D45" i="18"/>
  <c r="E45" i="18" s="1"/>
  <c r="D24" i="18"/>
  <c r="E24" i="18" s="1"/>
  <c r="C23" i="18"/>
  <c r="D23" i="18" s="1"/>
  <c r="E23" i="18" s="1"/>
  <c r="M32" i="5" l="1"/>
  <c r="H14" i="6"/>
  <c r="I14" i="6" s="1"/>
  <c r="D44" i="18"/>
  <c r="E44" i="18" s="1"/>
  <c r="D110" i="18"/>
  <c r="E110" i="18" s="1"/>
  <c r="N32" i="5" l="1"/>
  <c r="F26" i="6"/>
  <c r="H26" i="6" s="1"/>
  <c r="I26" i="6" s="1"/>
  <c r="K32" i="5"/>
  <c r="D7" i="17" l="1"/>
  <c r="C17" i="17" l="1"/>
  <c r="E7" i="17"/>
  <c r="D13" i="17"/>
  <c r="D17" i="17" l="1"/>
  <c r="E17" i="17" s="1"/>
  <c r="E13" i="17"/>
  <c r="G48" i="7" l="1"/>
  <c r="K48" i="7"/>
  <c r="L48" i="7"/>
  <c r="H24" i="19" s="1"/>
  <c r="M48" i="7"/>
  <c r="N48" i="7"/>
  <c r="H25" i="19" s="1"/>
  <c r="O48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tc={44659205-F127-4293-B070-4659520267B2}</author>
  </authors>
  <commentList>
    <comment ref="A9" authorId="0" shapeId="0" xr:uid="{44659205-F127-4293-B070-4659520267B2}">
      <text>
        <t>[Threaded comment]
Your version of Excel allows you to read this threaded comment; however, any edits to it will get removed if the file is opened in a newer version of Excel. Learn more: https://go.microsoft.com/fwlink/?linkid=870924
Comment:
    Previously "Statewide Technology"</t>
      </text>
    </comment>
  </commentList>
</comments>
</file>

<file path=xl/sharedStrings.xml><?xml version="1.0" encoding="utf-8"?>
<sst xmlns="http://schemas.openxmlformats.org/spreadsheetml/2006/main" count="1086" uniqueCount="372">
  <si>
    <t>Operating Input Summary</t>
  </si>
  <si>
    <t>Proposed Non-Performance Funding</t>
  </si>
  <si>
    <t>Flat % of Base Operating</t>
  </si>
  <si>
    <t>Capital Input Summary</t>
  </si>
  <si>
    <t>Total project requests with requested state funding</t>
  </si>
  <si>
    <t>Total requested state funding</t>
  </si>
  <si>
    <t>Recommended Debt Service Funded Projects</t>
  </si>
  <si>
    <t>Number of projects</t>
  </si>
  <si>
    <t>Total project state funding</t>
  </si>
  <si>
    <t>Recommended Cash Funded Projects</t>
  </si>
  <si>
    <t>Line Item Input Summary (General Fund Only)</t>
  </si>
  <si>
    <t>Requested Line Item Funding</t>
  </si>
  <si>
    <t>Total state funding (GF)</t>
  </si>
  <si>
    <t>Recommended Line Item Funding</t>
  </si>
  <si>
    <t>Dual Credit Line Item Input Summary</t>
  </si>
  <si>
    <t>Recommended dollar amt per T+HP dual credit awarded</t>
  </si>
  <si>
    <t>Repair and Rehabilitation Input Summary</t>
  </si>
  <si>
    <t>Recommended funding % of R&amp;R Assets</t>
  </si>
  <si>
    <t>Recommended funding % of Infrastructure Assets</t>
  </si>
  <si>
    <t>Other Budget Run Notes</t>
  </si>
  <si>
    <t>OVERALL Summary</t>
  </si>
  <si>
    <t>This report outlines a summary of overall recommended funding</t>
  </si>
  <si>
    <t>Appropriation</t>
  </si>
  <si>
    <t>IHE Operating</t>
  </si>
  <si>
    <t>IHE Debt Service</t>
  </si>
  <si>
    <t>IHE Repair and Rehab</t>
  </si>
  <si>
    <t>IHE Line Items</t>
  </si>
  <si>
    <t>State Financial Aid Support</t>
  </si>
  <si>
    <t>Other Higher Ed Line Items</t>
  </si>
  <si>
    <t>TOTAL GENERAL FUND*</t>
  </si>
  <si>
    <t>State Dedicated Funds</t>
  </si>
  <si>
    <t>TOTAL DEDICATED FUNDS</t>
  </si>
  <si>
    <t>TOTAL</t>
  </si>
  <si>
    <t>* General fund totals do not include cash funded capital projects</t>
  </si>
  <si>
    <t>OVERALL Summary Detail</t>
  </si>
  <si>
    <t>This report outlines a detailed summary of overall recommended funding (general fund only)</t>
  </si>
  <si>
    <t>IUB</t>
  </si>
  <si>
    <t>Operating</t>
  </si>
  <si>
    <t>Debt Service</t>
  </si>
  <si>
    <t>Repair and Rehab</t>
  </si>
  <si>
    <t>IUE</t>
  </si>
  <si>
    <t>IUK</t>
  </si>
  <si>
    <t>IUNW</t>
  </si>
  <si>
    <t>IUPUI: GA</t>
  </si>
  <si>
    <t>IUSB</t>
  </si>
  <si>
    <t>IUSE</t>
  </si>
  <si>
    <t>IU SOMD</t>
  </si>
  <si>
    <t>IUFW</t>
  </si>
  <si>
    <t>Other IU</t>
  </si>
  <si>
    <t>Line Items</t>
  </si>
  <si>
    <t>PUWL</t>
  </si>
  <si>
    <t>PNW</t>
  </si>
  <si>
    <t>PU COVM</t>
  </si>
  <si>
    <t>PUFW</t>
  </si>
  <si>
    <t>Other PU</t>
  </si>
  <si>
    <t>BSU</t>
  </si>
  <si>
    <t>ISU</t>
  </si>
  <si>
    <t>USI</t>
  </si>
  <si>
    <t>VU</t>
  </si>
  <si>
    <t>ITCCI</t>
  </si>
  <si>
    <t>Other Higher Education Line Items</t>
  </si>
  <si>
    <t>IDOA</t>
  </si>
  <si>
    <t>SFA</t>
  </si>
  <si>
    <t>CHE</t>
  </si>
  <si>
    <t>Notes:</t>
  </si>
  <si>
    <t>IU TOTAL</t>
  </si>
  <si>
    <t>PU TOTAL</t>
  </si>
  <si>
    <t>OPERATING Total Funding</t>
  </si>
  <si>
    <t>This report outlines recommended operating funding for each institution</t>
  </si>
  <si>
    <t>PFF Adjusted Base</t>
  </si>
  <si>
    <t>Operating - Non PFF</t>
  </si>
  <si>
    <t>Oth Ops
Adjustments</t>
  </si>
  <si>
    <t>FY 2022 vs FY 2021</t>
  </si>
  <si>
    <t>Ops Funds Excluded from PFF</t>
  </si>
  <si>
    <t>PFF Base</t>
  </si>
  <si>
    <t>Flat Inc</t>
  </si>
  <si>
    <t>OPERATING IU SOMD</t>
  </si>
  <si>
    <t>This report breaks down IU SOMD's funding by location</t>
  </si>
  <si>
    <t>IU Schools of Medicine and Dentistry - Indianapolis</t>
  </si>
  <si>
    <t>IU School of Medicine - Muncie</t>
  </si>
  <si>
    <t>IU School of Medicine - Fort Wayne</t>
  </si>
  <si>
    <t>IU School of Medicine - Gary</t>
  </si>
  <si>
    <t>IU School of Medicine - Terre Haute</t>
  </si>
  <si>
    <t>IU School of Medicine - West Lafayette</t>
  </si>
  <si>
    <t>IU School of Medicine - South Bend</t>
  </si>
  <si>
    <t>IU School of Medicine - Evansville</t>
  </si>
  <si>
    <t>OPERATING Funding Per FTE</t>
  </si>
  <si>
    <t>This report outlines recommended operating funding per FTE for each institution</t>
  </si>
  <si>
    <t>Approp</t>
  </si>
  <si>
    <t>Approp FTE Adjustment</t>
  </si>
  <si>
    <t>Approx. Approp per FTE</t>
  </si>
  <si>
    <t>CAPITAL Project Requests</t>
  </si>
  <si>
    <t>Yes</t>
  </si>
  <si>
    <t>No</t>
  </si>
  <si>
    <t>Interest Rate</t>
  </si>
  <si>
    <t>This report outlines all captial projects requests with requested state funding</t>
  </si>
  <si>
    <t>Years</t>
  </si>
  <si>
    <t>Project Request</t>
  </si>
  <si>
    <t>Recommended</t>
  </si>
  <si>
    <t>Project Name</t>
  </si>
  <si>
    <t>SBA Project Number</t>
  </si>
  <si>
    <t>Priority</t>
  </si>
  <si>
    <t>Campus</t>
  </si>
  <si>
    <t>Total Project Cost</t>
  </si>
  <si>
    <t>Requested
State Funds</t>
  </si>
  <si>
    <t>Funding</t>
  </si>
  <si>
    <t>Cash</t>
  </si>
  <si>
    <t>Ball State University</t>
  </si>
  <si>
    <t>Ball State University Total</t>
  </si>
  <si>
    <t>University of Southern Indiana</t>
  </si>
  <si>
    <t>University of Southern Indiana Total</t>
  </si>
  <si>
    <t>Indiana State University</t>
  </si>
  <si>
    <t>Indiana State University Total</t>
  </si>
  <si>
    <t>Indiana University System</t>
  </si>
  <si>
    <t>Indiana University System Total</t>
  </si>
  <si>
    <t>Vincennes University</t>
  </si>
  <si>
    <t>Multi-Campus Infrastructure Upgrades</t>
  </si>
  <si>
    <t>E-1-21-2-01</t>
  </si>
  <si>
    <t>E-1-21-1-03</t>
  </si>
  <si>
    <t>Vincennes University Total</t>
  </si>
  <si>
    <t>Purdue University System</t>
  </si>
  <si>
    <t>Purdue University System Total</t>
  </si>
  <si>
    <t>Ivy Tech Community College</t>
  </si>
  <si>
    <t>Ivy Tech Community College Total</t>
  </si>
  <si>
    <t>Total</t>
  </si>
  <si>
    <t>CAPITAL Summary</t>
  </si>
  <si>
    <t>This report outlines recommended capital funding for each institution</t>
  </si>
  <si>
    <t xml:space="preserve"> Allocated Debt Service</t>
  </si>
  <si>
    <t>Debt Ratio</t>
  </si>
  <si>
    <t>Existing</t>
  </si>
  <si>
    <t>New</t>
  </si>
  <si>
    <t>CAPITAL Debt Summary</t>
  </si>
  <si>
    <t>New Debt</t>
  </si>
  <si>
    <t>Fiscal Year</t>
  </si>
  <si>
    <t>Totals</t>
  </si>
  <si>
    <t>Outstanding Debt</t>
  </si>
  <si>
    <t>LINE ITEM Requests</t>
  </si>
  <si>
    <t>This report outlines all line item appropriation requests</t>
  </si>
  <si>
    <t>* Not funded in the previous biennium</t>
  </si>
  <si>
    <t>General Fund</t>
  </si>
  <si>
    <t>Requested</t>
  </si>
  <si>
    <t xml:space="preserve">Center for Paralysis Research </t>
  </si>
  <si>
    <t xml:space="preserve">County Agriculture Extension Educators </t>
  </si>
  <si>
    <t xml:space="preserve">Animal Disease Diagnostic Lab System </t>
  </si>
  <si>
    <t xml:space="preserve">Agricultural Research and Extension - Crossroads </t>
  </si>
  <si>
    <t xml:space="preserve">Indiana Technical Assistance and Advanced Manufacturing Competitiveness Program </t>
  </si>
  <si>
    <t>Dual Credit: Purdue University System</t>
  </si>
  <si>
    <t xml:space="preserve">Abilene Network Operations Center </t>
  </si>
  <si>
    <t xml:space="preserve">Institute for the Study of Developmental Disabilities </t>
  </si>
  <si>
    <t xml:space="preserve">Geological Survey </t>
  </si>
  <si>
    <t xml:space="preserve">Spinal Cord and Head Injury Research </t>
  </si>
  <si>
    <t xml:space="preserve">I-Light Network Operations </t>
  </si>
  <si>
    <t xml:space="preserve">Indiana GigaPoP </t>
  </si>
  <si>
    <t xml:space="preserve">Clinical and Translational Science Institute </t>
  </si>
  <si>
    <t>Dual Credit: Indiana University System</t>
  </si>
  <si>
    <t xml:space="preserve">College for Sciences, Math and Humanities </t>
  </si>
  <si>
    <t xml:space="preserve">Entrepreneurial University </t>
  </si>
  <si>
    <t>Dual Credit: Ball State University</t>
  </si>
  <si>
    <t xml:space="preserve">Nursing Program </t>
  </si>
  <si>
    <t xml:space="preserve">Principal Leadership Academy </t>
  </si>
  <si>
    <t xml:space="preserve">Degree Link </t>
  </si>
  <si>
    <t>Dual Credit: Indiana State University</t>
  </si>
  <si>
    <t xml:space="preserve">Historic New Harmony </t>
  </si>
  <si>
    <t>Dual Credit: University of Southern Indiana</t>
  </si>
  <si>
    <t xml:space="preserve">Testing Centers </t>
  </si>
  <si>
    <t xml:space="preserve">Statewide Nursing </t>
  </si>
  <si>
    <t xml:space="preserve">Indiana Rural Education Initiative </t>
  </si>
  <si>
    <t>Dual Credit: Ivy Tech Community College</t>
  </si>
  <si>
    <t xml:space="preserve">Career and Technical Early College Program </t>
  </si>
  <si>
    <t>Dual Credit: Vincennes University</t>
  </si>
  <si>
    <t>Student Financial Aid</t>
  </si>
  <si>
    <t xml:space="preserve">Statutory Fee Remission (CVO Program) </t>
  </si>
  <si>
    <t xml:space="preserve">High Need Student Teaching Stipend </t>
  </si>
  <si>
    <t xml:space="preserve">National Guard Scholarship </t>
  </si>
  <si>
    <t xml:space="preserve">Minority Teacher Scholarship </t>
  </si>
  <si>
    <t xml:space="preserve">Minority Student Teaching Stipend </t>
  </si>
  <si>
    <t xml:space="preserve">Primary Care Shortage Area Scholarship </t>
  </si>
  <si>
    <t xml:space="preserve">EARN Indiana </t>
  </si>
  <si>
    <t xml:space="preserve">Adult Student Grant </t>
  </si>
  <si>
    <t xml:space="preserve">Freedom of Choice Grants </t>
  </si>
  <si>
    <t xml:space="preserve">Higher Education Award Program </t>
  </si>
  <si>
    <t xml:space="preserve">21st Century Scholars Awards </t>
  </si>
  <si>
    <t xml:space="preserve">Next Generation Hoosier Educators </t>
  </si>
  <si>
    <t>High Value Workforce Ready Grant *</t>
  </si>
  <si>
    <t>Student Financial Aid Total</t>
  </si>
  <si>
    <t>Indiana Department of Administration</t>
  </si>
  <si>
    <t xml:space="preserve">Columbus Learning Center Lease Program </t>
  </si>
  <si>
    <t>Indiana Department of Administration Total</t>
  </si>
  <si>
    <t>Indiana Medical Education Board</t>
  </si>
  <si>
    <t xml:space="preserve">Indiana Medical Education Board </t>
  </si>
  <si>
    <t>Indiana Medical Education Board Total</t>
  </si>
  <si>
    <t>Commission for Higher Education</t>
  </si>
  <si>
    <t xml:space="preserve">Commission for Higher Education </t>
  </si>
  <si>
    <t xml:space="preserve">Midwest Higher Education Commission </t>
  </si>
  <si>
    <t xml:space="preserve">STEM Teacher Recruitment Fund </t>
  </si>
  <si>
    <t xml:space="preserve">Graduate Education Medical Board </t>
  </si>
  <si>
    <t>Commission for Higher Education Total</t>
  </si>
  <si>
    <t>TOTAL INSTITUTION LINE ITEMS</t>
  </si>
  <si>
    <t>TOTAL OTHER HIGHER EDUCATION LINE ITEMS</t>
  </si>
  <si>
    <t>ALL LINE ITEMS</t>
  </si>
  <si>
    <t>LINE ITEM Dual Credit</t>
  </si>
  <si>
    <t>This report outlines recommended dual credit line item funding</t>
  </si>
  <si>
    <t>Per Credit Value</t>
  </si>
  <si>
    <t>Credits awarded represent total dual credit Technical + High Priority credits earned from institutions by high school students taking off-campus dual credit courses in the 2016-17 school year.</t>
  </si>
  <si>
    <t>LINE ITEM Summary</t>
  </si>
  <si>
    <t>This report outlines all recommended line item funding</t>
  </si>
  <si>
    <t>IU</t>
  </si>
  <si>
    <t>PU</t>
  </si>
  <si>
    <t>INSTITUTION TOTAL</t>
  </si>
  <si>
    <t>MED BOARD</t>
  </si>
  <si>
    <t>OTHER HIGHER ED TOTAL</t>
  </si>
  <si>
    <t>R&amp;R Funding</t>
  </si>
  <si>
    <t>This report outlines recommended repair and rehabilitation funding</t>
  </si>
  <si>
    <t>R&amp;R Asset Total</t>
  </si>
  <si>
    <t>Infrastructure Asset Total</t>
  </si>
  <si>
    <t>R&amp;R</t>
  </si>
  <si>
    <t>Infrastructure</t>
  </si>
  <si>
    <t>FY 2025</t>
  </si>
  <si>
    <t>IU Bloomington</t>
  </si>
  <si>
    <t>Terre Haute Restructure</t>
  </si>
  <si>
    <t>Purdue Polytechnic Statewide</t>
  </si>
  <si>
    <t>Funding Totals</t>
  </si>
  <si>
    <t>Base Adjustment</t>
  </si>
  <si>
    <t>Prospective Model</t>
  </si>
  <si>
    <r>
      <t xml:space="preserve">Proposed Performance Funding - </t>
    </r>
    <r>
      <rPr>
        <b/>
        <sz val="11"/>
        <color theme="1"/>
        <rFont val="Calibri"/>
        <family val="2"/>
        <scheme val="minor"/>
      </rPr>
      <t>Prospective</t>
    </r>
  </si>
  <si>
    <t>Total NEW Funding</t>
  </si>
  <si>
    <t>Base Inc</t>
  </si>
  <si>
    <t>Debt Srvc in Yr 1?</t>
  </si>
  <si>
    <t>Teacher Residency Grant Pilot Program</t>
  </si>
  <si>
    <t>PUI</t>
  </si>
  <si>
    <t>Early College Bridge Program</t>
  </si>
  <si>
    <t xml:space="preserve">Next Generation Minority Educator Scholarship </t>
  </si>
  <si>
    <t>Count of Funded Projects</t>
  </si>
  <si>
    <t xml:space="preserve"> </t>
  </si>
  <si>
    <t>IU Total</t>
  </si>
  <si>
    <t>PU Total</t>
  </si>
  <si>
    <t>College Success Program</t>
  </si>
  <si>
    <t>Martin University</t>
  </si>
  <si>
    <t>2022-2023 T+HP Credit Awarded</t>
  </si>
  <si>
    <t>FY 2026 vs FY 2025</t>
  </si>
  <si>
    <t>FY 2026</t>
  </si>
  <si>
    <t>FY 2027</t>
  </si>
  <si>
    <t>FY 2027 vs FY 2025</t>
  </si>
  <si>
    <t>FY 2025 Funding</t>
  </si>
  <si>
    <t>Bracken Learning Commons</t>
  </si>
  <si>
    <t>D-1-25-2-01</t>
  </si>
  <si>
    <t>Muncie</t>
  </si>
  <si>
    <t>Campus Infrastructure Improvements</t>
  </si>
  <si>
    <t>D-1-25-2-02</t>
  </si>
  <si>
    <t>Prev Requested by Institution?</t>
  </si>
  <si>
    <t>Academic Renovation Phase III</t>
  </si>
  <si>
    <t>G-0-27-2-01</t>
  </si>
  <si>
    <t>G-0-27-2-02</t>
  </si>
  <si>
    <t>Evansville</t>
  </si>
  <si>
    <t>Holmstedt Hall Renovation</t>
  </si>
  <si>
    <t>C-1-25-2-01</t>
  </si>
  <si>
    <t>Root Hall Renovation</t>
  </si>
  <si>
    <t>C-1-25-2-02</t>
  </si>
  <si>
    <t>Terre Haute</t>
  </si>
  <si>
    <t>Biology Building Renovation and Utility Upgrades</t>
  </si>
  <si>
    <t>A-1-25-2-08</t>
  </si>
  <si>
    <t>Bloomington</t>
  </si>
  <si>
    <t>Central Acaemic Campus Infrastructure Renovation Phase 1</t>
  </si>
  <si>
    <t>A-2-25-2-09</t>
  </si>
  <si>
    <t>Indianapolis</t>
  </si>
  <si>
    <t>Regional Campus Renovation Projects</t>
  </si>
  <si>
    <t>A-0-25-2-02</t>
  </si>
  <si>
    <t>Regional</t>
  </si>
  <si>
    <t>Science lab Addition Phase III</t>
  </si>
  <si>
    <t>A-2-25-1-11</t>
  </si>
  <si>
    <t>Health Sciences Building</t>
  </si>
  <si>
    <t>A-2-25-1-12</t>
  </si>
  <si>
    <t>Fort Wayne</t>
  </si>
  <si>
    <t>Science Learning Initiative Phase III</t>
  </si>
  <si>
    <t>A-1-25-1-23</t>
  </si>
  <si>
    <t>Vincennes</t>
  </si>
  <si>
    <t>Interdisciplinary Life Sciences Research Building</t>
  </si>
  <si>
    <t>B-1-25-1-08</t>
  </si>
  <si>
    <t>Student Union and Library Renovation</t>
  </si>
  <si>
    <t>West Lafayette</t>
  </si>
  <si>
    <t>B-7-25-2-09</t>
  </si>
  <si>
    <t>Hammond</t>
  </si>
  <si>
    <t>F-0-25-2-25</t>
  </si>
  <si>
    <t>Evansville Restructure</t>
  </si>
  <si>
    <t>Michigan City Restructure</t>
  </si>
  <si>
    <t>F-0-25-1-25</t>
  </si>
  <si>
    <t>Michigan City</t>
  </si>
  <si>
    <t>Automotive and Welding Technology Center</t>
  </si>
  <si>
    <t>Yes/No</t>
  </si>
  <si>
    <t>Biennium</t>
  </si>
  <si>
    <t>Biennial Funding</t>
  </si>
  <si>
    <t>FY2026</t>
  </si>
  <si>
    <t>FY2027</t>
  </si>
  <si>
    <t>Combined Potential Funding</t>
  </si>
  <si>
    <t>FY 2026 vs FY 2025 Combined</t>
  </si>
  <si>
    <t>New Debt Starting in FY 2026</t>
  </si>
  <si>
    <t>New Debt Starting in FY 2027</t>
  </si>
  <si>
    <t>Academic Renovation Phase II</t>
  </si>
  <si>
    <t>Line Item Conslidatoin</t>
  </si>
  <si>
    <t>FY 2025 Funding 
$ 50.00</t>
  </si>
  <si>
    <r>
      <t xml:space="preserve">Helping Indiana Thrive </t>
    </r>
    <r>
      <rPr>
        <b/>
        <sz val="11"/>
        <color theme="1"/>
        <rFont val="Calibri"/>
        <family val="2"/>
        <scheme val="minor"/>
      </rPr>
      <t>*NEW*</t>
    </r>
  </si>
  <si>
    <r>
      <t xml:space="preserve">Center for Applied Business Technologies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</si>
  <si>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Free Summer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</si>
  <si>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Innovates </t>
    </r>
    <r>
      <rPr>
        <b/>
        <sz val="11"/>
        <color theme="1"/>
        <rFont val="Calibri"/>
        <family val="2"/>
        <scheme val="minor"/>
      </rPr>
      <t>*NEW*</t>
    </r>
  </si>
  <si>
    <r>
      <t xml:space="preserve">IU Public Safety </t>
    </r>
    <r>
      <rPr>
        <b/>
        <sz val="11"/>
        <color theme="1"/>
        <rFont val="Calibri"/>
        <family val="2"/>
        <scheme val="minor"/>
      </rPr>
      <t>*NEW*</t>
    </r>
  </si>
  <si>
    <t>FY 2026 Appropriation</t>
  </si>
  <si>
    <t>FY 2025 Appropriation</t>
  </si>
  <si>
    <t>Prospecitve Line Item</t>
  </si>
  <si>
    <t>Adjustment (OBPF excluded)</t>
  </si>
  <si>
    <t>FY 2026 vs 2025</t>
  </si>
  <si>
    <t>FY 2027 vs 2025</t>
  </si>
  <si>
    <t>2022-23 Resident FTE</t>
  </si>
  <si>
    <t>SEI</t>
  </si>
  <si>
    <t>Metric</t>
  </si>
  <si>
    <t>Base Year</t>
  </si>
  <si>
    <t>Goal Year</t>
  </si>
  <si>
    <t>% Change</t>
  </si>
  <si>
    <t>Weighting</t>
  </si>
  <si>
    <t>Ball State</t>
  </si>
  <si>
    <t>Low-Income Youth Enrollment</t>
  </si>
  <si>
    <t>Adult Enrollment</t>
  </si>
  <si>
    <t>On-Time Completion</t>
  </si>
  <si>
    <t>Overall Completion</t>
  </si>
  <si>
    <t>Low-Income Completion</t>
  </si>
  <si>
    <t>Adult Completion</t>
  </si>
  <si>
    <t>STEM Completion</t>
  </si>
  <si>
    <t>Graduate Retention</t>
  </si>
  <si>
    <t>Indiana State</t>
  </si>
  <si>
    <t>Research (000's)</t>
  </si>
  <si>
    <t>IU East</t>
  </si>
  <si>
    <t>IU Indianapolis</t>
  </si>
  <si>
    <t>IU Kokomo</t>
  </si>
  <si>
    <t>IU Northwest</t>
  </si>
  <si>
    <t>IU South Bend</t>
  </si>
  <si>
    <t>IU Southeast</t>
  </si>
  <si>
    <t>PU Fort Wayne</t>
  </si>
  <si>
    <t>IPFW</t>
  </si>
  <si>
    <t>PU Northwest</t>
  </si>
  <si>
    <t>PU West Lafayette</t>
  </si>
  <si>
    <t>Overall Completion - Industry Certifications</t>
  </si>
  <si>
    <t>Overall Completion - &lt;30 credit Certificates</t>
  </si>
  <si>
    <t>Overall Completion - &gt;30 credit  Certificates</t>
  </si>
  <si>
    <t>Overall Completion - Associate</t>
  </si>
  <si>
    <t>FY26 Funding</t>
  </si>
  <si>
    <t>FY27 Funding</t>
  </si>
  <si>
    <t>IUI</t>
  </si>
  <si>
    <t>This report outlines outstanding debt (and interest) including recommended new projects (Fee replacement debt ONLY)</t>
  </si>
  <si>
    <t>% Change from FY 2025</t>
  </si>
  <si>
    <t>FY 2027 vs FY 2025 Combined</t>
  </si>
  <si>
    <t>FY 2026 vs 
FY 2025</t>
  </si>
  <si>
    <t>FY 2027 vs 
FY 2025</t>
  </si>
  <si>
    <t>Consolidate</t>
  </si>
  <si>
    <t>FY 2025 Base (Paid)</t>
  </si>
  <si>
    <t>$ Change from FY 2025</t>
  </si>
  <si>
    <t>Biennial T+HP $ per Credit Hour</t>
  </si>
  <si>
    <t>Recommended Funding</t>
  </si>
  <si>
    <t>Funding Increase (or decrease)</t>
  </si>
  <si>
    <t>Net Change</t>
  </si>
  <si>
    <t>Total funding per year - FY26</t>
  </si>
  <si>
    <t>Total funding per year - FY27</t>
  </si>
  <si>
    <t>Perkins State Mtch (Tfr from GWC)</t>
  </si>
  <si>
    <t>FY 2025 Appropriation (+OBPF Earned)</t>
  </si>
  <si>
    <t xml:space="preserve">Career Coaching Grant Fund </t>
  </si>
  <si>
    <t>Promoted Industry Certifications (CTE)</t>
  </si>
  <si>
    <t>$ Change From FY 2025</t>
  </si>
  <si>
    <t>Institute for Workforce Excellence/Institute for Indiana INTERNET</t>
  </si>
  <si>
    <r>
      <t>Public Service Attorney Scholarship *</t>
    </r>
    <r>
      <rPr>
        <b/>
        <sz val="11"/>
        <color theme="1"/>
        <rFont val="Calibri"/>
        <family val="2"/>
        <scheme val="minor"/>
      </rPr>
      <t>NEW</t>
    </r>
    <r>
      <rPr>
        <sz val="11"/>
        <color theme="1"/>
        <rFont val="Calibri"/>
        <family val="2"/>
        <scheme val="minor"/>
      </rPr>
      <t xml:space="preserve">* </t>
    </r>
  </si>
  <si>
    <t>Note: Resident FTE includes undergraduate and graduate</t>
  </si>
  <si>
    <t>IUI and PWL FTE reflect historical separation of students at each campus based on ProgramID in CHEDSS</t>
  </si>
  <si>
    <t xml:space="preserve">FY26: Equal to FY25 Operating Appropriation (including performance funding earned in FY25)
FY27: Equal to FY25 Operating Appropriation (including performance funding earned in FY25)
Consolidate PUI operating line item with PUWL
Transfer Purdue’s $5M ADDL line to Board of Animal Health
Dual Credit = $45 per credit hour
0.525% R&amp;R Over Biennium
NEW $1M/year IU Innovates line item
NEW $1M/year Public Service Attorney Scholarship 
Transfer of Career Coaching Grant from DOE to CHE
5% reduction to CHE Operating Fund
Expiration of Martin &amp; College Success Grants ($5M total)
No new capital funding
Transfer Graduate Medical Education Board to Pokagon Compact
Transfer Medical Education Board to Pokagon Compact
Elimination of STEM Teacher Recruitment ($5M)
Reduction of Perkins State match by $244,000 (transfer from GWC)
Transfer Primary Cary Scholarship to Pokagon Compact
Transfer Industry Certification Exam Grants from GWC
IUI &amp; IUSOM debt service separated to mirror FY25
"Operating" includes entire OBPF line item throughout
</t>
  </si>
  <si>
    <t>House Passed</t>
  </si>
  <si>
    <t>Run Date: February 20,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</si>
</sst>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\ %"/>
    <numFmt numFmtId="165" formatCode="0.0%"/>
    <numFmt numFmtId="166" formatCode="\$\ #,##0.00"/>
    <numFmt numFmtId="167" formatCode="\$\ #,##0"/>
    <numFmt numFmtId="168" formatCode="_(* #,##0_);_(* \(#,##0\);_(* &quot;-&quot;??_);_(@_)"/>
    <numFmt numFmtId="169" formatCode="\$#,##0"/>
    <numFmt numFmtId="170" formatCode="_(&quot;$&quot;* #,##0_);_(&quot;$&quot;* \(#,##0\);_(&quot;$&quot;* &quot;-&quot;??_);_(@_)"/>
    <numFmt numFmtId="171" formatCode="&quot;$&quot;#,##0"/>
    <numFmt numFmtId="172" formatCode="#,##0.00000000"/>
    <numFmt numFmtId="173" formatCode="0.0\ %"/>
    <numFmt numFmtId="174" formatCode="0.000%"/>
  </numFmts>
  <fonts count="1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DCDC"/>
      </patternFill>
    </fill>
    <fill>
      <patternFill patternType="solid">
        <fgColor rgb="FF00CED1"/>
      </patternFill>
    </fill>
    <fill>
      <patternFill patternType="solid">
        <fgColor rgb="FF7FFFD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592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166" fontId="0" fillId="0" borderId="0" xfId="0" applyNumberFormat="1"/>
    <xf numFmtId="164" fontId="0" fillId="0" borderId="0" xfId="0" applyNumberFormat="1"/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4" borderId="2" xfId="0" applyFill="1" applyBorder="1"/>
    <xf numFmtId="166" fontId="4" fillId="3" borderId="7" xfId="0" applyNumberFormat="1" applyFont="1" applyFill="1" applyBorder="1" applyAlignment="1">
      <alignment horizontal="center" vertical="center" wrapText="1"/>
    </xf>
    <xf numFmtId="166" fontId="4" fillId="3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0" fontId="0" fillId="4" borderId="10" xfId="0" applyFill="1" applyBorder="1"/>
    <xf numFmtId="0" fontId="0" fillId="0" borderId="3" xfId="0" applyBorder="1" applyAlignment="1">
      <alignment vertical="center"/>
    </xf>
    <xf numFmtId="167" fontId="0" fillId="0" borderId="10" xfId="0" applyNumberFormat="1" applyBorder="1" applyAlignment="1">
      <alignment vertical="center"/>
    </xf>
    <xf numFmtId="167" fontId="0" fillId="0" borderId="11" xfId="0" applyNumberFormat="1" applyBorder="1" applyAlignment="1">
      <alignment vertical="center"/>
    </xf>
    <xf numFmtId="167" fontId="0" fillId="0" borderId="12" xfId="0" applyNumberFormat="1" applyBorder="1" applyAlignment="1">
      <alignment vertical="center"/>
    </xf>
    <xf numFmtId="164" fontId="0" fillId="0" borderId="13" xfId="0" applyNumberFormat="1" applyBorder="1" applyAlignment="1">
      <alignment horizontal="center" vertical="center"/>
    </xf>
    <xf numFmtId="166" fontId="0" fillId="4" borderId="10" xfId="0" applyNumberFormat="1" applyFill="1" applyBorder="1" applyAlignment="1">
      <alignment vertical="center"/>
    </xf>
    <xf numFmtId="4" fontId="0" fillId="0" borderId="0" xfId="0" applyNumberFormat="1"/>
    <xf numFmtId="0" fontId="0" fillId="0" borderId="14" xfId="0" applyBorder="1" applyAlignment="1">
      <alignment vertical="center"/>
    </xf>
    <xf numFmtId="0" fontId="4" fillId="0" borderId="15" xfId="0" applyFont="1" applyBorder="1" applyAlignment="1">
      <alignment vertical="center"/>
    </xf>
    <xf numFmtId="167" fontId="4" fillId="0" borderId="16" xfId="0" applyNumberFormat="1" applyFont="1" applyBorder="1" applyAlignment="1">
      <alignment vertical="center"/>
    </xf>
    <xf numFmtId="167" fontId="4" fillId="0" borderId="17" xfId="0" applyNumberFormat="1" applyFont="1" applyBorder="1" applyAlignment="1">
      <alignment vertical="center"/>
    </xf>
    <xf numFmtId="167" fontId="4" fillId="0" borderId="18" xfId="0" applyNumberFormat="1" applyFont="1" applyBorder="1" applyAlignment="1">
      <alignment vertical="center"/>
    </xf>
    <xf numFmtId="164" fontId="4" fillId="0" borderId="19" xfId="0" applyNumberFormat="1" applyFont="1" applyBorder="1" applyAlignment="1">
      <alignment horizontal="center" vertical="center"/>
    </xf>
    <xf numFmtId="166" fontId="4" fillId="4" borderId="16" xfId="0" applyNumberFormat="1" applyFont="1" applyFill="1" applyBorder="1" applyAlignment="1">
      <alignment vertical="center"/>
    </xf>
    <xf numFmtId="0" fontId="4" fillId="4" borderId="14" xfId="0" applyFont="1" applyFill="1" applyBorder="1" applyAlignment="1">
      <alignment vertical="center"/>
    </xf>
    <xf numFmtId="167" fontId="0" fillId="4" borderId="10" xfId="0" applyNumberFormat="1" applyFill="1" applyBorder="1" applyAlignment="1">
      <alignment vertical="center"/>
    </xf>
    <xf numFmtId="167" fontId="0" fillId="4" borderId="11" xfId="0" applyNumberFormat="1" applyFill="1" applyBorder="1" applyAlignment="1">
      <alignment vertical="center"/>
    </xf>
    <xf numFmtId="167" fontId="0" fillId="4" borderId="12" xfId="0" applyNumberFormat="1" applyFill="1" applyBorder="1" applyAlignment="1">
      <alignment vertical="center"/>
    </xf>
    <xf numFmtId="164" fontId="0" fillId="4" borderId="13" xfId="0" applyNumberFormat="1" applyFill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67" fontId="4" fillId="0" borderId="21" xfId="0" applyNumberFormat="1" applyFont="1" applyBorder="1" applyAlignment="1">
      <alignment vertical="center"/>
    </xf>
    <xf numFmtId="167" fontId="4" fillId="0" borderId="22" xfId="0" applyNumberFormat="1" applyFont="1" applyBorder="1" applyAlignment="1">
      <alignment vertical="center"/>
    </xf>
    <xf numFmtId="167" fontId="4" fillId="0" borderId="23" xfId="0" applyNumberFormat="1" applyFont="1" applyBorder="1" applyAlignment="1">
      <alignment vertical="center"/>
    </xf>
    <xf numFmtId="164" fontId="4" fillId="0" borderId="24" xfId="0" applyNumberFormat="1" applyFont="1" applyBorder="1" applyAlignment="1">
      <alignment horizontal="center" vertical="center"/>
    </xf>
    <xf numFmtId="166" fontId="4" fillId="4" borderId="21" xfId="0" applyNumberFormat="1" applyFont="1" applyFill="1" applyBorder="1" applyAlignment="1">
      <alignment vertical="center"/>
    </xf>
    <xf numFmtId="0" fontId="4" fillId="2" borderId="25" xfId="0" applyFont="1" applyFill="1" applyBorder="1" applyAlignment="1">
      <alignment vertical="center"/>
    </xf>
    <xf numFmtId="167" fontId="4" fillId="2" borderId="26" xfId="0" applyNumberFormat="1" applyFont="1" applyFill="1" applyBorder="1" applyAlignment="1">
      <alignment vertical="center"/>
    </xf>
    <xf numFmtId="167" fontId="4" fillId="2" borderId="7" xfId="0" applyNumberFormat="1" applyFont="1" applyFill="1" applyBorder="1" applyAlignment="1">
      <alignment vertical="center"/>
    </xf>
    <xf numFmtId="167" fontId="4" fillId="2" borderId="8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horizontal="center" vertical="center"/>
    </xf>
    <xf numFmtId="166" fontId="4" fillId="4" borderId="26" xfId="0" applyNumberFormat="1" applyFont="1" applyFill="1" applyBorder="1" applyAlignment="1">
      <alignment vertical="center"/>
    </xf>
    <xf numFmtId="166" fontId="4" fillId="3" borderId="30" xfId="0" applyNumberFormat="1" applyFont="1" applyFill="1" applyBorder="1" applyAlignment="1">
      <alignment horizontal="center" vertical="center" wrapText="1"/>
    </xf>
    <xf numFmtId="166" fontId="4" fillId="3" borderId="12" xfId="0" applyNumberFormat="1" applyFont="1" applyFill="1" applyBorder="1" applyAlignment="1">
      <alignment horizontal="center" vertical="center" wrapText="1"/>
    </xf>
    <xf numFmtId="167" fontId="4" fillId="3" borderId="31" xfId="0" applyNumberFormat="1" applyFont="1" applyFill="1" applyBorder="1" applyAlignment="1">
      <alignment horizontal="center" vertical="center" wrapText="1"/>
    </xf>
    <xf numFmtId="167" fontId="4" fillId="3" borderId="32" xfId="0" applyNumberFormat="1" applyFont="1" applyFill="1" applyBorder="1" applyAlignment="1">
      <alignment horizontal="center" vertical="center" wrapText="1"/>
    </xf>
    <xf numFmtId="0" fontId="4" fillId="0" borderId="3" xfId="0" applyFont="1" applyBorder="1"/>
    <xf numFmtId="167" fontId="4" fillId="0" borderId="2" xfId="0" applyNumberFormat="1" applyFont="1" applyBorder="1" applyAlignment="1">
      <alignment vertical="center"/>
    </xf>
    <xf numFmtId="167" fontId="4" fillId="0" borderId="32" xfId="0" applyNumberFormat="1" applyFont="1" applyBorder="1" applyAlignment="1">
      <alignment vertical="center"/>
    </xf>
    <xf numFmtId="167" fontId="4" fillId="0" borderId="33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 vertical="center"/>
    </xf>
    <xf numFmtId="166" fontId="4" fillId="4" borderId="2" xfId="0" applyNumberFormat="1" applyFont="1" applyFill="1" applyBorder="1" applyAlignment="1">
      <alignment vertical="center"/>
    </xf>
    <xf numFmtId="167" fontId="4" fillId="0" borderId="31" xfId="0" applyNumberFormat="1" applyFont="1" applyBorder="1" applyAlignment="1">
      <alignment vertical="center"/>
    </xf>
    <xf numFmtId="0" fontId="0" fillId="0" borderId="14" xfId="0" applyBorder="1" applyAlignment="1">
      <alignment horizontal="left" indent="3"/>
    </xf>
    <xf numFmtId="167" fontId="0" fillId="0" borderId="10" xfId="0" applyNumberFormat="1" applyBorder="1"/>
    <xf numFmtId="167" fontId="0" fillId="0" borderId="30" xfId="0" applyNumberFormat="1" applyBorder="1"/>
    <xf numFmtId="164" fontId="0" fillId="0" borderId="34" xfId="0" applyNumberFormat="1" applyBorder="1" applyAlignment="1">
      <alignment horizontal="center" vertical="center"/>
    </xf>
    <xf numFmtId="167" fontId="0" fillId="0" borderId="11" xfId="0" applyNumberFormat="1" applyBorder="1"/>
    <xf numFmtId="0" fontId="4" fillId="2" borderId="15" xfId="0" applyFont="1" applyFill="1" applyBorder="1"/>
    <xf numFmtId="167" fontId="4" fillId="2" borderId="35" xfId="0" applyNumberFormat="1" applyFont="1" applyFill="1" applyBorder="1" applyAlignment="1">
      <alignment vertical="center"/>
    </xf>
    <xf numFmtId="167" fontId="4" fillId="2" borderId="18" xfId="0" applyNumberFormat="1" applyFont="1" applyFill="1" applyBorder="1" applyAlignment="1">
      <alignment vertical="center"/>
    </xf>
    <xf numFmtId="164" fontId="4" fillId="2" borderId="36" xfId="0" applyNumberFormat="1" applyFont="1" applyFill="1" applyBorder="1" applyAlignment="1">
      <alignment horizontal="center" vertical="center"/>
    </xf>
    <xf numFmtId="167" fontId="4" fillId="2" borderId="17" xfId="0" applyNumberFormat="1" applyFont="1" applyFill="1" applyBorder="1" applyAlignment="1">
      <alignment vertical="center"/>
    </xf>
    <xf numFmtId="0" fontId="0" fillId="2" borderId="14" xfId="0" applyFill="1" applyBorder="1" applyAlignment="1">
      <alignment horizontal="left" indent="3"/>
    </xf>
    <xf numFmtId="167" fontId="0" fillId="2" borderId="30" xfId="0" applyNumberFormat="1" applyFill="1" applyBorder="1"/>
    <xf numFmtId="167" fontId="0" fillId="2" borderId="12" xfId="0" applyNumberFormat="1" applyFill="1" applyBorder="1" applyAlignment="1">
      <alignment vertical="center"/>
    </xf>
    <xf numFmtId="164" fontId="0" fillId="2" borderId="34" xfId="0" applyNumberFormat="1" applyFill="1" applyBorder="1" applyAlignment="1">
      <alignment horizontal="center" vertical="center"/>
    </xf>
    <xf numFmtId="164" fontId="0" fillId="2" borderId="13" xfId="0" applyNumberFormat="1" applyFill="1" applyBorder="1" applyAlignment="1">
      <alignment horizontal="center" vertical="center"/>
    </xf>
    <xf numFmtId="0" fontId="0" fillId="4" borderId="25" xfId="0" applyFill="1" applyBorder="1"/>
    <xf numFmtId="167" fontId="0" fillId="4" borderId="26" xfId="0" applyNumberFormat="1" applyFill="1" applyBorder="1"/>
    <xf numFmtId="167" fontId="0" fillId="4" borderId="28" xfId="0" applyNumberFormat="1" applyFill="1" applyBorder="1"/>
    <xf numFmtId="164" fontId="0" fillId="4" borderId="28" xfId="0" applyNumberFormat="1" applyFill="1" applyBorder="1"/>
    <xf numFmtId="0" fontId="0" fillId="4" borderId="28" xfId="0" applyFill="1" applyBorder="1"/>
    <xf numFmtId="164" fontId="0" fillId="4" borderId="9" xfId="0" applyNumberFormat="1" applyFill="1" applyBorder="1"/>
    <xf numFmtId="167" fontId="0" fillId="2" borderId="11" xfId="0" applyNumberFormat="1" applyFill="1" applyBorder="1"/>
    <xf numFmtId="0" fontId="0" fillId="0" borderId="29" xfId="0" applyBorder="1" applyAlignment="1">
      <alignment horizontal="left" indent="3"/>
    </xf>
    <xf numFmtId="167" fontId="0" fillId="0" borderId="6" xfId="0" applyNumberFormat="1" applyBorder="1"/>
    <xf numFmtId="167" fontId="0" fillId="0" borderId="38" xfId="0" applyNumberFormat="1" applyBorder="1" applyAlignment="1">
      <alignment vertical="center"/>
    </xf>
    <xf numFmtId="164" fontId="0" fillId="0" borderId="39" xfId="0" applyNumberFormat="1" applyBorder="1" applyAlignment="1">
      <alignment horizontal="center" vertical="center"/>
    </xf>
    <xf numFmtId="0" fontId="0" fillId="4" borderId="6" xfId="0" applyFill="1" applyBorder="1"/>
    <xf numFmtId="0" fontId="4" fillId="2" borderId="26" xfId="0" applyFont="1" applyFill="1" applyBorder="1" applyAlignment="1">
      <alignment horizontal="left"/>
    </xf>
    <xf numFmtId="167" fontId="4" fillId="2" borderId="6" xfId="0" applyNumberFormat="1" applyFont="1" applyFill="1" applyBorder="1"/>
    <xf numFmtId="167" fontId="4" fillId="2" borderId="7" xfId="0" applyNumberFormat="1" applyFont="1" applyFill="1" applyBorder="1"/>
    <xf numFmtId="167" fontId="4" fillId="2" borderId="37" xfId="0" applyNumberFormat="1" applyFont="1" applyFill="1" applyBorder="1" applyAlignment="1">
      <alignment vertical="center"/>
    </xf>
    <xf numFmtId="164" fontId="4" fillId="2" borderId="39" xfId="0" applyNumberFormat="1" applyFont="1" applyFill="1" applyBorder="1" applyAlignment="1">
      <alignment horizontal="center" vertical="center"/>
    </xf>
    <xf numFmtId="0" fontId="4" fillId="4" borderId="6" xfId="0" applyFont="1" applyFill="1" applyBorder="1"/>
    <xf numFmtId="167" fontId="0" fillId="0" borderId="0" xfId="0" applyNumberFormat="1"/>
    <xf numFmtId="0" fontId="0" fillId="0" borderId="39" xfId="0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164" fontId="0" fillId="0" borderId="5" xfId="0" applyNumberFormat="1" applyBorder="1" applyAlignment="1">
      <alignment horizontal="center"/>
    </xf>
    <xf numFmtId="167" fontId="0" fillId="0" borderId="12" xfId="0" applyNumberFormat="1" applyBorder="1"/>
    <xf numFmtId="164" fontId="0" fillId="0" borderId="13" xfId="0" applyNumberFormat="1" applyBorder="1" applyAlignment="1">
      <alignment horizontal="center"/>
    </xf>
    <xf numFmtId="167" fontId="4" fillId="0" borderId="22" xfId="0" applyNumberFormat="1" applyFont="1" applyBorder="1"/>
    <xf numFmtId="164" fontId="4" fillId="0" borderId="24" xfId="0" applyNumberFormat="1" applyFont="1" applyBorder="1" applyAlignment="1">
      <alignment horizontal="center"/>
    </xf>
    <xf numFmtId="0" fontId="0" fillId="0" borderId="4" xfId="0" applyBorder="1"/>
    <xf numFmtId="0" fontId="4" fillId="9" borderId="48" xfId="0" applyFont="1" applyFill="1" applyBorder="1" applyAlignment="1">
      <alignment horizontal="center"/>
    </xf>
    <xf numFmtId="164" fontId="4" fillId="9" borderId="40" xfId="0" applyNumberFormat="1" applyFont="1" applyFill="1" applyBorder="1" applyAlignment="1">
      <alignment horizontal="center" vertical="top"/>
    </xf>
    <xf numFmtId="0" fontId="0" fillId="0" borderId="3" xfId="0" applyBorder="1"/>
    <xf numFmtId="167" fontId="0" fillId="0" borderId="2" xfId="0" applyNumberFormat="1" applyBorder="1"/>
    <xf numFmtId="167" fontId="0" fillId="0" borderId="13" xfId="0" applyNumberFormat="1" applyBorder="1"/>
    <xf numFmtId="165" fontId="0" fillId="0" borderId="13" xfId="1" applyNumberFormat="1" applyFont="1" applyFill="1" applyBorder="1" applyAlignment="1" applyProtection="1">
      <alignment horizontal="center"/>
    </xf>
    <xf numFmtId="167" fontId="0" fillId="4" borderId="10" xfId="0" applyNumberFormat="1" applyFill="1" applyBorder="1"/>
    <xf numFmtId="0" fontId="0" fillId="0" borderId="14" xfId="0" applyBorder="1"/>
    <xf numFmtId="0" fontId="4" fillId="0" borderId="15" xfId="0" applyFont="1" applyBorder="1"/>
    <xf numFmtId="167" fontId="4" fillId="0" borderId="16" xfId="0" applyNumberFormat="1" applyFont="1" applyBorder="1"/>
    <xf numFmtId="167" fontId="4" fillId="0" borderId="17" xfId="0" applyNumberFormat="1" applyFont="1" applyBorder="1"/>
    <xf numFmtId="167" fontId="4" fillId="0" borderId="36" xfId="0" applyNumberFormat="1" applyFont="1" applyBorder="1"/>
    <xf numFmtId="167" fontId="4" fillId="0" borderId="18" xfId="0" applyNumberFormat="1" applyFont="1" applyBorder="1"/>
    <xf numFmtId="167" fontId="4" fillId="0" borderId="35" xfId="0" applyNumberFormat="1" applyFont="1" applyBorder="1"/>
    <xf numFmtId="165" fontId="4" fillId="0" borderId="19" xfId="1" applyNumberFormat="1" applyFont="1" applyFill="1" applyBorder="1" applyAlignment="1" applyProtection="1">
      <alignment horizontal="center"/>
    </xf>
    <xf numFmtId="167" fontId="4" fillId="4" borderId="10" xfId="0" applyNumberFormat="1" applyFont="1" applyFill="1" applyBorder="1"/>
    <xf numFmtId="0" fontId="4" fillId="4" borderId="14" xfId="0" applyFont="1" applyFill="1" applyBorder="1"/>
    <xf numFmtId="167" fontId="0" fillId="4" borderId="11" xfId="0" applyNumberFormat="1" applyFill="1" applyBorder="1"/>
    <xf numFmtId="167" fontId="0" fillId="4" borderId="0" xfId="0" applyNumberFormat="1" applyFill="1"/>
    <xf numFmtId="167" fontId="0" fillId="4" borderId="12" xfId="0" applyNumberFormat="1" applyFill="1" applyBorder="1"/>
    <xf numFmtId="167" fontId="0" fillId="4" borderId="30" xfId="0" applyNumberFormat="1" applyFill="1" applyBorder="1"/>
    <xf numFmtId="167" fontId="0" fillId="4" borderId="13" xfId="0" applyNumberFormat="1" applyFill="1" applyBorder="1"/>
    <xf numFmtId="165" fontId="0" fillId="4" borderId="13" xfId="1" applyNumberFormat="1" applyFont="1" applyFill="1" applyBorder="1" applyAlignment="1" applyProtection="1">
      <alignment horizontal="center"/>
    </xf>
    <xf numFmtId="0" fontId="4" fillId="2" borderId="7" xfId="0" applyFont="1" applyFill="1" applyBorder="1"/>
    <xf numFmtId="0" fontId="4" fillId="2" borderId="61" xfId="0" applyFont="1" applyFill="1" applyBorder="1"/>
    <xf numFmtId="167" fontId="4" fillId="2" borderId="26" xfId="0" applyNumberFormat="1" applyFont="1" applyFill="1" applyBorder="1"/>
    <xf numFmtId="167" fontId="4" fillId="2" borderId="9" xfId="0" applyNumberFormat="1" applyFont="1" applyFill="1" applyBorder="1"/>
    <xf numFmtId="167" fontId="4" fillId="2" borderId="8" xfId="0" applyNumberFormat="1" applyFont="1" applyFill="1" applyBorder="1"/>
    <xf numFmtId="167" fontId="4" fillId="2" borderId="62" xfId="0" applyNumberFormat="1" applyFont="1" applyFill="1" applyBorder="1"/>
    <xf numFmtId="165" fontId="4" fillId="2" borderId="27" xfId="0" applyNumberFormat="1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vertical="center" wrapText="1"/>
    </xf>
    <xf numFmtId="166" fontId="4" fillId="6" borderId="7" xfId="0" applyNumberFormat="1" applyFont="1" applyFill="1" applyBorder="1" applyAlignment="1">
      <alignment horizontal="center" vertical="center" wrapText="1"/>
    </xf>
    <xf numFmtId="166" fontId="4" fillId="6" borderId="8" xfId="0" applyNumberFormat="1" applyFont="1" applyFill="1" applyBorder="1" applyAlignment="1">
      <alignment horizontal="center" vertical="center" wrapText="1"/>
    </xf>
    <xf numFmtId="166" fontId="4" fillId="6" borderId="9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165" fontId="0" fillId="4" borderId="0" xfId="0" applyNumberFormat="1" applyFill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165" fontId="4" fillId="4" borderId="55" xfId="0" applyNumberFormat="1" applyFont="1" applyFill="1" applyBorder="1" applyAlignment="1">
      <alignment horizontal="center"/>
    </xf>
    <xf numFmtId="37" fontId="0" fillId="4" borderId="14" xfId="0" applyNumberFormat="1" applyFill="1" applyBorder="1" applyAlignment="1">
      <alignment horizontal="center"/>
    </xf>
    <xf numFmtId="164" fontId="0" fillId="4" borderId="13" xfId="0" applyNumberForma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165" fontId="4" fillId="4" borderId="28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14" xfId="0" applyFont="1" applyBorder="1"/>
    <xf numFmtId="10" fontId="0" fillId="0" borderId="5" xfId="0" applyNumberFormat="1" applyBorder="1" applyAlignment="1">
      <alignment horizontal="center"/>
    </xf>
    <xf numFmtId="0" fontId="4" fillId="0" borderId="29" xfId="0" applyFont="1" applyBorder="1"/>
    <xf numFmtId="0" fontId="4" fillId="16" borderId="0" xfId="0" applyFont="1" applyFill="1"/>
    <xf numFmtId="0" fontId="0" fillId="16" borderId="0" xfId="0" applyFill="1"/>
    <xf numFmtId="169" fontId="0" fillId="0" borderId="0" xfId="0" applyNumberFormat="1"/>
    <xf numFmtId="0" fontId="4" fillId="17" borderId="64" xfId="0" applyFont="1" applyFill="1" applyBorder="1"/>
    <xf numFmtId="169" fontId="4" fillId="17" borderId="64" xfId="0" applyNumberFormat="1" applyFont="1" applyFill="1" applyBorder="1"/>
    <xf numFmtId="0" fontId="4" fillId="18" borderId="65" xfId="0" applyFont="1" applyFill="1" applyBorder="1"/>
    <xf numFmtId="169" fontId="4" fillId="18" borderId="65" xfId="0" applyNumberFormat="1" applyFont="1" applyFill="1" applyBorder="1"/>
    <xf numFmtId="166" fontId="4" fillId="4" borderId="2" xfId="0" applyNumberFormat="1" applyFont="1" applyFill="1" applyBorder="1"/>
    <xf numFmtId="166" fontId="4" fillId="4" borderId="10" xfId="0" applyNumberFormat="1" applyFont="1" applyFill="1" applyBorder="1"/>
    <xf numFmtId="166" fontId="4" fillId="15" borderId="11" xfId="0" applyNumberFormat="1" applyFont="1" applyFill="1" applyBorder="1" applyAlignment="1">
      <alignment horizontal="center" vertical="center" wrapText="1"/>
    </xf>
    <xf numFmtId="166" fontId="4" fillId="15" borderId="38" xfId="0" applyNumberFormat="1" applyFont="1" applyFill="1" applyBorder="1" applyAlignment="1">
      <alignment horizontal="center" vertical="center" wrapText="1"/>
    </xf>
    <xf numFmtId="164" fontId="4" fillId="15" borderId="38" xfId="0" applyNumberFormat="1" applyFont="1" applyFill="1" applyBorder="1" applyAlignment="1">
      <alignment horizontal="center" vertical="center" wrapText="1"/>
    </xf>
    <xf numFmtId="164" fontId="4" fillId="15" borderId="13" xfId="0" applyNumberFormat="1" applyFont="1" applyFill="1" applyBorder="1" applyAlignment="1">
      <alignment horizontal="center" vertical="center" wrapText="1"/>
    </xf>
    <xf numFmtId="164" fontId="4" fillId="8" borderId="13" xfId="0" applyNumberFormat="1" applyFont="1" applyFill="1" applyBorder="1" applyAlignment="1">
      <alignment horizontal="center" vertical="center" wrapText="1"/>
    </xf>
    <xf numFmtId="167" fontId="0" fillId="0" borderId="31" xfId="0" applyNumberFormat="1" applyBorder="1"/>
    <xf numFmtId="167" fontId="0" fillId="0" borderId="5" xfId="0" applyNumberFormat="1" applyBorder="1"/>
    <xf numFmtId="167" fontId="0" fillId="0" borderId="33" xfId="0" applyNumberFormat="1" applyBorder="1"/>
    <xf numFmtId="166" fontId="0" fillId="4" borderId="2" xfId="0" applyNumberFormat="1" applyFill="1" applyBorder="1"/>
    <xf numFmtId="166" fontId="0" fillId="4" borderId="10" xfId="0" applyNumberFormat="1" applyFill="1" applyBorder="1"/>
    <xf numFmtId="164" fontId="4" fillId="0" borderId="36" xfId="0" applyNumberFormat="1" applyFont="1" applyBorder="1" applyAlignment="1">
      <alignment horizontal="center"/>
    </xf>
    <xf numFmtId="166" fontId="4" fillId="4" borderId="16" xfId="0" applyNumberFormat="1" applyFont="1" applyFill="1" applyBorder="1"/>
    <xf numFmtId="0" fontId="4" fillId="2" borderId="25" xfId="0" applyFont="1" applyFill="1" applyBorder="1"/>
    <xf numFmtId="166" fontId="4" fillId="4" borderId="26" xfId="0" applyNumberFormat="1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15" borderId="45" xfId="0" applyFont="1" applyFill="1" applyBorder="1" applyAlignment="1">
      <alignment horizontal="center" vertical="center"/>
    </xf>
    <xf numFmtId="0" fontId="4" fillId="15" borderId="46" xfId="0" applyFont="1" applyFill="1" applyBorder="1" applyAlignment="1">
      <alignment horizontal="center" vertical="center"/>
    </xf>
    <xf numFmtId="0" fontId="4" fillId="20" borderId="46" xfId="0" applyFont="1" applyFill="1" applyBorder="1" applyAlignment="1">
      <alignment horizontal="center" vertical="center"/>
    </xf>
    <xf numFmtId="0" fontId="4" fillId="20" borderId="4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66" xfId="0" applyFont="1" applyFill="1" applyBorder="1" applyAlignment="1">
      <alignment horizontal="center" vertical="center"/>
    </xf>
    <xf numFmtId="0" fontId="4" fillId="21" borderId="40" xfId="0" applyFont="1" applyFill="1" applyBorder="1" applyAlignment="1">
      <alignment horizontal="center" vertical="center" wrapText="1"/>
    </xf>
    <xf numFmtId="0" fontId="4" fillId="21" borderId="38" xfId="0" applyFont="1" applyFill="1" applyBorder="1" applyAlignment="1">
      <alignment horizontal="center" vertical="center" wrapText="1"/>
    </xf>
    <xf numFmtId="0" fontId="4" fillId="21" borderId="39" xfId="0" applyFont="1" applyFill="1" applyBorder="1" applyAlignment="1">
      <alignment horizontal="center" vertical="center" wrapText="1"/>
    </xf>
    <xf numFmtId="0" fontId="4" fillId="22" borderId="40" xfId="0" applyFont="1" applyFill="1" applyBorder="1" applyAlignment="1">
      <alignment horizontal="center" vertical="center" wrapText="1"/>
    </xf>
    <xf numFmtId="0" fontId="4" fillId="22" borderId="3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165" fontId="0" fillId="0" borderId="0" xfId="0" applyNumberFormat="1"/>
    <xf numFmtId="165" fontId="4" fillId="17" borderId="64" xfId="0" applyNumberFormat="1" applyFont="1" applyFill="1" applyBorder="1"/>
    <xf numFmtId="10" fontId="0" fillId="0" borderId="0" xfId="0" applyNumberFormat="1"/>
    <xf numFmtId="169" fontId="0" fillId="18" borderId="65" xfId="0" applyNumberFormat="1" applyFill="1" applyBorder="1"/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168" fontId="0" fillId="0" borderId="10" xfId="2" applyNumberFormat="1" applyFont="1" applyFill="1" applyBorder="1" applyAlignment="1" applyProtection="1">
      <alignment horizontal="center"/>
    </xf>
    <xf numFmtId="168" fontId="4" fillId="0" borderId="16" xfId="2" applyNumberFormat="1" applyFont="1" applyFill="1" applyBorder="1" applyAlignment="1" applyProtection="1">
      <alignment horizontal="center"/>
    </xf>
    <xf numFmtId="168" fontId="0" fillId="4" borderId="10" xfId="2" applyNumberFormat="1" applyFont="1" applyFill="1" applyBorder="1" applyAlignment="1" applyProtection="1">
      <alignment horizontal="center"/>
    </xf>
    <xf numFmtId="168" fontId="4" fillId="2" borderId="26" xfId="2" applyNumberFormat="1" applyFont="1" applyFill="1" applyBorder="1" applyAlignment="1" applyProtection="1">
      <alignment horizontal="center"/>
    </xf>
    <xf numFmtId="0" fontId="4" fillId="4" borderId="9" xfId="0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horizontal="center" vertical="center"/>
    </xf>
    <xf numFmtId="166" fontId="4" fillId="21" borderId="40" xfId="0" applyNumberFormat="1" applyFont="1" applyFill="1" applyBorder="1" applyAlignment="1">
      <alignment horizontal="center" vertical="center" wrapText="1"/>
    </xf>
    <xf numFmtId="164" fontId="4" fillId="21" borderId="39" xfId="0" applyNumberFormat="1" applyFont="1" applyFill="1" applyBorder="1" applyAlignment="1">
      <alignment horizontal="center" vertical="center" wrapText="1"/>
    </xf>
    <xf numFmtId="166" fontId="4" fillId="22" borderId="37" xfId="0" applyNumberFormat="1" applyFont="1" applyFill="1" applyBorder="1" applyAlignment="1">
      <alignment horizontal="center" vertical="center" wrapText="1"/>
    </xf>
    <xf numFmtId="164" fontId="4" fillId="22" borderId="39" xfId="0" applyNumberFormat="1" applyFont="1" applyFill="1" applyBorder="1" applyAlignment="1">
      <alignment horizontal="center" vertical="center" wrapText="1"/>
    </xf>
    <xf numFmtId="0" fontId="4" fillId="4" borderId="39" xfId="0" applyFont="1" applyFill="1" applyBorder="1" applyAlignment="1">
      <alignment horizontal="center" vertical="center" wrapText="1"/>
    </xf>
    <xf numFmtId="0" fontId="4" fillId="0" borderId="20" xfId="0" applyFont="1" applyBorder="1"/>
    <xf numFmtId="167" fontId="4" fillId="0" borderId="21" xfId="0" applyNumberFormat="1" applyFont="1" applyBorder="1"/>
    <xf numFmtId="167" fontId="4" fillId="0" borderId="24" xfId="0" applyNumberFormat="1" applyFont="1" applyBorder="1"/>
    <xf numFmtId="0" fontId="0" fillId="4" borderId="26" xfId="0" applyFill="1" applyBorder="1"/>
    <xf numFmtId="166" fontId="4" fillId="21" borderId="11" xfId="0" applyNumberFormat="1" applyFont="1" applyFill="1" applyBorder="1" applyAlignment="1">
      <alignment horizontal="center"/>
    </xf>
    <xf numFmtId="166" fontId="4" fillId="21" borderId="33" xfId="0" applyNumberFormat="1" applyFont="1" applyFill="1" applyBorder="1" applyAlignment="1">
      <alignment horizontal="center"/>
    </xf>
    <xf numFmtId="164" fontId="4" fillId="21" borderId="40" xfId="0" applyNumberFormat="1" applyFont="1" applyFill="1" applyBorder="1" applyAlignment="1">
      <alignment horizontal="center" vertical="top"/>
    </xf>
    <xf numFmtId="164" fontId="4" fillId="21" borderId="38" xfId="0" applyNumberFormat="1" applyFont="1" applyFill="1" applyBorder="1" applyAlignment="1">
      <alignment horizontal="center" vertical="top"/>
    </xf>
    <xf numFmtId="167" fontId="4" fillId="0" borderId="55" xfId="0" applyNumberFormat="1" applyFont="1" applyBorder="1"/>
    <xf numFmtId="167" fontId="4" fillId="2" borderId="2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/>
    </xf>
    <xf numFmtId="168" fontId="0" fillId="0" borderId="0" xfId="2" applyNumberFormat="1" applyFont="1" applyFill="1" applyProtection="1"/>
    <xf numFmtId="168" fontId="0" fillId="0" borderId="0" xfId="2" applyNumberFormat="1" applyFont="1"/>
    <xf numFmtId="16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9" fontId="0" fillId="0" borderId="0" xfId="0" applyNumberFormat="1"/>
    <xf numFmtId="0" fontId="0" fillId="0" borderId="29" xfId="0" applyBorder="1"/>
    <xf numFmtId="168" fontId="0" fillId="0" borderId="0" xfId="0" applyNumberFormat="1"/>
    <xf numFmtId="6" fontId="0" fillId="0" borderId="0" xfId="0" applyNumberFormat="1"/>
    <xf numFmtId="0" fontId="0" fillId="16" borderId="0" xfId="0" applyFill="1" applyAlignment="1">
      <alignment horizontal="center"/>
    </xf>
    <xf numFmtId="0" fontId="4" fillId="17" borderId="64" xfId="0" applyFont="1" applyFill="1" applyBorder="1" applyAlignment="1">
      <alignment horizontal="center"/>
    </xf>
    <xf numFmtId="0" fontId="4" fillId="18" borderId="65" xfId="0" applyFont="1" applyFill="1" applyBorder="1" applyAlignment="1">
      <alignment horizontal="center"/>
    </xf>
    <xf numFmtId="6" fontId="4" fillId="17" borderId="64" xfId="0" applyNumberFormat="1" applyFont="1" applyFill="1" applyBorder="1"/>
    <xf numFmtId="6" fontId="0" fillId="16" borderId="0" xfId="0" applyNumberFormat="1" applyFill="1"/>
    <xf numFmtId="6" fontId="4" fillId="18" borderId="65" xfId="0" applyNumberFormat="1" applyFont="1" applyFill="1" applyBorder="1"/>
    <xf numFmtId="168" fontId="0" fillId="0" borderId="3" xfId="2" applyNumberFormat="1" applyFont="1" applyFill="1" applyBorder="1" applyProtection="1"/>
    <xf numFmtId="168" fontId="0" fillId="0" borderId="14" xfId="2" applyNumberFormat="1" applyFont="1" applyFill="1" applyBorder="1" applyProtection="1"/>
    <xf numFmtId="168" fontId="4" fillId="0" borderId="15" xfId="2" applyNumberFormat="1" applyFont="1" applyFill="1" applyBorder="1" applyProtection="1"/>
    <xf numFmtId="168" fontId="4" fillId="4" borderId="14" xfId="2" applyNumberFormat="1" applyFont="1" applyFill="1" applyBorder="1" applyProtection="1"/>
    <xf numFmtId="168" fontId="4" fillId="2" borderId="25" xfId="2" applyNumberFormat="1" applyFont="1" applyFill="1" applyBorder="1" applyProtection="1"/>
    <xf numFmtId="164" fontId="4" fillId="8" borderId="57" xfId="0" applyNumberFormat="1" applyFont="1" applyFill="1" applyBorder="1" applyAlignment="1">
      <alignment horizontal="center" vertical="center" wrapText="1"/>
    </xf>
    <xf numFmtId="10" fontId="0" fillId="0" borderId="0" xfId="0" applyNumberFormat="1" applyAlignment="1">
      <alignment vertical="center"/>
    </xf>
    <xf numFmtId="0" fontId="4" fillId="0" borderId="0" xfId="0" applyFont="1" applyAlignment="1">
      <alignment horizontal="center"/>
    </xf>
    <xf numFmtId="170" fontId="0" fillId="0" borderId="0" xfId="4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vertical="center"/>
    </xf>
    <xf numFmtId="0" fontId="4" fillId="11" borderId="53" xfId="0" applyFont="1" applyFill="1" applyBorder="1" applyAlignment="1">
      <alignment horizontal="center"/>
    </xf>
    <xf numFmtId="164" fontId="4" fillId="11" borderId="1" xfId="0" applyNumberFormat="1" applyFont="1" applyFill="1" applyBorder="1" applyAlignment="1">
      <alignment horizontal="center" vertical="top"/>
    </xf>
    <xf numFmtId="168" fontId="0" fillId="0" borderId="13" xfId="2" applyNumberFormat="1" applyFont="1" applyFill="1" applyBorder="1" applyAlignment="1" applyProtection="1">
      <alignment horizontal="center"/>
    </xf>
    <xf numFmtId="9" fontId="4" fillId="8" borderId="13" xfId="1" applyFont="1" applyFill="1" applyBorder="1" applyAlignment="1" applyProtection="1">
      <alignment horizontal="center" vertical="center" wrapText="1"/>
    </xf>
    <xf numFmtId="167" fontId="4" fillId="2" borderId="25" xfId="0" applyNumberFormat="1" applyFont="1" applyFill="1" applyBorder="1"/>
    <xf numFmtId="168" fontId="0" fillId="16" borderId="0" xfId="2" applyNumberFormat="1" applyFont="1" applyFill="1" applyProtection="1"/>
    <xf numFmtId="169" fontId="0" fillId="16" borderId="0" xfId="0" applyNumberFormat="1" applyFill="1"/>
    <xf numFmtId="167" fontId="4" fillId="2" borderId="16" xfId="0" applyNumberFormat="1" applyFont="1" applyFill="1" applyBorder="1" applyAlignment="1">
      <alignment vertical="center"/>
    </xf>
    <xf numFmtId="167" fontId="0" fillId="2" borderId="10" xfId="0" applyNumberFormat="1" applyFill="1" applyBorder="1"/>
    <xf numFmtId="0" fontId="0" fillId="0" borderId="6" xfId="0" applyBorder="1" applyAlignment="1">
      <alignment horizontal="left" indent="3"/>
    </xf>
    <xf numFmtId="0" fontId="4" fillId="3" borderId="28" xfId="0" applyFont="1" applyFill="1" applyBorder="1" applyAlignment="1">
      <alignment horizontal="center" vertical="center" wrapText="1"/>
    </xf>
    <xf numFmtId="6" fontId="0" fillId="0" borderId="0" xfId="0" applyNumberFormat="1" applyAlignment="1">
      <alignment horizontal="right"/>
    </xf>
    <xf numFmtId="10" fontId="0" fillId="0" borderId="0" xfId="1" applyNumberFormat="1" applyFont="1" applyFill="1"/>
    <xf numFmtId="10" fontId="0" fillId="0" borderId="0" xfId="1" applyNumberFormat="1" applyFont="1" applyFill="1" applyBorder="1" applyAlignment="1" applyProtection="1">
      <alignment horizontal="center"/>
    </xf>
    <xf numFmtId="0" fontId="0" fillId="0" borderId="0" xfId="2" applyNumberFormat="1" applyFont="1"/>
    <xf numFmtId="0" fontId="4" fillId="0" borderId="0" xfId="2" applyNumberFormat="1" applyFont="1" applyFill="1" applyBorder="1" applyAlignment="1"/>
    <xf numFmtId="0" fontId="4" fillId="0" borderId="0" xfId="0" applyFont="1" applyAlignment="1">
      <alignment wrapText="1"/>
    </xf>
    <xf numFmtId="168" fontId="0" fillId="0" borderId="14" xfId="2" applyNumberFormat="1" applyFont="1" applyFill="1" applyBorder="1" applyAlignment="1" applyProtection="1">
      <alignment horizontal="center"/>
    </xf>
    <xf numFmtId="168" fontId="0" fillId="4" borderId="14" xfId="2" applyNumberFormat="1" applyFont="1" applyFill="1" applyBorder="1" applyAlignment="1" applyProtection="1">
      <alignment horizontal="center"/>
    </xf>
    <xf numFmtId="166" fontId="4" fillId="21" borderId="40" xfId="0" applyNumberFormat="1" applyFont="1" applyFill="1" applyBorder="1" applyAlignment="1">
      <alignment horizontal="center" vertical="center"/>
    </xf>
    <xf numFmtId="166" fontId="4" fillId="21" borderId="11" xfId="0" applyNumberFormat="1" applyFont="1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/>
    </xf>
    <xf numFmtId="1" fontId="4" fillId="0" borderId="26" xfId="2" applyNumberFormat="1" applyFont="1" applyBorder="1" applyAlignment="1">
      <alignment horizontal="center"/>
    </xf>
    <xf numFmtId="171" fontId="0" fillId="0" borderId="0" xfId="0" applyNumberFormat="1"/>
    <xf numFmtId="171" fontId="4" fillId="17" borderId="64" xfId="0" applyNumberFormat="1" applyFont="1" applyFill="1" applyBorder="1"/>
    <xf numFmtId="171" fontId="0" fillId="16" borderId="0" xfId="0" applyNumberFormat="1" applyFill="1"/>
    <xf numFmtId="171" fontId="4" fillId="18" borderId="65" xfId="0" applyNumberFormat="1" applyFont="1" applyFill="1" applyBorder="1"/>
    <xf numFmtId="167" fontId="0" fillId="0" borderId="30" xfId="0" applyNumberFormat="1" applyBorder="1" applyAlignment="1">
      <alignment vertical="center"/>
    </xf>
    <xf numFmtId="167" fontId="0" fillId="0" borderId="37" xfId="0" applyNumberFormat="1" applyBorder="1" applyAlignment="1">
      <alignment vertical="center"/>
    </xf>
    <xf numFmtId="166" fontId="0" fillId="0" borderId="14" xfId="0" applyNumberFormat="1" applyBorder="1"/>
    <xf numFmtId="10" fontId="0" fillId="5" borderId="13" xfId="1" applyNumberFormat="1" applyFont="1" applyFill="1" applyBorder="1"/>
    <xf numFmtId="166" fontId="0" fillId="0" borderId="29" xfId="0" applyNumberFormat="1" applyBorder="1"/>
    <xf numFmtId="10" fontId="0" fillId="5" borderId="39" xfId="1" applyNumberFormat="1" applyFont="1" applyFill="1" applyBorder="1"/>
    <xf numFmtId="168" fontId="0" fillId="0" borderId="50" xfId="2" applyNumberFormat="1" applyFont="1" applyFill="1" applyBorder="1" applyAlignment="1" applyProtection="1">
      <alignment horizontal="center"/>
    </xf>
    <xf numFmtId="165" fontId="0" fillId="0" borderId="51" xfId="1" applyNumberFormat="1" applyFont="1" applyFill="1" applyBorder="1" applyAlignment="1" applyProtection="1">
      <alignment horizontal="center"/>
    </xf>
    <xf numFmtId="165" fontId="4" fillId="0" borderId="0" xfId="1" applyNumberFormat="1" applyFont="1" applyBorder="1" applyAlignment="1">
      <alignment horizontal="center"/>
    </xf>
    <xf numFmtId="0" fontId="4" fillId="11" borderId="54" xfId="0" applyFont="1" applyFill="1" applyBorder="1" applyAlignment="1">
      <alignment horizontal="center"/>
    </xf>
    <xf numFmtId="164" fontId="4" fillId="11" borderId="37" xfId="0" applyNumberFormat="1" applyFont="1" applyFill="1" applyBorder="1" applyAlignment="1">
      <alignment horizontal="center" vertical="top"/>
    </xf>
    <xf numFmtId="165" fontId="0" fillId="0" borderId="50" xfId="1" applyNumberFormat="1" applyFont="1" applyFill="1" applyBorder="1" applyAlignment="1" applyProtection="1">
      <alignment horizontal="center"/>
    </xf>
    <xf numFmtId="0" fontId="4" fillId="9" borderId="49" xfId="0" applyFont="1" applyFill="1" applyBorder="1" applyAlignment="1">
      <alignment horizontal="center"/>
    </xf>
    <xf numFmtId="164" fontId="4" fillId="9" borderId="39" xfId="0" applyNumberFormat="1" applyFont="1" applyFill="1" applyBorder="1" applyAlignment="1">
      <alignment horizontal="center" vertical="top"/>
    </xf>
    <xf numFmtId="165" fontId="4" fillId="0" borderId="17" xfId="1" applyNumberFormat="1" applyFont="1" applyBorder="1" applyAlignment="1">
      <alignment horizontal="center"/>
    </xf>
    <xf numFmtId="168" fontId="4" fillId="0" borderId="13" xfId="2" applyNumberFormat="1" applyFont="1" applyFill="1" applyBorder="1" applyAlignment="1" applyProtection="1">
      <alignment horizontal="center"/>
    </xf>
    <xf numFmtId="0" fontId="12" fillId="0" borderId="0" xfId="0" applyFont="1" applyAlignment="1">
      <alignment wrapText="1"/>
    </xf>
    <xf numFmtId="172" fontId="0" fillId="0" borderId="0" xfId="0" applyNumberFormat="1"/>
    <xf numFmtId="0" fontId="0" fillId="23" borderId="10" xfId="0" applyFill="1" applyBorder="1" applyAlignment="1">
      <alignment horizontal="center" vertical="center"/>
    </xf>
    <xf numFmtId="0" fontId="0" fillId="23" borderId="0" xfId="0" applyFill="1"/>
    <xf numFmtId="8" fontId="0" fillId="0" borderId="0" xfId="0" applyNumberFormat="1"/>
    <xf numFmtId="170" fontId="0" fillId="0" borderId="0" xfId="4" applyNumberFormat="1" applyFont="1" applyAlignment="1">
      <alignment vertical="center"/>
    </xf>
    <xf numFmtId="170" fontId="0" fillId="0" borderId="30" xfId="4" applyNumberFormat="1" applyFont="1" applyBorder="1" applyAlignment="1">
      <alignment vertical="center"/>
    </xf>
    <xf numFmtId="170" fontId="0" fillId="0" borderId="14" xfId="4" applyNumberFormat="1" applyFont="1" applyBorder="1" applyAlignment="1">
      <alignment vertical="center"/>
    </xf>
    <xf numFmtId="170" fontId="4" fillId="0" borderId="14" xfId="4" applyNumberFormat="1" applyFont="1" applyBorder="1" applyAlignment="1">
      <alignment vertical="center"/>
    </xf>
    <xf numFmtId="170" fontId="4" fillId="0" borderId="30" xfId="4" applyNumberFormat="1" applyFont="1" applyBorder="1" applyAlignment="1">
      <alignment vertical="center"/>
    </xf>
    <xf numFmtId="170" fontId="4" fillId="0" borderId="0" xfId="4" applyNumberFormat="1" applyFont="1" applyAlignment="1">
      <alignment vertical="center"/>
    </xf>
    <xf numFmtId="170" fontId="4" fillId="0" borderId="13" xfId="4" applyNumberFormat="1" applyFont="1" applyBorder="1" applyAlignment="1">
      <alignment vertical="center"/>
    </xf>
    <xf numFmtId="170" fontId="0" fillId="0" borderId="13" xfId="4" applyNumberFormat="1" applyFont="1" applyBorder="1" applyAlignment="1">
      <alignment vertical="center"/>
    </xf>
    <xf numFmtId="170" fontId="0" fillId="23" borderId="0" xfId="4" applyNumberFormat="1" applyFont="1" applyFill="1" applyAlignment="1">
      <alignment vertical="center"/>
    </xf>
    <xf numFmtId="170" fontId="0" fillId="23" borderId="30" xfId="4" applyNumberFormat="1" applyFont="1" applyFill="1" applyBorder="1" applyAlignment="1">
      <alignment vertical="center"/>
    </xf>
    <xf numFmtId="170" fontId="0" fillId="23" borderId="14" xfId="4" applyNumberFormat="1" applyFont="1" applyFill="1" applyBorder="1" applyAlignment="1">
      <alignment vertical="center"/>
    </xf>
    <xf numFmtId="170" fontId="4" fillId="23" borderId="14" xfId="4" applyNumberFormat="1" applyFont="1" applyFill="1" applyBorder="1" applyAlignment="1">
      <alignment vertical="center"/>
    </xf>
    <xf numFmtId="170" fontId="4" fillId="23" borderId="0" xfId="4" applyNumberFormat="1" applyFont="1" applyFill="1" applyAlignment="1">
      <alignment vertical="center"/>
    </xf>
    <xf numFmtId="170" fontId="4" fillId="23" borderId="13" xfId="4" applyNumberFormat="1" applyFont="1" applyFill="1" applyBorder="1" applyAlignment="1">
      <alignment vertical="center"/>
    </xf>
    <xf numFmtId="170" fontId="0" fillId="0" borderId="0" xfId="4" applyNumberFormat="1" applyFont="1"/>
    <xf numFmtId="0" fontId="4" fillId="0" borderId="6" xfId="0" applyFont="1" applyBorder="1" applyAlignment="1">
      <alignment horizontal="center" vertical="center"/>
    </xf>
    <xf numFmtId="170" fontId="0" fillId="23" borderId="0" xfId="0" applyNumberFormat="1" applyFill="1"/>
    <xf numFmtId="0" fontId="0" fillId="0" borderId="14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5" fontId="3" fillId="0" borderId="0" xfId="1" applyNumberFormat="1" applyFont="1" applyFill="1" applyAlignment="1">
      <alignment horizontal="center" vertical="center" wrapText="1"/>
    </xf>
    <xf numFmtId="9" fontId="0" fillId="0" borderId="0" xfId="1" applyFont="1" applyAlignment="1">
      <alignment horizontal="center"/>
    </xf>
    <xf numFmtId="43" fontId="0" fillId="0" borderId="0" xfId="2" applyFont="1"/>
    <xf numFmtId="0" fontId="0" fillId="0" borderId="0" xfId="0" applyAlignment="1">
      <alignment horizontal="center" vertical="center" textRotation="90"/>
    </xf>
    <xf numFmtId="165" fontId="0" fillId="0" borderId="0" xfId="0" applyNumberFormat="1" applyAlignment="1">
      <alignment horizontal="right" vertical="center" wrapText="1"/>
    </xf>
    <xf numFmtId="165" fontId="0" fillId="0" borderId="0" xfId="1" applyNumberFormat="1" applyFont="1" applyFill="1" applyBorder="1" applyAlignment="1">
      <alignment horizontal="center"/>
    </xf>
    <xf numFmtId="9" fontId="0" fillId="0" borderId="0" xfId="1" applyFont="1" applyBorder="1" applyAlignment="1">
      <alignment horizontal="center"/>
    </xf>
    <xf numFmtId="168" fontId="0" fillId="0" borderId="0" xfId="0" applyNumberFormat="1" applyAlignment="1">
      <alignment horizontal="right" vertical="center" wrapText="1"/>
    </xf>
    <xf numFmtId="165" fontId="0" fillId="0" borderId="0" xfId="1" applyNumberFormat="1" applyFont="1" applyAlignment="1">
      <alignment horizontal="right" vertical="center" wrapText="1"/>
    </xf>
    <xf numFmtId="165" fontId="0" fillId="0" borderId="0" xfId="1" applyNumberFormat="1" applyFont="1" applyFill="1"/>
    <xf numFmtId="165" fontId="0" fillId="0" borderId="0" xfId="1" applyNumberFormat="1" applyFont="1" applyFill="1" applyAlignment="1">
      <alignment horizontal="right" vertical="center" wrapText="1"/>
    </xf>
    <xf numFmtId="168" fontId="0" fillId="0" borderId="0" xfId="2" applyNumberFormat="1" applyFont="1" applyAlignment="1">
      <alignment horizontal="right" vertical="center" wrapText="1"/>
    </xf>
    <xf numFmtId="10" fontId="0" fillId="0" borderId="0" xfId="0" applyNumberFormat="1" applyAlignment="1">
      <alignment horizontal="right" vertical="center" wrapText="1"/>
    </xf>
    <xf numFmtId="9" fontId="0" fillId="0" borderId="0" xfId="1" applyFont="1" applyFill="1" applyAlignment="1">
      <alignment horizontal="center"/>
    </xf>
    <xf numFmtId="0" fontId="13" fillId="0" borderId="0" xfId="0" applyFont="1" applyAlignment="1">
      <alignment vertical="center"/>
    </xf>
    <xf numFmtId="170" fontId="0" fillId="0" borderId="0" xfId="4" applyNumberFormat="1" applyFont="1" applyFill="1" applyBorder="1" applyAlignment="1">
      <alignment vertical="center"/>
    </xf>
    <xf numFmtId="170" fontId="0" fillId="0" borderId="30" xfId="4" applyNumberFormat="1" applyFont="1" applyFill="1" applyBorder="1" applyAlignment="1">
      <alignment vertical="center"/>
    </xf>
    <xf numFmtId="170" fontId="0" fillId="0" borderId="0" xfId="4" applyNumberFormat="1" applyFont="1" applyBorder="1" applyAlignment="1">
      <alignment vertical="center"/>
    </xf>
    <xf numFmtId="167" fontId="0" fillId="4" borderId="0" xfId="0" applyNumberFormat="1" applyFill="1" applyAlignment="1">
      <alignment horizontal="center"/>
    </xf>
    <xf numFmtId="167" fontId="0" fillId="0" borderId="10" xfId="0" quotePrefix="1" applyNumberFormat="1" applyBorder="1"/>
    <xf numFmtId="167" fontId="0" fillId="0" borderId="69" xfId="0" applyNumberFormat="1" applyBorder="1"/>
    <xf numFmtId="6" fontId="0" fillId="0" borderId="65" xfId="0" applyNumberFormat="1" applyBorder="1"/>
    <xf numFmtId="167" fontId="0" fillId="0" borderId="70" xfId="0" applyNumberFormat="1" applyBorder="1"/>
    <xf numFmtId="167" fontId="4" fillId="0" borderId="71" xfId="0" applyNumberFormat="1" applyFont="1" applyBorder="1"/>
    <xf numFmtId="168" fontId="0" fillId="0" borderId="68" xfId="2" applyNumberFormat="1" applyFont="1" applyBorder="1"/>
    <xf numFmtId="167" fontId="4" fillId="2" borderId="23" xfId="0" applyNumberFormat="1" applyFont="1" applyFill="1" applyBorder="1"/>
    <xf numFmtId="167" fontId="4" fillId="2" borderId="72" xfId="0" applyNumberFormat="1" applyFont="1" applyFill="1" applyBorder="1"/>
    <xf numFmtId="166" fontId="4" fillId="4" borderId="36" xfId="0" applyNumberFormat="1" applyFont="1" applyFill="1" applyBorder="1"/>
    <xf numFmtId="167" fontId="4" fillId="0" borderId="14" xfId="0" applyNumberFormat="1" applyFont="1" applyBorder="1"/>
    <xf numFmtId="6" fontId="0" fillId="0" borderId="68" xfId="0" applyNumberFormat="1" applyBorder="1"/>
    <xf numFmtId="173" fontId="0" fillId="0" borderId="33" xfId="0" applyNumberFormat="1" applyBorder="1" applyAlignment="1">
      <alignment horizontal="center"/>
    </xf>
    <xf numFmtId="173" fontId="0" fillId="0" borderId="5" xfId="0" applyNumberFormat="1" applyBorder="1" applyAlignment="1">
      <alignment horizontal="center"/>
    </xf>
    <xf numFmtId="173" fontId="0" fillId="0" borderId="12" xfId="0" applyNumberFormat="1" applyBorder="1" applyAlignment="1">
      <alignment horizontal="center"/>
    </xf>
    <xf numFmtId="173" fontId="0" fillId="0" borderId="13" xfId="0" applyNumberFormat="1" applyBorder="1" applyAlignment="1">
      <alignment horizontal="center"/>
    </xf>
    <xf numFmtId="173" fontId="0" fillId="0" borderId="70" xfId="0" applyNumberFormat="1" applyBorder="1" applyAlignment="1">
      <alignment horizontal="center"/>
    </xf>
    <xf numFmtId="173" fontId="0" fillId="0" borderId="51" xfId="0" applyNumberFormat="1" applyBorder="1" applyAlignment="1">
      <alignment horizontal="center"/>
    </xf>
    <xf numFmtId="173" fontId="4" fillId="0" borderId="71" xfId="0" applyNumberFormat="1" applyFont="1" applyBorder="1" applyAlignment="1">
      <alignment horizontal="center"/>
    </xf>
    <xf numFmtId="173" fontId="4" fillId="0" borderId="74" xfId="0" applyNumberFormat="1" applyFont="1" applyBorder="1" applyAlignment="1">
      <alignment horizontal="center"/>
    </xf>
    <xf numFmtId="173" fontId="0" fillId="4" borderId="12" xfId="0" applyNumberFormat="1" applyFill="1" applyBorder="1" applyAlignment="1">
      <alignment horizontal="center"/>
    </xf>
    <xf numFmtId="173" fontId="0" fillId="4" borderId="13" xfId="0" applyNumberFormat="1" applyFill="1" applyBorder="1" applyAlignment="1">
      <alignment horizontal="center"/>
    </xf>
    <xf numFmtId="173" fontId="4" fillId="2" borderId="23" xfId="0" applyNumberFormat="1" applyFont="1" applyFill="1" applyBorder="1" applyAlignment="1">
      <alignment horizontal="center"/>
    </xf>
    <xf numFmtId="173" fontId="4" fillId="2" borderId="73" xfId="0" applyNumberFormat="1" applyFont="1" applyFill="1" applyBorder="1" applyAlignment="1">
      <alignment horizontal="center"/>
    </xf>
    <xf numFmtId="173" fontId="0" fillId="0" borderId="5" xfId="1" applyNumberFormat="1" applyFont="1" applyBorder="1" applyAlignment="1">
      <alignment horizontal="center"/>
    </xf>
    <xf numFmtId="173" fontId="0" fillId="0" borderId="13" xfId="1" applyNumberFormat="1" applyFont="1" applyBorder="1" applyAlignment="1">
      <alignment horizontal="center"/>
    </xf>
    <xf numFmtId="173" fontId="4" fillId="0" borderId="36" xfId="1" applyNumberFormat="1" applyFont="1" applyBorder="1" applyAlignment="1">
      <alignment horizontal="center"/>
    </xf>
    <xf numFmtId="173" fontId="0" fillId="4" borderId="13" xfId="1" applyNumberFormat="1" applyFont="1" applyFill="1" applyBorder="1" applyAlignment="1">
      <alignment horizontal="center"/>
    </xf>
    <xf numFmtId="173" fontId="0" fillId="0" borderId="51" xfId="1" applyNumberFormat="1" applyFont="1" applyBorder="1" applyAlignment="1">
      <alignment horizontal="center"/>
    </xf>
    <xf numFmtId="173" fontId="4" fillId="2" borderId="27" xfId="1" applyNumberFormat="1" applyFont="1" applyFill="1" applyBorder="1"/>
    <xf numFmtId="173" fontId="0" fillId="0" borderId="4" xfId="0" applyNumberFormat="1" applyBorder="1" applyAlignment="1">
      <alignment horizontal="center"/>
    </xf>
    <xf numFmtId="173" fontId="4" fillId="0" borderId="36" xfId="0" applyNumberFormat="1" applyFont="1" applyBorder="1" applyAlignment="1">
      <alignment horizontal="center"/>
    </xf>
    <xf numFmtId="173" fontId="0" fillId="4" borderId="0" xfId="0" applyNumberFormat="1" applyFill="1" applyAlignment="1">
      <alignment horizontal="center"/>
    </xf>
    <xf numFmtId="173" fontId="4" fillId="2" borderId="9" xfId="0" applyNumberFormat="1" applyFont="1" applyFill="1" applyBorder="1" applyAlignment="1">
      <alignment horizontal="center"/>
    </xf>
    <xf numFmtId="173" fontId="4" fillId="0" borderId="17" xfId="0" applyNumberFormat="1" applyFont="1" applyBorder="1"/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4" fillId="16" borderId="0" xfId="0" applyFont="1" applyFill="1" applyAlignment="1">
      <alignment horizontal="center"/>
    </xf>
    <xf numFmtId="169" fontId="0" fillId="20" borderId="0" xfId="0" applyNumberFormat="1" applyFill="1"/>
    <xf numFmtId="6" fontId="0" fillId="0" borderId="0" xfId="0" applyNumberFormat="1" applyAlignment="1">
      <alignment vertical="top" wrapText="1"/>
    </xf>
    <xf numFmtId="3" fontId="17" fillId="0" borderId="14" xfId="0" applyNumberFormat="1" applyFont="1" applyBorder="1" applyAlignment="1">
      <alignment horizontal="center" vertical="center"/>
    </xf>
    <xf numFmtId="37" fontId="4" fillId="0" borderId="15" xfId="0" applyNumberFormat="1" applyFont="1" applyBorder="1" applyAlignment="1">
      <alignment horizontal="center"/>
    </xf>
    <xf numFmtId="166" fontId="0" fillId="0" borderId="11" xfId="0" applyNumberFormat="1" applyBorder="1"/>
    <xf numFmtId="166" fontId="4" fillId="0" borderId="17" xfId="0" applyNumberFormat="1" applyFont="1" applyBorder="1"/>
    <xf numFmtId="166" fontId="0" fillId="4" borderId="11" xfId="0" applyNumberFormat="1" applyFill="1" applyBorder="1"/>
    <xf numFmtId="166" fontId="4" fillId="2" borderId="7" xfId="0" applyNumberFormat="1" applyFont="1" applyFill="1" applyBorder="1"/>
    <xf numFmtId="165" fontId="0" fillId="0" borderId="0" xfId="1" applyNumberFormat="1" applyFont="1"/>
    <xf numFmtId="169" fontId="0" fillId="0" borderId="0" xfId="0" applyNumberFormat="1" applyAlignment="1">
      <alignment horizontal="center"/>
    </xf>
    <xf numFmtId="170" fontId="0" fillId="0" borderId="0" xfId="4" applyNumberFormat="1" applyFont="1" applyFill="1" applyAlignment="1">
      <alignment vertical="center"/>
    </xf>
    <xf numFmtId="170" fontId="0" fillId="24" borderId="0" xfId="4" applyNumberFormat="1" applyFont="1" applyFill="1" applyAlignment="1">
      <alignment vertical="center"/>
    </xf>
    <xf numFmtId="167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170" fontId="0" fillId="0" borderId="0" xfId="2" applyNumberFormat="1" applyFont="1" applyFill="1" applyAlignment="1" applyProtection="1">
      <alignment horizontal="center"/>
    </xf>
    <xf numFmtId="170" fontId="4" fillId="0" borderId="0" xfId="0" applyNumberFormat="1" applyFont="1" applyAlignment="1">
      <alignment horizontal="center"/>
    </xf>
    <xf numFmtId="170" fontId="0" fillId="0" borderId="0" xfId="2" applyNumberFormat="1" applyFont="1" applyFill="1" applyAlignment="1" applyProtection="1">
      <alignment horizontal="right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/>
    </xf>
    <xf numFmtId="166" fontId="4" fillId="3" borderId="4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166" fontId="4" fillId="3" borderId="2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8" borderId="4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10" borderId="6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/>
    </xf>
    <xf numFmtId="0" fontId="4" fillId="7" borderId="40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4" fillId="9" borderId="41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14" xfId="0" applyFont="1" applyFill="1" applyBorder="1" applyAlignment="1">
      <alignment horizontal="center" vertical="center" wrapText="1"/>
    </xf>
    <xf numFmtId="0" fontId="4" fillId="3" borderId="58" xfId="0" applyFont="1" applyFill="1" applyBorder="1" applyAlignment="1">
      <alignment horizontal="center" vertical="center"/>
    </xf>
    <xf numFmtId="0" fontId="4" fillId="3" borderId="59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8" borderId="13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4" fillId="7" borderId="3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9" borderId="42" xfId="0" applyFont="1" applyFill="1" applyBorder="1" applyAlignment="1">
      <alignment horizontal="center"/>
    </xf>
    <xf numFmtId="0" fontId="4" fillId="9" borderId="43" xfId="0" applyFont="1" applyFill="1" applyBorder="1" applyAlignment="1">
      <alignment horizontal="center"/>
    </xf>
    <xf numFmtId="0" fontId="4" fillId="7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166" fontId="4" fillId="3" borderId="25" xfId="0" applyNumberFormat="1" applyFont="1" applyFill="1" applyBorder="1" applyAlignment="1">
      <alignment horizontal="center" vertical="center"/>
    </xf>
    <xf numFmtId="166" fontId="4" fillId="6" borderId="2" xfId="0" applyNumberFormat="1" applyFont="1" applyFill="1" applyBorder="1" applyAlignment="1">
      <alignment horizontal="center" vertical="center" wrapText="1"/>
    </xf>
    <xf numFmtId="166" fontId="4" fillId="6" borderId="6" xfId="0" applyNumberFormat="1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6" xfId="0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 wrapText="1"/>
    </xf>
    <xf numFmtId="166" fontId="4" fillId="2" borderId="28" xfId="0" applyNumberFormat="1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3" borderId="3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textRotation="90"/>
    </xf>
    <xf numFmtId="0" fontId="0" fillId="0" borderId="0" xfId="0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0" fillId="0" borderId="0" xfId="0"/>
    <xf numFmtId="0" fontId="4" fillId="8" borderId="63" xfId="0" applyFont="1" applyFill="1" applyBorder="1" applyAlignment="1">
      <alignment horizontal="center" vertical="center" wrapText="1"/>
    </xf>
    <xf numFmtId="0" fontId="4" fillId="8" borderId="4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13" borderId="25" xfId="0" applyFont="1" applyFill="1" applyBorder="1" applyAlignment="1">
      <alignment horizontal="center" vertical="center" wrapText="1"/>
    </xf>
    <xf numFmtId="0" fontId="4" fillId="13" borderId="28" xfId="0" applyFont="1" applyFill="1" applyBorder="1" applyAlignment="1">
      <alignment horizontal="center" vertical="center" wrapText="1"/>
    </xf>
    <xf numFmtId="0" fontId="4" fillId="13" borderId="9" xfId="0" applyFont="1" applyFill="1" applyBorder="1" applyAlignment="1">
      <alignment horizontal="center" vertical="center" wrapText="1"/>
    </xf>
    <xf numFmtId="0" fontId="4" fillId="14" borderId="25" xfId="0" applyFont="1" applyFill="1" applyBorder="1" applyAlignment="1">
      <alignment horizontal="center" vertical="center" wrapText="1"/>
    </xf>
    <xf numFmtId="0" fontId="4" fillId="14" borderId="9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13" borderId="31" xfId="0" applyFont="1" applyFill="1" applyBorder="1" applyAlignment="1">
      <alignment horizontal="center" vertical="center"/>
    </xf>
    <xf numFmtId="0" fontId="4" fillId="13" borderId="40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center" vertical="center" wrapText="1"/>
    </xf>
    <xf numFmtId="0" fontId="4" fillId="13" borderId="1" xfId="0" applyFont="1" applyFill="1" applyBorder="1" applyAlignment="1">
      <alignment horizontal="center" vertical="center" wrapText="1"/>
    </xf>
    <xf numFmtId="0" fontId="4" fillId="13" borderId="33" xfId="0" applyFont="1" applyFill="1" applyBorder="1" applyAlignment="1">
      <alignment horizontal="center" vertical="center" wrapText="1"/>
    </xf>
    <xf numFmtId="0" fontId="4" fillId="13" borderId="38" xfId="0" applyFont="1" applyFill="1" applyBorder="1" applyAlignment="1">
      <alignment horizontal="center" vertical="center" wrapText="1"/>
    </xf>
    <xf numFmtId="0" fontId="4" fillId="15" borderId="31" xfId="0" applyFont="1" applyFill="1" applyBorder="1" applyAlignment="1">
      <alignment horizontal="center" vertical="center" wrapText="1"/>
    </xf>
    <xf numFmtId="0" fontId="4" fillId="15" borderId="40" xfId="0" applyFont="1" applyFill="1" applyBorder="1" applyAlignment="1">
      <alignment horizontal="center" vertical="center" wrapText="1"/>
    </xf>
    <xf numFmtId="0" fontId="4" fillId="13" borderId="5" xfId="0" applyFont="1" applyFill="1" applyBorder="1" applyAlignment="1">
      <alignment horizontal="center" vertical="center" wrapText="1"/>
    </xf>
    <xf numFmtId="0" fontId="4" fillId="13" borderId="39" xfId="0" applyFont="1" applyFill="1" applyBorder="1" applyAlignment="1">
      <alignment horizontal="center" vertical="center" wrapText="1"/>
    </xf>
    <xf numFmtId="0" fontId="4" fillId="14" borderId="31" xfId="0" applyFont="1" applyFill="1" applyBorder="1" applyAlignment="1">
      <alignment horizontal="center" vertical="center" wrapText="1"/>
    </xf>
    <xf numFmtId="0" fontId="4" fillId="14" borderId="40" xfId="0" applyFont="1" applyFill="1" applyBorder="1" applyAlignment="1">
      <alignment horizontal="center" vertical="center" wrapText="1"/>
    </xf>
    <xf numFmtId="0" fontId="4" fillId="14" borderId="63" xfId="0" applyFont="1" applyFill="1" applyBorder="1" applyAlignment="1">
      <alignment horizontal="center" vertical="center" wrapText="1"/>
    </xf>
    <xf numFmtId="0" fontId="4" fillId="14" borderId="4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164" fontId="4" fillId="3" borderId="4" xfId="0" applyNumberFormat="1" applyFont="1" applyFill="1" applyBorder="1" applyAlignment="1">
      <alignment horizontal="center" vertical="center"/>
    </xf>
    <xf numFmtId="166" fontId="4" fillId="8" borderId="58" xfId="0" applyNumberFormat="1" applyFont="1" applyFill="1" applyBorder="1" applyAlignment="1">
      <alignment horizontal="center"/>
    </xf>
    <xf numFmtId="166" fontId="4" fillId="8" borderId="60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vertical="center"/>
    </xf>
    <xf numFmtId="166" fontId="4" fillId="2" borderId="4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6" fontId="4" fillId="2" borderId="5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 wrapText="1"/>
    </xf>
    <xf numFmtId="166" fontId="4" fillId="14" borderId="6" xfId="0" applyNumberFormat="1" applyFont="1" applyFill="1" applyBorder="1" applyAlignment="1">
      <alignment horizontal="center" vertical="center" wrapText="1"/>
    </xf>
    <xf numFmtId="164" fontId="4" fillId="15" borderId="4" xfId="0" applyNumberFormat="1" applyFont="1" applyFill="1" applyBorder="1" applyAlignment="1">
      <alignment horizontal="center" vertical="center" wrapText="1"/>
    </xf>
    <xf numFmtId="164" fontId="4" fillId="15" borderId="1" xfId="0" applyNumberFormat="1" applyFont="1" applyFill="1" applyBorder="1" applyAlignment="1">
      <alignment horizontal="center" vertical="center" wrapText="1"/>
    </xf>
    <xf numFmtId="166" fontId="4" fillId="8" borderId="2" xfId="0" applyNumberFormat="1" applyFont="1" applyFill="1" applyBorder="1" applyAlignment="1">
      <alignment horizontal="center" vertical="center" wrapText="1"/>
    </xf>
    <xf numFmtId="166" fontId="4" fillId="8" borderId="6" xfId="0" applyNumberFormat="1" applyFont="1" applyFill="1" applyBorder="1" applyAlignment="1">
      <alignment horizontal="center" vertical="center" wrapText="1"/>
    </xf>
    <xf numFmtId="166" fontId="4" fillId="15" borderId="31" xfId="0" applyNumberFormat="1" applyFont="1" applyFill="1" applyBorder="1" applyAlignment="1">
      <alignment horizontal="center" vertical="center" wrapText="1"/>
    </xf>
    <xf numFmtId="166" fontId="4" fillId="15" borderId="40" xfId="0" applyNumberFormat="1" applyFont="1" applyFill="1" applyBorder="1" applyAlignment="1">
      <alignment horizontal="center" vertical="center" wrapText="1"/>
    </xf>
    <xf numFmtId="166" fontId="4" fillId="15" borderId="58" xfId="0" applyNumberFormat="1" applyFont="1" applyFill="1" applyBorder="1" applyAlignment="1">
      <alignment horizontal="center"/>
    </xf>
    <xf numFmtId="166" fontId="4" fillId="15" borderId="59" xfId="0" applyNumberFormat="1" applyFont="1" applyFill="1" applyBorder="1" applyAlignment="1">
      <alignment horizontal="center"/>
    </xf>
    <xf numFmtId="164" fontId="4" fillId="15" borderId="59" xfId="0" applyNumberFormat="1" applyFont="1" applyFill="1" applyBorder="1" applyAlignment="1">
      <alignment horizontal="center"/>
    </xf>
    <xf numFmtId="164" fontId="4" fillId="15" borderId="60" xfId="0" applyNumberFormat="1" applyFont="1" applyFill="1" applyBorder="1" applyAlignment="1">
      <alignment horizontal="center"/>
    </xf>
    <xf numFmtId="166" fontId="4" fillId="14" borderId="5" xfId="0" applyNumberFormat="1" applyFont="1" applyFill="1" applyBorder="1" applyAlignment="1">
      <alignment horizontal="center" vertical="center"/>
    </xf>
    <xf numFmtId="166" fontId="4" fillId="14" borderId="39" xfId="0" applyNumberFormat="1" applyFont="1" applyFill="1" applyBorder="1" applyAlignment="1">
      <alignment horizontal="center" vertical="center"/>
    </xf>
    <xf numFmtId="166" fontId="4" fillId="14" borderId="2" xfId="0" applyNumberFormat="1" applyFont="1" applyFill="1" applyBorder="1" applyAlignment="1">
      <alignment horizontal="center" vertical="center"/>
    </xf>
    <xf numFmtId="166" fontId="4" fillId="14" borderId="6" xfId="0" applyNumberFormat="1" applyFont="1" applyFill="1" applyBorder="1" applyAlignment="1">
      <alignment horizontal="center" vertical="center"/>
    </xf>
    <xf numFmtId="0" fontId="4" fillId="19" borderId="3" xfId="0" applyFont="1" applyFill="1" applyBorder="1" applyAlignment="1">
      <alignment horizontal="center"/>
    </xf>
    <xf numFmtId="0" fontId="4" fillId="19" borderId="4" xfId="0" applyFont="1" applyFill="1" applyBorder="1" applyAlignment="1">
      <alignment horizontal="center"/>
    </xf>
    <xf numFmtId="0" fontId="4" fillId="19" borderId="5" xfId="0" applyFont="1" applyFill="1" applyBorder="1" applyAlignment="1">
      <alignment horizontal="center"/>
    </xf>
    <xf numFmtId="166" fontId="4" fillId="19" borderId="14" xfId="0" applyNumberFormat="1" applyFont="1" applyFill="1" applyBorder="1" applyAlignment="1">
      <alignment horizontal="center"/>
    </xf>
    <xf numFmtId="0" fontId="4" fillId="19" borderId="0" xfId="0" applyFont="1" applyFill="1" applyAlignment="1">
      <alignment horizontal="center"/>
    </xf>
    <xf numFmtId="0" fontId="4" fillId="15" borderId="3" xfId="0" applyFont="1" applyFill="1" applyBorder="1" applyAlignment="1">
      <alignment horizontal="center"/>
    </xf>
    <xf numFmtId="0" fontId="4" fillId="15" borderId="32" xfId="0" applyFont="1" applyFill="1" applyBorder="1" applyAlignment="1">
      <alignment horizontal="center"/>
    </xf>
    <xf numFmtId="166" fontId="4" fillId="19" borderId="29" xfId="0" applyNumberFormat="1" applyFont="1" applyFill="1" applyBorder="1" applyAlignment="1">
      <alignment horizontal="center"/>
    </xf>
    <xf numFmtId="166" fontId="4" fillId="19" borderId="1" xfId="0" applyNumberFormat="1" applyFont="1" applyFill="1" applyBorder="1" applyAlignment="1">
      <alignment horizontal="center"/>
    </xf>
    <xf numFmtId="167" fontId="4" fillId="19" borderId="29" xfId="0" applyNumberFormat="1" applyFont="1" applyFill="1" applyBorder="1" applyAlignment="1">
      <alignment horizontal="center"/>
    </xf>
    <xf numFmtId="167" fontId="4" fillId="19" borderId="1" xfId="0" applyNumberFormat="1" applyFont="1" applyFill="1" applyBorder="1" applyAlignment="1">
      <alignment horizontal="center"/>
    </xf>
    <xf numFmtId="0" fontId="4" fillId="20" borderId="4" xfId="0" applyFont="1" applyFill="1" applyBorder="1" applyAlignment="1">
      <alignment horizontal="center"/>
    </xf>
    <xf numFmtId="0" fontId="4" fillId="20" borderId="5" xfId="0" applyFont="1" applyFill="1" applyBorder="1" applyAlignment="1">
      <alignment horizontal="center"/>
    </xf>
    <xf numFmtId="166" fontId="4" fillId="19" borderId="0" xfId="0" applyNumberFormat="1" applyFont="1" applyFill="1" applyAlignment="1">
      <alignment horizontal="center"/>
    </xf>
    <xf numFmtId="0" fontId="4" fillId="19" borderId="13" xfId="0" applyFont="1" applyFill="1" applyBorder="1" applyAlignment="1">
      <alignment horizontal="center"/>
    </xf>
    <xf numFmtId="167" fontId="4" fillId="2" borderId="29" xfId="0" applyNumberFormat="1" applyFont="1" applyFill="1" applyBorder="1" applyAlignment="1">
      <alignment horizontal="center"/>
    </xf>
    <xf numFmtId="167" fontId="4" fillId="2" borderId="1" xfId="0" applyNumberFormat="1" applyFont="1" applyFill="1" applyBorder="1" applyAlignment="1">
      <alignment horizontal="center"/>
    </xf>
    <xf numFmtId="167" fontId="4" fillId="2" borderId="39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0" borderId="56" xfId="0" applyFont="1" applyFill="1" applyBorder="1" applyAlignment="1">
      <alignment horizontal="center"/>
    </xf>
    <xf numFmtId="0" fontId="4" fillId="20" borderId="52" xfId="0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4" fillId="3" borderId="13" xfId="0" applyNumberFormat="1" applyFont="1" applyFill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/>
    </xf>
    <xf numFmtId="166" fontId="4" fillId="0" borderId="5" xfId="0" applyNumberFormat="1" applyFont="1" applyBorder="1" applyAlignment="1">
      <alignment horizontal="center"/>
    </xf>
    <xf numFmtId="166" fontId="4" fillId="14" borderId="31" xfId="0" applyNumberFormat="1" applyFont="1" applyFill="1" applyBorder="1" applyAlignment="1">
      <alignment horizontal="center" vertical="center" wrapText="1"/>
    </xf>
    <xf numFmtId="166" fontId="4" fillId="14" borderId="11" xfId="0" applyNumberFormat="1" applyFont="1" applyFill="1" applyBorder="1" applyAlignment="1">
      <alignment horizontal="center" vertical="center" wrapText="1"/>
    </xf>
    <xf numFmtId="166" fontId="4" fillId="14" borderId="40" xfId="0" applyNumberFormat="1" applyFont="1" applyFill="1" applyBorder="1" applyAlignment="1">
      <alignment horizontal="center" vertical="center" wrapText="1"/>
    </xf>
    <xf numFmtId="166" fontId="4" fillId="14" borderId="5" xfId="0" applyNumberFormat="1" applyFont="1" applyFill="1" applyBorder="1" applyAlignment="1">
      <alignment horizontal="center" vertical="center" wrapText="1"/>
    </xf>
    <xf numFmtId="166" fontId="4" fillId="14" borderId="13" xfId="0" applyNumberFormat="1" applyFont="1" applyFill="1" applyBorder="1" applyAlignment="1">
      <alignment horizontal="center" vertical="center" wrapText="1"/>
    </xf>
    <xf numFmtId="166" fontId="4" fillId="14" borderId="39" xfId="0" applyNumberFormat="1" applyFont="1" applyFill="1" applyBorder="1" applyAlignment="1">
      <alignment horizontal="center" vertical="center" wrapText="1"/>
    </xf>
    <xf numFmtId="166" fontId="4" fillId="3" borderId="31" xfId="0" applyNumberFormat="1" applyFont="1" applyFill="1" applyBorder="1" applyAlignment="1">
      <alignment horizontal="center" vertical="center"/>
    </xf>
    <xf numFmtId="166" fontId="4" fillId="3" borderId="40" xfId="0" applyNumberFormat="1" applyFont="1" applyFill="1" applyBorder="1" applyAlignment="1">
      <alignment horizontal="center" vertical="center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1" borderId="25" xfId="0" applyNumberFormat="1" applyFont="1" applyFill="1" applyBorder="1" applyAlignment="1">
      <alignment horizontal="center" vertical="center"/>
    </xf>
    <xf numFmtId="166" fontId="4" fillId="21" borderId="28" xfId="0" applyNumberFormat="1" applyFont="1" applyFill="1" applyBorder="1" applyAlignment="1">
      <alignment horizontal="center" vertical="center"/>
    </xf>
    <xf numFmtId="166" fontId="4" fillId="21" borderId="9" xfId="0" applyNumberFormat="1" applyFont="1" applyFill="1" applyBorder="1" applyAlignment="1">
      <alignment horizontal="center" vertical="center"/>
    </xf>
    <xf numFmtId="166" fontId="4" fillId="21" borderId="63" xfId="0" applyNumberFormat="1" applyFont="1" applyFill="1" applyBorder="1" applyAlignment="1">
      <alignment horizontal="center" vertical="center"/>
    </xf>
    <xf numFmtId="166" fontId="4" fillId="21" borderId="44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1" borderId="2" xfId="0" applyFont="1" applyFill="1" applyBorder="1" applyAlignment="1">
      <alignment horizontal="center" vertical="center" wrapText="1"/>
    </xf>
    <xf numFmtId="0" fontId="4" fillId="21" borderId="6" xfId="0" applyFont="1" applyFill="1" applyBorder="1" applyAlignment="1">
      <alignment horizontal="center" vertical="center" wrapText="1"/>
    </xf>
    <xf numFmtId="0" fontId="4" fillId="22" borderId="5" xfId="0" applyFont="1" applyFill="1" applyBorder="1" applyAlignment="1">
      <alignment horizontal="center" vertical="center" wrapText="1"/>
    </xf>
    <xf numFmtId="0" fontId="4" fillId="22" borderId="39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vertical="center" wrapText="1"/>
    </xf>
    <xf numFmtId="0" fontId="4" fillId="3" borderId="28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  <xf numFmtId="0" fontId="4" fillId="21" borderId="58" xfId="0" applyFont="1" applyFill="1" applyBorder="1" applyAlignment="1">
      <alignment horizontal="center" vertical="center"/>
    </xf>
    <xf numFmtId="0" fontId="4" fillId="21" borderId="59" xfId="0" applyFont="1" applyFill="1" applyBorder="1" applyAlignment="1">
      <alignment vertical="center"/>
    </xf>
    <xf numFmtId="0" fontId="4" fillId="21" borderId="60" xfId="0" applyFont="1" applyFill="1" applyBorder="1" applyAlignment="1">
      <alignment vertical="center"/>
    </xf>
    <xf numFmtId="0" fontId="4" fillId="22" borderId="58" xfId="0" applyFont="1" applyFill="1" applyBorder="1" applyAlignment="1">
      <alignment horizontal="center" vertical="center"/>
    </xf>
    <xf numFmtId="0" fontId="4" fillId="22" borderId="59" xfId="0" applyFont="1" applyFill="1" applyBorder="1" applyAlignment="1">
      <alignment horizontal="center" vertical="center"/>
    </xf>
    <xf numFmtId="0" fontId="4" fillId="22" borderId="60" xfId="0" applyFont="1" applyFill="1" applyBorder="1" applyAlignment="1">
      <alignment horizontal="center" vertical="center"/>
    </xf>
    <xf numFmtId="166" fontId="4" fillId="14" borderId="10" xfId="0" applyNumberFormat="1" applyFont="1" applyFill="1" applyBorder="1" applyAlignment="1">
      <alignment horizontal="center" vertical="center" wrapText="1"/>
    </xf>
    <xf numFmtId="166" fontId="4" fillId="14" borderId="0" xfId="0" applyNumberFormat="1" applyFont="1" applyFill="1" applyAlignment="1">
      <alignment horizontal="center" vertical="center" wrapText="1"/>
    </xf>
    <xf numFmtId="166" fontId="4" fillId="3" borderId="5" xfId="0" applyNumberFormat="1" applyFont="1" applyFill="1" applyBorder="1" applyAlignment="1">
      <alignment horizontal="center" vertical="center"/>
    </xf>
    <xf numFmtId="166" fontId="4" fillId="3" borderId="9" xfId="0" applyNumberFormat="1" applyFont="1" applyFill="1" applyBorder="1" applyAlignment="1">
      <alignment horizontal="center" vertical="center"/>
    </xf>
    <xf numFmtId="164" fontId="4" fillId="3" borderId="63" xfId="0" applyNumberFormat="1" applyFont="1" applyFill="1" applyBorder="1" applyAlignment="1">
      <alignment horizontal="center" vertical="center" wrapText="1"/>
    </xf>
    <xf numFmtId="164" fontId="4" fillId="3" borderId="34" xfId="0" applyNumberFormat="1" applyFont="1" applyFill="1" applyBorder="1" applyAlignment="1">
      <alignment horizontal="center" vertical="center" wrapText="1"/>
    </xf>
    <xf numFmtId="164" fontId="4" fillId="3" borderId="44" xfId="0" applyNumberFormat="1" applyFont="1" applyFill="1" applyBorder="1" applyAlignment="1">
      <alignment horizontal="center" vertical="center" wrapText="1"/>
    </xf>
    <xf numFmtId="166" fontId="4" fillId="21" borderId="11" xfId="0" applyNumberFormat="1" applyFont="1" applyFill="1" applyBorder="1" applyAlignment="1">
      <alignment horizontal="center" vertical="center" wrapText="1"/>
    </xf>
    <xf numFmtId="166" fontId="4" fillId="21" borderId="31" xfId="0" applyNumberFormat="1" applyFont="1" applyFill="1" applyBorder="1" applyAlignment="1">
      <alignment horizontal="center" vertical="center" wrapText="1"/>
    </xf>
    <xf numFmtId="166" fontId="4" fillId="21" borderId="2" xfId="0" applyNumberFormat="1" applyFont="1" applyFill="1" applyBorder="1" applyAlignment="1">
      <alignment horizontal="center" vertical="center" wrapText="1"/>
    </xf>
    <xf numFmtId="166" fontId="4" fillId="21" borderId="6" xfId="0" applyNumberFormat="1" applyFont="1" applyFill="1" applyBorder="1" applyAlignment="1">
      <alignment horizontal="center" vertical="center" wrapText="1"/>
    </xf>
    <xf numFmtId="166" fontId="4" fillId="22" borderId="5" xfId="0" applyNumberFormat="1" applyFont="1" applyFill="1" applyBorder="1" applyAlignment="1">
      <alignment horizontal="center" vertical="center" wrapText="1"/>
    </xf>
    <xf numFmtId="166" fontId="4" fillId="22" borderId="39" xfId="0" applyNumberFormat="1" applyFont="1" applyFill="1" applyBorder="1" applyAlignment="1">
      <alignment horizontal="center" vertical="center" wrapText="1"/>
    </xf>
    <xf numFmtId="166" fontId="4" fillId="2" borderId="25" xfId="0" applyNumberFormat="1" applyFont="1" applyFill="1" applyBorder="1" applyAlignment="1">
      <alignment horizontal="center" vertical="center"/>
    </xf>
    <xf numFmtId="166" fontId="4" fillId="2" borderId="28" xfId="0" applyNumberFormat="1" applyFont="1" applyFill="1" applyBorder="1" applyAlignment="1">
      <alignment horizontal="center" vertical="center"/>
    </xf>
    <xf numFmtId="164" fontId="4" fillId="3" borderId="28" xfId="0" applyNumberFormat="1" applyFont="1" applyFill="1" applyBorder="1" applyAlignment="1">
      <alignment horizontal="center" vertical="center"/>
    </xf>
    <xf numFmtId="166" fontId="4" fillId="21" borderId="58" xfId="0" applyNumberFormat="1" applyFont="1" applyFill="1" applyBorder="1" applyAlignment="1">
      <alignment horizontal="center" vertical="center"/>
    </xf>
    <xf numFmtId="164" fontId="4" fillId="21" borderId="60" xfId="0" applyNumberFormat="1" applyFont="1" applyFill="1" applyBorder="1" applyAlignment="1">
      <alignment horizontal="center" vertical="center"/>
    </xf>
    <xf numFmtId="166" fontId="4" fillId="22" borderId="58" xfId="0" applyNumberFormat="1" applyFont="1" applyFill="1" applyBorder="1" applyAlignment="1">
      <alignment horizontal="center" vertical="center"/>
    </xf>
    <xf numFmtId="164" fontId="4" fillId="22" borderId="60" xfId="0" applyNumberFormat="1" applyFont="1" applyFill="1" applyBorder="1" applyAlignment="1">
      <alignment horizontal="center" vertical="center"/>
    </xf>
    <xf numFmtId="174" fontId="0" fillId="0" borderId="0" xfId="1" applyNumberFormat="1" applyFont="1" applyFill="1" applyAlignment="1">
      <alignment horizontal="center"/>
    </xf>
    <xf numFmtId="170" fontId="0" fillId="0" borderId="0" xfId="0" applyNumberFormat="1"/>
  </cellXfs>
  <cellStyles count="5">
    <cellStyle name="Comma" xfId="2" builtinId="3"/>
    <cellStyle name="Currency" xfId="4" builtinId="4"/>
    <cellStyle name="Currency 2" xfId="3" xr:uid="{7F7B6E35-790E-40CD-B4DD-FEC7152FD0BC}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0000"/>
      <color rgb="FFFCD5B4"/>
      <color rgb="FFFFFF00"/>
      <color rgb="FFE6B8B7"/>
      <color rgb="FFBDD7EE"/>
      <color rgb="FFBFBFBF"/>
      <color rgb="FFFFD966"/>
      <color rgb="FFB7DEE8"/>
      <color rgb="FFFABF8F"/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4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3.xml"/><Relationship Id="rId10" Type="http://schemas.openxmlformats.org/officeDocument/2006/relationships/worksheet" Target="worksheets/sheet9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worksheet" Target="worksheets/sheet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Debt Service</a:t>
            </a:r>
          </a:p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(fee replacement debt ONLY)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1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Summary'!$AD$15:$AD$32</c15:sqref>
                  </c15:fullRef>
                </c:ext>
              </c:extLst>
              <c:f>'CAPITAL Debt Summary'!$AD$17:$AD$32</c:f>
              <c:numCache>
                <c:formatCode>_("$"* #,##0_);_("$"* \(#,##0\);_("$"* "-"??_);_(@_)</c:formatCode>
                <c:ptCount val="16"/>
                <c:pt idx="0">
                  <c:v>138190597.31999999</c:v>
                </c:pt>
                <c:pt idx="1">
                  <c:v>111779993.05</c:v>
                </c:pt>
                <c:pt idx="2">
                  <c:v>96509609.510000005</c:v>
                </c:pt>
                <c:pt idx="3">
                  <c:v>90367853.75</c:v>
                </c:pt>
                <c:pt idx="4">
                  <c:v>83636414.700000003</c:v>
                </c:pt>
                <c:pt idx="5">
                  <c:v>80792292.5</c:v>
                </c:pt>
                <c:pt idx="6">
                  <c:v>77791300</c:v>
                </c:pt>
                <c:pt idx="7">
                  <c:v>70798480</c:v>
                </c:pt>
                <c:pt idx="8">
                  <c:v>70771917.5</c:v>
                </c:pt>
                <c:pt idx="9">
                  <c:v>61885645</c:v>
                </c:pt>
                <c:pt idx="10">
                  <c:v>43552662.5</c:v>
                </c:pt>
                <c:pt idx="11">
                  <c:v>37828375</c:v>
                </c:pt>
                <c:pt idx="12">
                  <c:v>20012500</c:v>
                </c:pt>
                <c:pt idx="13">
                  <c:v>9337150</c:v>
                </c:pt>
                <c:pt idx="14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91-4D67-AF8C-3A09F1BF49CB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1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1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Summary'!$AE$15:$AE$32</c15:sqref>
                  </c15:fullRef>
                </c:ext>
              </c:extLst>
              <c:f>'CAPITAL Debt Summary'!$AE$17:$AE$32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91-4D67-AF8C-3A09F1BF4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20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Outstanding Debt</a:t>
            </a:r>
            <a:br>
              <a:rPr lang="en-US"/>
            </a:br>
            <a:r>
              <a:rPr lang="en-US" sz="1100" b="0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</a:rPr>
              <a:t>(fee replacement debt ONLY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v>Existing Debt</c:v>
          </c:tx>
          <c:spPr>
            <a:gradFill rotWithShape="1">
              <a:gsLst>
                <a:gs pos="0">
                  <a:schemeClr val="accent2">
                    <a:shade val="76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shade val="76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shade val="76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shade val="76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Summary'!$AF$15:$AF$32</c15:sqref>
                  </c15:fullRef>
                </c:ext>
              </c:extLst>
              <c:f>'CAPITAL Debt Summary'!$AF$17:$AF$32</c:f>
              <c:numCache>
                <c:formatCode>_("$"* #,##0_);_("$"* \(#,##0\);_("$"* "-"??_);_(@_)</c:formatCode>
                <c:ptCount val="16"/>
                <c:pt idx="0">
                  <c:v>858651693.50999999</c:v>
                </c:pt>
                <c:pt idx="1">
                  <c:v>746871700.46000004</c:v>
                </c:pt>
                <c:pt idx="2">
                  <c:v>650362090.95000005</c:v>
                </c:pt>
                <c:pt idx="3">
                  <c:v>559994237.20000005</c:v>
                </c:pt>
                <c:pt idx="4">
                  <c:v>476357822.5</c:v>
                </c:pt>
                <c:pt idx="5">
                  <c:v>395565530</c:v>
                </c:pt>
                <c:pt idx="6">
                  <c:v>317774230</c:v>
                </c:pt>
                <c:pt idx="7">
                  <c:v>246975750</c:v>
                </c:pt>
                <c:pt idx="8">
                  <c:v>176203832.5</c:v>
                </c:pt>
                <c:pt idx="9">
                  <c:v>114318187.5</c:v>
                </c:pt>
                <c:pt idx="10">
                  <c:v>70765525</c:v>
                </c:pt>
                <c:pt idx="11">
                  <c:v>32937150.000000007</c:v>
                </c:pt>
                <c:pt idx="12">
                  <c:v>12924650.000000007</c:v>
                </c:pt>
                <c:pt idx="13">
                  <c:v>3587500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2B0-8450-B61E8C1B99D1}"/>
            </c:ext>
          </c:extLst>
        </c:ser>
        <c:ser>
          <c:idx val="1"/>
          <c:order val="1"/>
          <c:tx>
            <c:v>New Debt</c:v>
          </c:tx>
          <c:spPr>
            <a:gradFill rotWithShape="1">
              <a:gsLst>
                <a:gs pos="0">
                  <a:schemeClr val="accent2">
                    <a:tint val="77000"/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tint val="77000"/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tint val="77000"/>
                    <a:lumMod val="105000"/>
                    <a:satMod val="109000"/>
                    <a:tint val="81000"/>
                  </a:schemeClr>
                </a:gs>
              </a:gsLst>
              <a:lin ang="5400000" scaled="0"/>
              <a:tileRect/>
            </a:gradFill>
            <a:ln w="9525" cmpd="sng" algn="ctr">
              <a:solidFill>
                <a:schemeClr val="accent2">
                  <a:tint val="77000"/>
                  <a:shade val="95000"/>
                </a:schemeClr>
              </a:solidFill>
              <a:round/>
            </a:ln>
            <a:effectLst/>
          </c:spPr>
          <c:cat>
            <c:numRef>
              <c:extLst>
                <c:ext xmlns:c15="http://schemas.microsoft.com/office/drawing/2012/chart" uri="{02D57815-91ED-43cb-92C2-25804820EDAC}">
                  <c15:fullRef>
                    <c15:sqref>'CAPITAL Debt Summary'!$A$15:$A$32</c15:sqref>
                  </c15:fullRef>
                </c:ext>
              </c:extLst>
              <c:f>'CAPITAL Debt Summary'!$A$17:$A$32</c:f>
              <c:numCache>
                <c:formatCode>General</c:formatCode>
                <c:ptCount val="16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  <c:pt idx="4">
                  <c:v>2031</c:v>
                </c:pt>
                <c:pt idx="5">
                  <c:v>2032</c:v>
                </c:pt>
                <c:pt idx="6">
                  <c:v>2033</c:v>
                </c:pt>
                <c:pt idx="7">
                  <c:v>2034</c:v>
                </c:pt>
                <c:pt idx="8">
                  <c:v>2035</c:v>
                </c:pt>
                <c:pt idx="9">
                  <c:v>2036</c:v>
                </c:pt>
                <c:pt idx="10">
                  <c:v>2037</c:v>
                </c:pt>
                <c:pt idx="11">
                  <c:v>2038</c:v>
                </c:pt>
                <c:pt idx="12">
                  <c:v>2039</c:v>
                </c:pt>
                <c:pt idx="13">
                  <c:v>2040</c:v>
                </c:pt>
                <c:pt idx="14">
                  <c:v>2041</c:v>
                </c:pt>
                <c:pt idx="15">
                  <c:v>2042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'CAPITAL Debt Summary'!$AG$15:$AG$32</c15:sqref>
                  </c15:fullRef>
                </c:ext>
              </c:extLst>
              <c:f>'CAPITAL Debt Summary'!$AG$17:$AG$32</c:f>
              <c:numCache>
                <c:formatCode>_("$"* #,##0_);_("$"* \(#,##0\);_("$"* "-"??_);_(@_)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1D-42B0-8450-B61E8C1B99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>
          <c:spPr>
            <a:ln w="9525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crossBetween val="midCat"/>
        <c:majorUnit val="7500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0"/>
    <c:dispBlanksAs val="zero"/>
    <c:showDLblsOverMax val="0"/>
  </c:chart>
  <c:spPr>
    <a:solidFill>
      <a:schemeClr val="bg1"/>
    </a:solidFill>
    <a:ln w="9525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C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D00-000000000000}">
  <sheetPr>
    <tabColor theme="3" tint="0.39997558519241921"/>
  </sheetPr>
  <sheetViews>
    <sheetView zoomScale="107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421" cy="628472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inshaw, Seth (CHE)" id="{AFAC9380-B6A6-4973-B05E-7FE32FC06126}" userId="S::SHinshaw@che.in.gov::1fc74d1e-f628-4bab-abfd-503b578b207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9" dT="2022-10-24T15:47:00.54" personId="{AFAC9380-B6A6-4973-B05E-7FE32FC06126}" id="{44659205-F127-4293-B070-4659520267B2}">
    <text>Previously "Statewide Technology"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3.bin"/><Relationship Id="rId4" Type="http://schemas.microsoft.com/office/2017/10/relationships/threadedComment" Target="../threadedComments/threadedComment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14999847407452621"/>
  </sheetPr>
  <dimension ref="A2:Q99"/>
  <sheetViews>
    <sheetView tabSelected="1" topLeftCell="A50" zoomScale="80" zoomScaleNormal="80" workbookViewId="0">
      <selection activeCell="P79" sqref="P79"/>
    </sheetView>
  </sheetViews>
  <sheetFormatPr defaultRowHeight="15" x14ac:dyDescent="0.25"/>
  <cols>
    <col min="1" max="1" width="9.28515625" customWidth="1"/>
    <col min="2" max="2" width="30.7109375" customWidth="1"/>
    <col min="3" max="9" width="9.28515625" customWidth="1"/>
    <col min="10" max="10" width="3.7109375" bestFit="1" customWidth="1"/>
    <col min="11" max="12" width="9.28515625" customWidth="1"/>
    <col min="13" max="14" width="12.42578125" bestFit="1" customWidth="1"/>
    <col min="15" max="17" width="9.28515625" customWidth="1"/>
  </cols>
  <sheetData>
    <row r="2" spans="1:17" ht="28.5" x14ac:dyDescent="0.25">
      <c r="A2" s="399" t="s">
        <v>370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"/>
      <c r="O2" s="3"/>
      <c r="P2" s="3"/>
      <c r="Q2" s="3"/>
    </row>
    <row r="3" spans="1:17" ht="18.75" x14ac:dyDescent="0.25">
      <c r="A3" s="400" t="s">
        <v>371</v>
      </c>
      <c r="B3" s="400"/>
      <c r="C3" s="400"/>
      <c r="D3" s="400"/>
      <c r="E3" s="400"/>
      <c r="F3" s="400"/>
      <c r="G3" s="400"/>
      <c r="H3" s="400"/>
      <c r="I3" s="400"/>
      <c r="J3" s="400"/>
      <c r="K3" s="400"/>
      <c r="L3" s="400"/>
      <c r="M3" s="400"/>
      <c r="N3" s="4"/>
      <c r="O3" s="4"/>
      <c r="P3" s="4"/>
      <c r="Q3" s="4"/>
    </row>
    <row r="4" spans="1:17" ht="15.75" customHeight="1" x14ac:dyDescent="0.25">
      <c r="B4" s="395" t="s">
        <v>0</v>
      </c>
      <c r="C4" s="395"/>
      <c r="D4" s="395"/>
      <c r="E4" s="395"/>
      <c r="F4" s="395"/>
      <c r="G4" s="395"/>
      <c r="H4" s="395"/>
      <c r="I4" s="395"/>
      <c r="J4" s="395"/>
      <c r="K4" s="395"/>
      <c r="L4" s="395"/>
    </row>
    <row r="5" spans="1:17" x14ac:dyDescent="0.25">
      <c r="B5" s="401"/>
      <c r="C5" s="401"/>
      <c r="D5" s="401"/>
      <c r="E5" s="401"/>
      <c r="H5" s="402" t="s">
        <v>291</v>
      </c>
      <c r="I5" s="402"/>
      <c r="K5" s="402" t="s">
        <v>292</v>
      </c>
      <c r="L5" s="402"/>
    </row>
    <row r="6" spans="1:17" x14ac:dyDescent="0.25">
      <c r="B6" s="391" t="s">
        <v>1</v>
      </c>
      <c r="C6" s="391"/>
      <c r="D6" s="391"/>
      <c r="E6" s="391"/>
    </row>
    <row r="7" spans="1:17" x14ac:dyDescent="0.25">
      <c r="B7" s="390" t="s">
        <v>2</v>
      </c>
      <c r="C7" s="390"/>
      <c r="D7" s="390"/>
      <c r="E7" s="390"/>
      <c r="G7" s="219"/>
      <c r="H7" s="226">
        <v>0</v>
      </c>
      <c r="I7" s="227"/>
      <c r="K7" s="226">
        <v>0</v>
      </c>
      <c r="L7" s="227"/>
    </row>
    <row r="8" spans="1:17" x14ac:dyDescent="0.25">
      <c r="B8" s="217" t="s">
        <v>222</v>
      </c>
      <c r="C8" s="217"/>
      <c r="D8" s="217"/>
      <c r="E8" s="217"/>
      <c r="G8" s="219"/>
      <c r="H8" s="226">
        <v>0</v>
      </c>
      <c r="I8" s="227"/>
      <c r="K8" s="226">
        <v>0</v>
      </c>
      <c r="L8" s="227"/>
    </row>
    <row r="9" spans="1:17" x14ac:dyDescent="0.25">
      <c r="B9" s="217"/>
      <c r="C9" s="217"/>
      <c r="D9" s="217"/>
      <c r="E9" s="217"/>
      <c r="G9" s="219"/>
      <c r="H9" s="226"/>
      <c r="I9" s="227"/>
      <c r="K9" s="226"/>
      <c r="L9" s="227"/>
    </row>
    <row r="10" spans="1:17" x14ac:dyDescent="0.25">
      <c r="B10" s="217" t="s">
        <v>224</v>
      </c>
      <c r="C10" s="217"/>
      <c r="D10" s="217"/>
      <c r="E10" s="217"/>
      <c r="G10" s="219"/>
      <c r="H10" s="226">
        <v>0</v>
      </c>
      <c r="I10" s="227"/>
      <c r="K10" s="226">
        <v>0</v>
      </c>
      <c r="L10" s="227"/>
    </row>
    <row r="11" spans="1:17" ht="14.25" customHeight="1" x14ac:dyDescent="0.25">
      <c r="B11" s="217"/>
      <c r="C11" s="217"/>
      <c r="D11" s="217"/>
      <c r="E11" s="217"/>
      <c r="G11" s="219"/>
      <c r="H11" s="248"/>
      <c r="I11" s="227"/>
      <c r="K11" s="226"/>
      <c r="L11" s="227"/>
    </row>
    <row r="12" spans="1:17" ht="14.25" customHeight="1" x14ac:dyDescent="0.25">
      <c r="B12" s="247" t="s">
        <v>225</v>
      </c>
      <c r="C12" s="217"/>
      <c r="D12" s="217"/>
      <c r="E12" s="217"/>
      <c r="G12" s="219"/>
      <c r="H12" s="248">
        <f>H8+H10</f>
        <v>0</v>
      </c>
      <c r="I12" s="227"/>
      <c r="K12" s="248">
        <f>K8+K10</f>
        <v>0</v>
      </c>
      <c r="L12" s="227"/>
    </row>
    <row r="13" spans="1:17" ht="15.75" customHeight="1" thickBot="1" x14ac:dyDescent="0.3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5" spans="1:17" ht="15.75" customHeight="1" x14ac:dyDescent="0.25">
      <c r="B15" s="395" t="s">
        <v>3</v>
      </c>
      <c r="C15" s="395"/>
      <c r="D15" s="395"/>
      <c r="E15" s="395"/>
      <c r="F15" s="395"/>
      <c r="G15" s="395"/>
      <c r="H15" s="395"/>
      <c r="I15" s="395"/>
      <c r="J15" s="395"/>
      <c r="K15" s="395"/>
      <c r="L15" s="395"/>
    </row>
    <row r="16" spans="1:17" x14ac:dyDescent="0.25">
      <c r="B16" s="396"/>
      <c r="C16" s="396"/>
      <c r="D16" s="396"/>
      <c r="E16" s="396"/>
      <c r="F16" s="396"/>
      <c r="G16" s="396"/>
    </row>
    <row r="17" spans="2:12" x14ac:dyDescent="0.25">
      <c r="B17" s="390" t="s">
        <v>4</v>
      </c>
      <c r="C17" s="390"/>
      <c r="D17" s="390"/>
      <c r="E17" s="390"/>
      <c r="F17" s="390"/>
      <c r="G17" s="390"/>
      <c r="H17" s="393">
        <v>19</v>
      </c>
      <c r="I17" s="393"/>
    </row>
    <row r="18" spans="2:12" x14ac:dyDescent="0.25">
      <c r="B18" s="390" t="s">
        <v>5</v>
      </c>
      <c r="C18" s="390"/>
      <c r="D18" s="390"/>
      <c r="E18" s="390"/>
      <c r="F18" s="390"/>
      <c r="G18" s="390"/>
      <c r="H18" s="389">
        <f>'CAPITAL Project Requests'!H48</f>
        <v>1021560189</v>
      </c>
      <c r="I18" s="389"/>
    </row>
    <row r="19" spans="2:12" ht="13.5" customHeight="1" x14ac:dyDescent="0.25">
      <c r="B19" s="390" t="s">
        <v>94</v>
      </c>
      <c r="C19" s="390"/>
      <c r="D19" s="390"/>
      <c r="E19" s="390"/>
      <c r="F19" s="390"/>
      <c r="G19" s="390"/>
      <c r="H19" s="398">
        <v>5.7500000000000002E-2</v>
      </c>
      <c r="I19" s="398"/>
    </row>
    <row r="20" spans="2:12" ht="13.5" customHeight="1" x14ac:dyDescent="0.25">
      <c r="B20" s="217"/>
      <c r="C20" s="217"/>
      <c r="D20" s="217"/>
      <c r="E20" s="217"/>
      <c r="F20" s="217"/>
      <c r="G20" s="217"/>
      <c r="I20" s="191"/>
    </row>
    <row r="21" spans="2:12" x14ac:dyDescent="0.25">
      <c r="B21" s="391" t="s">
        <v>6</v>
      </c>
      <c r="C21" s="391"/>
      <c r="D21" s="391"/>
      <c r="E21" s="391"/>
      <c r="F21" s="391"/>
      <c r="G21" s="391"/>
    </row>
    <row r="22" spans="2:12" x14ac:dyDescent="0.25">
      <c r="B22" s="390" t="s">
        <v>7</v>
      </c>
      <c r="C22" s="390"/>
      <c r="D22" s="390"/>
      <c r="E22" s="390"/>
      <c r="F22" s="390"/>
      <c r="G22" s="390"/>
      <c r="H22" s="392">
        <f>'CAPITAL Project Requests'!I4</f>
        <v>0</v>
      </c>
      <c r="I22" s="393"/>
    </row>
    <row r="23" spans="2:12" x14ac:dyDescent="0.25">
      <c r="B23" s="390" t="s">
        <v>8</v>
      </c>
      <c r="C23" s="390"/>
      <c r="D23" s="390"/>
      <c r="E23" s="390"/>
      <c r="F23" s="390"/>
      <c r="G23" s="390"/>
      <c r="H23" s="389">
        <f>'CAPITAL Project Requests'!I48</f>
        <v>0</v>
      </c>
      <c r="I23" s="389"/>
      <c r="K23" s="397" t="s">
        <v>357</v>
      </c>
      <c r="L23" s="397"/>
    </row>
    <row r="24" spans="2:12" x14ac:dyDescent="0.25">
      <c r="B24" s="390" t="s">
        <v>358</v>
      </c>
      <c r="C24" s="390"/>
      <c r="D24" s="390"/>
      <c r="E24" s="390"/>
      <c r="F24" s="390"/>
      <c r="G24" s="390"/>
      <c r="H24" s="389">
        <f>'CAPITAL Project Requests'!L48</f>
        <v>0</v>
      </c>
      <c r="I24" s="389"/>
      <c r="K24" s="394">
        <f>'CAPITAL Summary'!I34</f>
        <v>-3204535.0500000119</v>
      </c>
      <c r="L24" s="394"/>
    </row>
    <row r="25" spans="2:12" x14ac:dyDescent="0.25">
      <c r="B25" t="s">
        <v>359</v>
      </c>
      <c r="H25" s="389">
        <f>'CAPITAL Project Requests'!N48</f>
        <v>0</v>
      </c>
      <c r="I25" s="389"/>
      <c r="K25" s="394">
        <f>'CAPITAL Summary'!R34</f>
        <v>-10673219.810000002</v>
      </c>
      <c r="L25" s="394"/>
    </row>
    <row r="27" spans="2:12" x14ac:dyDescent="0.25">
      <c r="B27" s="391" t="s">
        <v>9</v>
      </c>
      <c r="C27" s="391"/>
      <c r="D27" s="391"/>
      <c r="E27" s="391"/>
      <c r="F27" s="391"/>
      <c r="G27" s="391"/>
    </row>
    <row r="28" spans="2:12" x14ac:dyDescent="0.25">
      <c r="B28" s="218" t="s">
        <v>7</v>
      </c>
      <c r="C28" s="218"/>
      <c r="D28" s="218"/>
      <c r="E28" s="218"/>
      <c r="F28" s="218"/>
      <c r="G28" s="218"/>
      <c r="H28" s="392">
        <v>0</v>
      </c>
      <c r="I28" s="393"/>
    </row>
    <row r="29" spans="2:12" x14ac:dyDescent="0.25">
      <c r="B29" s="218" t="s">
        <v>8</v>
      </c>
      <c r="C29" s="218"/>
      <c r="D29" s="218"/>
      <c r="E29" s="218"/>
      <c r="F29" s="218"/>
      <c r="G29" s="218"/>
      <c r="H29" s="388">
        <v>0</v>
      </c>
      <c r="I29" s="388"/>
    </row>
    <row r="30" spans="2:12" ht="15.75" customHeight="1" thickBot="1" x14ac:dyDescent="0.3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2" spans="2:12" ht="15.75" customHeight="1" x14ac:dyDescent="0.25">
      <c r="B32" s="395" t="s">
        <v>10</v>
      </c>
      <c r="C32" s="395"/>
      <c r="D32" s="395"/>
      <c r="E32" s="395"/>
      <c r="F32" s="395"/>
      <c r="G32" s="395"/>
      <c r="H32" s="395"/>
      <c r="I32" s="395"/>
      <c r="J32" s="395"/>
      <c r="K32" s="395"/>
      <c r="L32" s="395"/>
    </row>
    <row r="33" spans="2:16" ht="15.75" customHeight="1" x14ac:dyDescent="0.25">
      <c r="B33" s="5"/>
      <c r="C33" s="5"/>
      <c r="D33" s="5"/>
      <c r="E33" s="5"/>
      <c r="H33" s="402" t="s">
        <v>240</v>
      </c>
      <c r="I33" s="402"/>
      <c r="K33" s="402" t="s">
        <v>241</v>
      </c>
      <c r="L33" s="402"/>
    </row>
    <row r="34" spans="2:16" x14ac:dyDescent="0.25">
      <c r="B34" s="391" t="s">
        <v>11</v>
      </c>
      <c r="C34" s="391"/>
      <c r="D34" s="391"/>
      <c r="E34" s="391"/>
      <c r="F34" s="391"/>
      <c r="G34" s="391"/>
    </row>
    <row r="35" spans="2:16" x14ac:dyDescent="0.25">
      <c r="B35" s="390" t="s">
        <v>12</v>
      </c>
      <c r="C35" s="390"/>
      <c r="D35" s="390"/>
      <c r="E35" s="390"/>
      <c r="F35" s="390"/>
      <c r="G35" s="390"/>
      <c r="H35" s="389">
        <f>'LINE ITEM Requests'!E96</f>
        <v>561776623.12</v>
      </c>
      <c r="I35" s="389"/>
      <c r="K35" s="389">
        <f>'LINE ITEM Requests'!L96</f>
        <v>560556056.12</v>
      </c>
      <c r="L35" s="389"/>
    </row>
    <row r="36" spans="2:16" x14ac:dyDescent="0.25">
      <c r="B36" s="217"/>
      <c r="C36" s="217"/>
      <c r="D36" s="217"/>
      <c r="E36" s="217"/>
      <c r="F36" s="217"/>
      <c r="G36" s="217"/>
      <c r="H36" s="223"/>
      <c r="I36" s="223"/>
      <c r="K36" s="223"/>
      <c r="L36" s="223"/>
    </row>
    <row r="37" spans="2:16" x14ac:dyDescent="0.25">
      <c r="B37" s="403" t="s">
        <v>13</v>
      </c>
      <c r="C37" s="403"/>
      <c r="D37" s="403"/>
      <c r="E37" s="403"/>
      <c r="F37" s="403"/>
      <c r="G37" s="403"/>
    </row>
    <row r="38" spans="2:16" x14ac:dyDescent="0.25">
      <c r="B38" s="390" t="s">
        <v>12</v>
      </c>
      <c r="C38" s="390"/>
      <c r="D38" s="390"/>
      <c r="E38" s="390"/>
      <c r="F38" s="390"/>
      <c r="G38" s="390"/>
      <c r="H38" s="389">
        <f>'LINE ITEM Requests'!F96</f>
        <v>525673918.35000002</v>
      </c>
      <c r="I38" s="389"/>
      <c r="K38" s="389">
        <f>'LINE ITEM Requests'!M96</f>
        <v>525673918.35000002</v>
      </c>
      <c r="L38" s="389"/>
    </row>
    <row r="39" spans="2:16" ht="15.75" customHeight="1" thickBot="1" x14ac:dyDescent="0.3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1" spans="2:16" ht="15.75" customHeight="1" x14ac:dyDescent="0.25">
      <c r="B41" s="395" t="s">
        <v>14</v>
      </c>
      <c r="C41" s="395"/>
      <c r="D41" s="395"/>
      <c r="E41" s="395"/>
      <c r="F41" s="395"/>
      <c r="G41" s="395"/>
      <c r="H41" s="395"/>
      <c r="I41" s="395"/>
      <c r="J41" s="395"/>
      <c r="K41" s="395"/>
      <c r="L41" s="395"/>
    </row>
    <row r="42" spans="2:16" x14ac:dyDescent="0.25">
      <c r="B42" s="391"/>
      <c r="C42" s="391"/>
      <c r="D42" s="391"/>
      <c r="E42" s="391"/>
      <c r="F42" s="391"/>
      <c r="G42" s="391"/>
      <c r="H42" s="402" t="s">
        <v>240</v>
      </c>
      <c r="I42" s="402"/>
      <c r="K42" s="402" t="s">
        <v>241</v>
      </c>
      <c r="L42" s="402"/>
    </row>
    <row r="43" spans="2:16" ht="15" customHeight="1" x14ac:dyDescent="0.25">
      <c r="B43" s="390" t="s">
        <v>15</v>
      </c>
      <c r="C43" s="390"/>
      <c r="D43" s="390"/>
      <c r="E43" s="390"/>
      <c r="F43" s="390"/>
      <c r="G43" s="390"/>
      <c r="H43" s="223">
        <v>45</v>
      </c>
      <c r="I43" s="223"/>
      <c r="K43" s="223">
        <v>45</v>
      </c>
      <c r="L43" s="223"/>
      <c r="M43" s="6"/>
      <c r="N43" s="6"/>
      <c r="O43" s="6"/>
      <c r="P43" s="6"/>
    </row>
    <row r="44" spans="2:16" ht="15" customHeight="1" x14ac:dyDescent="0.25">
      <c r="B44" s="217" t="s">
        <v>356</v>
      </c>
      <c r="C44" s="217"/>
      <c r="D44" s="217"/>
      <c r="E44" s="217"/>
      <c r="F44" s="217"/>
      <c r="G44" s="217"/>
      <c r="H44" s="394">
        <f>'LINE ITEM Dual Credit'!E28</f>
        <v>2712020</v>
      </c>
      <c r="I44" s="394"/>
      <c r="K44" s="394">
        <f>'LINE ITEM Dual Credit'!I28</f>
        <v>2712020</v>
      </c>
      <c r="L44" s="394"/>
      <c r="M44" s="6"/>
      <c r="N44" s="6"/>
      <c r="O44" s="6"/>
      <c r="P44" s="6"/>
    </row>
    <row r="45" spans="2:16" ht="15.75" customHeight="1" thickBot="1" x14ac:dyDescent="0.3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6"/>
      <c r="N45" s="6"/>
      <c r="O45" s="6"/>
      <c r="P45" s="6"/>
    </row>
    <row r="46" spans="2:16" x14ac:dyDescent="0.25">
      <c r="M46" s="6"/>
      <c r="N46" s="6"/>
      <c r="O46" s="6"/>
      <c r="P46" s="6"/>
    </row>
    <row r="47" spans="2:16" ht="15.75" customHeight="1" x14ac:dyDescent="0.25">
      <c r="B47" s="395" t="s">
        <v>16</v>
      </c>
      <c r="C47" s="395"/>
      <c r="D47" s="395"/>
      <c r="E47" s="395"/>
      <c r="F47" s="395"/>
      <c r="G47" s="395"/>
      <c r="H47" s="395"/>
      <c r="I47" s="395"/>
      <c r="J47" s="395"/>
      <c r="K47" s="395"/>
      <c r="L47" s="395"/>
      <c r="M47" s="6"/>
      <c r="N47" s="6"/>
      <c r="O47" s="6"/>
      <c r="P47" s="6"/>
    </row>
    <row r="48" spans="2:16" x14ac:dyDescent="0.25">
      <c r="F48" s="396" t="s">
        <v>289</v>
      </c>
      <c r="G48" s="396"/>
      <c r="H48" s="402" t="s">
        <v>240</v>
      </c>
      <c r="I48" s="402"/>
      <c r="K48" s="402" t="s">
        <v>241</v>
      </c>
      <c r="L48" s="402"/>
      <c r="M48" s="6"/>
      <c r="N48" s="6"/>
      <c r="O48" s="6"/>
      <c r="P48" s="6"/>
    </row>
    <row r="49" spans="2:16" x14ac:dyDescent="0.25">
      <c r="B49" s="218" t="s">
        <v>17</v>
      </c>
      <c r="C49" s="218"/>
      <c r="D49" s="218"/>
      <c r="E49" s="218"/>
      <c r="F49" s="590">
        <f>'R&amp;R Funding'!F3</f>
        <v>5.2500000000000003E-3</v>
      </c>
      <c r="G49" s="590"/>
      <c r="I49" s="244"/>
      <c r="K49" s="261"/>
      <c r="M49" s="6"/>
      <c r="N49" s="6"/>
      <c r="O49" s="6"/>
      <c r="P49" s="6"/>
    </row>
    <row r="50" spans="2:16" x14ac:dyDescent="0.25">
      <c r="B50" s="218" t="s">
        <v>18</v>
      </c>
      <c r="C50" s="218"/>
      <c r="D50" s="218"/>
      <c r="E50" s="218"/>
      <c r="F50" s="590">
        <f>'R&amp;R Funding'!F4</f>
        <v>5.2500000000000003E-3</v>
      </c>
      <c r="G50" s="590"/>
      <c r="I50" s="244"/>
      <c r="K50" s="261"/>
      <c r="M50" s="6"/>
      <c r="N50" s="6"/>
      <c r="O50" s="6"/>
      <c r="P50" s="6"/>
    </row>
    <row r="51" spans="2:16" x14ac:dyDescent="0.25">
      <c r="B51" s="217" t="s">
        <v>356</v>
      </c>
      <c r="C51" s="217"/>
      <c r="D51" s="217"/>
      <c r="E51" s="217"/>
      <c r="F51" s="217"/>
      <c r="G51" s="217"/>
      <c r="H51" s="394">
        <f>'R&amp;R Funding'!H28</f>
        <v>8361881</v>
      </c>
      <c r="I51" s="394"/>
      <c r="K51" s="394">
        <f>'R&amp;R Funding'!K28</f>
        <v>8361881</v>
      </c>
      <c r="L51" s="394"/>
      <c r="M51" s="6"/>
      <c r="N51" s="6"/>
      <c r="O51" s="6"/>
      <c r="P51" s="6"/>
    </row>
    <row r="52" spans="2:16" x14ac:dyDescent="0.25">
      <c r="B52" s="217"/>
      <c r="C52" s="217"/>
      <c r="D52" s="217"/>
      <c r="E52" s="217"/>
      <c r="F52" s="217"/>
      <c r="G52" s="217"/>
      <c r="H52" s="226"/>
      <c r="I52" s="244"/>
      <c r="K52" s="191"/>
      <c r="M52" s="6"/>
      <c r="N52" s="6"/>
      <c r="O52" s="6"/>
      <c r="P52" s="6"/>
    </row>
    <row r="53" spans="2:16" ht="15.75" customHeight="1" thickBot="1" x14ac:dyDescent="0.3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6"/>
      <c r="N53" s="6"/>
      <c r="O53" s="6"/>
      <c r="P53" s="6"/>
    </row>
    <row r="54" spans="2:16" x14ac:dyDescent="0.25">
      <c r="M54" s="6"/>
      <c r="N54" s="6"/>
      <c r="O54" s="6"/>
      <c r="P54" s="6"/>
    </row>
    <row r="55" spans="2:16" x14ac:dyDescent="0.25">
      <c r="B55" s="146" t="s">
        <v>221</v>
      </c>
      <c r="H55" s="401" t="s">
        <v>240</v>
      </c>
      <c r="I55" s="401"/>
      <c r="K55" s="401" t="s">
        <v>241</v>
      </c>
      <c r="L55" s="401"/>
      <c r="M55" s="6"/>
      <c r="N55" s="6"/>
      <c r="O55" s="6"/>
      <c r="P55" s="6"/>
    </row>
    <row r="56" spans="2:16" x14ac:dyDescent="0.25">
      <c r="B56" s="146"/>
      <c r="H56" s="245"/>
      <c r="I56" s="245"/>
      <c r="K56" s="245"/>
      <c r="L56" s="245"/>
      <c r="M56" s="6"/>
      <c r="N56" s="6"/>
      <c r="O56" s="6"/>
      <c r="P56" s="6"/>
    </row>
    <row r="57" spans="2:16" x14ac:dyDescent="0.25">
      <c r="B57" t="s">
        <v>222</v>
      </c>
      <c r="G57" s="228">
        <f>H8</f>
        <v>0</v>
      </c>
      <c r="H57" s="405">
        <f>'OPERATING Total Funding'!H32</f>
        <v>0</v>
      </c>
      <c r="I57" s="405"/>
      <c r="J57" s="228">
        <f>K8</f>
        <v>0</v>
      </c>
      <c r="K57" s="405">
        <f>'OPERATING Total Funding'!Q32</f>
        <v>0</v>
      </c>
      <c r="L57" s="405"/>
      <c r="M57" s="6"/>
      <c r="N57" s="6"/>
      <c r="O57" s="6"/>
      <c r="P57" s="6"/>
    </row>
    <row r="58" spans="2:16" x14ac:dyDescent="0.25">
      <c r="B58" t="s">
        <v>223</v>
      </c>
      <c r="G58" s="228">
        <f>H10</f>
        <v>0</v>
      </c>
      <c r="H58" s="405">
        <f>'OPERATING Total Funding'!L32</f>
        <v>0</v>
      </c>
      <c r="I58" s="405"/>
      <c r="J58" s="228">
        <f>K10</f>
        <v>0</v>
      </c>
      <c r="K58" s="405">
        <f>'OPERATING Total Funding'!U32</f>
        <v>0</v>
      </c>
      <c r="L58" s="405"/>
      <c r="M58" s="6"/>
      <c r="N58" s="6"/>
      <c r="O58" s="6"/>
      <c r="P58" s="6"/>
    </row>
    <row r="59" spans="2:16" x14ac:dyDescent="0.25">
      <c r="B59" t="s">
        <v>308</v>
      </c>
      <c r="G59" s="228">
        <f>H12</f>
        <v>0</v>
      </c>
      <c r="H59" s="407">
        <f>'OPERATING Total Funding'!G32</f>
        <v>0</v>
      </c>
      <c r="I59" s="407"/>
      <c r="J59" s="228">
        <f>K12</f>
        <v>0</v>
      </c>
      <c r="K59" s="407">
        <f>'OPERATING Total Funding'!P32</f>
        <v>0</v>
      </c>
      <c r="L59" s="407"/>
      <c r="M59" s="6"/>
      <c r="N59" s="6"/>
      <c r="O59" s="6"/>
      <c r="P59" s="6"/>
    </row>
    <row r="60" spans="2:16" x14ac:dyDescent="0.25">
      <c r="H60" s="406">
        <f>H57+H58+H59</f>
        <v>0</v>
      </c>
      <c r="I60" s="406"/>
      <c r="K60" s="406">
        <f>K57+K58+K59</f>
        <v>0</v>
      </c>
      <c r="L60" s="406"/>
      <c r="M60" s="377"/>
      <c r="N60" s="377"/>
      <c r="O60" s="6"/>
      <c r="P60" s="6"/>
    </row>
    <row r="61" spans="2:16" x14ac:dyDescent="0.25">
      <c r="K61" s="231"/>
      <c r="L61" s="231"/>
      <c r="M61" s="6"/>
      <c r="N61" s="6"/>
      <c r="O61" s="6"/>
      <c r="P61" s="6"/>
    </row>
    <row r="62" spans="2:16" x14ac:dyDescent="0.25">
      <c r="M62" s="6"/>
      <c r="N62" s="6"/>
      <c r="O62" s="6"/>
      <c r="P62" s="6"/>
    </row>
    <row r="63" spans="2:16" ht="15.75" customHeight="1" x14ac:dyDescent="0.25">
      <c r="B63" s="395" t="s">
        <v>19</v>
      </c>
      <c r="C63" s="395"/>
      <c r="D63" s="395"/>
      <c r="E63" s="395"/>
      <c r="F63" s="395"/>
      <c r="G63" s="395"/>
      <c r="H63" s="395"/>
      <c r="I63" s="395"/>
      <c r="J63" s="395"/>
      <c r="K63" s="395"/>
      <c r="L63" s="395"/>
      <c r="M63" s="6"/>
      <c r="N63" s="6"/>
      <c r="O63" s="6"/>
      <c r="P63" s="6"/>
    </row>
    <row r="64" spans="2:16" x14ac:dyDescent="0.25">
      <c r="M64" s="6"/>
      <c r="N64" s="6"/>
      <c r="O64" s="6"/>
      <c r="P64" s="6"/>
    </row>
    <row r="65" spans="2:16" ht="15" customHeight="1" x14ac:dyDescent="0.25">
      <c r="B65" s="404" t="s">
        <v>369</v>
      </c>
      <c r="C65" s="404"/>
      <c r="D65" s="404"/>
      <c r="E65" s="404"/>
      <c r="F65" s="404"/>
      <c r="G65" s="404"/>
      <c r="H65" s="404"/>
      <c r="I65" s="404"/>
      <c r="J65" s="404"/>
      <c r="K65" s="404"/>
      <c r="L65" s="404"/>
      <c r="M65" s="6"/>
      <c r="N65" s="6"/>
      <c r="O65" s="6"/>
      <c r="P65" s="6"/>
    </row>
    <row r="66" spans="2:16" x14ac:dyDescent="0.25">
      <c r="B66" s="404"/>
      <c r="C66" s="404"/>
      <c r="D66" s="404"/>
      <c r="E66" s="404"/>
      <c r="F66" s="404"/>
      <c r="G66" s="404"/>
      <c r="H66" s="404"/>
      <c r="I66" s="404"/>
      <c r="J66" s="404"/>
      <c r="K66" s="404"/>
      <c r="L66" s="404"/>
      <c r="M66" s="6"/>
      <c r="N66" s="6"/>
      <c r="O66" s="6"/>
      <c r="P66" s="6"/>
    </row>
    <row r="67" spans="2:16" x14ac:dyDescent="0.25">
      <c r="B67" s="404"/>
      <c r="C67" s="404"/>
      <c r="D67" s="404"/>
      <c r="E67" s="404"/>
      <c r="F67" s="404"/>
      <c r="G67" s="404"/>
      <c r="H67" s="404"/>
      <c r="I67" s="404"/>
      <c r="J67" s="404"/>
      <c r="K67" s="404"/>
      <c r="L67" s="404"/>
      <c r="M67" s="6"/>
      <c r="N67" s="6"/>
      <c r="O67" s="6"/>
      <c r="P67" s="6"/>
    </row>
    <row r="68" spans="2:16" x14ac:dyDescent="0.25">
      <c r="B68" s="404"/>
      <c r="C68" s="404"/>
      <c r="D68" s="404"/>
      <c r="E68" s="404"/>
      <c r="F68" s="404"/>
      <c r="G68" s="404"/>
      <c r="H68" s="404"/>
      <c r="I68" s="404"/>
      <c r="J68" s="404"/>
      <c r="K68" s="404"/>
      <c r="L68" s="404"/>
      <c r="M68" s="6"/>
      <c r="N68" s="6"/>
      <c r="O68" s="6"/>
      <c r="P68" s="6"/>
    </row>
    <row r="69" spans="2:16" x14ac:dyDescent="0.25">
      <c r="B69" s="404"/>
      <c r="C69" s="404"/>
      <c r="D69" s="404"/>
      <c r="E69" s="404"/>
      <c r="F69" s="404"/>
      <c r="G69" s="404"/>
      <c r="H69" s="404"/>
      <c r="I69" s="404"/>
      <c r="J69" s="404"/>
      <c r="K69" s="404"/>
      <c r="L69" s="404"/>
      <c r="M69" s="6"/>
      <c r="N69" s="6"/>
      <c r="O69" s="6"/>
      <c r="P69" s="6"/>
    </row>
    <row r="70" spans="2:16" x14ac:dyDescent="0.25">
      <c r="B70" s="404"/>
      <c r="C70" s="404"/>
      <c r="D70" s="404"/>
      <c r="E70" s="404"/>
      <c r="F70" s="404"/>
      <c r="G70" s="404"/>
      <c r="H70" s="404"/>
      <c r="I70" s="404"/>
      <c r="J70" s="404"/>
      <c r="K70" s="404"/>
      <c r="L70" s="404"/>
      <c r="M70" s="6"/>
      <c r="N70" s="6"/>
      <c r="O70" s="6"/>
      <c r="P70" s="6"/>
    </row>
    <row r="71" spans="2:16" x14ac:dyDescent="0.25">
      <c r="B71" s="404"/>
      <c r="C71" s="404"/>
      <c r="D71" s="404"/>
      <c r="E71" s="404"/>
      <c r="F71" s="404"/>
      <c r="G71" s="404"/>
      <c r="H71" s="404"/>
      <c r="I71" s="404"/>
      <c r="J71" s="404"/>
      <c r="K71" s="404"/>
      <c r="L71" s="404"/>
      <c r="M71" s="6"/>
      <c r="N71" s="6"/>
      <c r="O71" s="6"/>
      <c r="P71" s="6"/>
    </row>
    <row r="72" spans="2:16" x14ac:dyDescent="0.25">
      <c r="B72" s="404"/>
      <c r="C72" s="404"/>
      <c r="D72" s="404"/>
      <c r="E72" s="404"/>
      <c r="F72" s="404"/>
      <c r="G72" s="404"/>
      <c r="H72" s="404"/>
      <c r="I72" s="404"/>
      <c r="J72" s="404"/>
      <c r="K72" s="404"/>
      <c r="L72" s="404"/>
      <c r="M72" s="6"/>
      <c r="N72" s="6"/>
      <c r="O72" s="6"/>
      <c r="P72" s="6"/>
    </row>
    <row r="73" spans="2:16" x14ac:dyDescent="0.25">
      <c r="B73" s="404"/>
      <c r="C73" s="404"/>
      <c r="D73" s="404"/>
      <c r="E73" s="404"/>
      <c r="F73" s="404"/>
      <c r="G73" s="404"/>
      <c r="H73" s="404"/>
      <c r="I73" s="404"/>
      <c r="J73" s="404"/>
      <c r="K73" s="404"/>
      <c r="L73" s="404"/>
      <c r="M73" s="6"/>
      <c r="N73" s="6"/>
      <c r="O73" s="6"/>
      <c r="P73" s="6"/>
    </row>
    <row r="74" spans="2:16" x14ac:dyDescent="0.25">
      <c r="B74" s="404"/>
      <c r="C74" s="404"/>
      <c r="D74" s="404"/>
      <c r="E74" s="404"/>
      <c r="F74" s="404"/>
      <c r="G74" s="404"/>
      <c r="H74" s="404"/>
      <c r="I74" s="404"/>
      <c r="J74" s="404"/>
      <c r="K74" s="404"/>
      <c r="L74" s="404"/>
      <c r="M74" s="6"/>
      <c r="N74" s="6"/>
      <c r="O74" s="6"/>
      <c r="P74" s="6"/>
    </row>
    <row r="75" spans="2:16" x14ac:dyDescent="0.25">
      <c r="B75" s="404"/>
      <c r="C75" s="404"/>
      <c r="D75" s="404"/>
      <c r="E75" s="404"/>
      <c r="F75" s="404"/>
      <c r="G75" s="404"/>
      <c r="H75" s="404"/>
      <c r="I75" s="404"/>
      <c r="J75" s="404"/>
      <c r="K75" s="404"/>
      <c r="L75" s="404"/>
      <c r="M75" s="6"/>
      <c r="N75" s="6"/>
      <c r="O75" s="6"/>
      <c r="P75" s="6"/>
    </row>
    <row r="76" spans="2:16" x14ac:dyDescent="0.25">
      <c r="B76" s="404"/>
      <c r="C76" s="404"/>
      <c r="D76" s="404"/>
      <c r="E76" s="404"/>
      <c r="F76" s="404"/>
      <c r="G76" s="404"/>
      <c r="H76" s="404"/>
      <c r="I76" s="404"/>
      <c r="J76" s="404"/>
      <c r="K76" s="404"/>
      <c r="L76" s="404"/>
      <c r="M76" s="6"/>
      <c r="N76" s="6"/>
      <c r="O76" s="6"/>
      <c r="P76" s="6"/>
    </row>
    <row r="77" spans="2:16" x14ac:dyDescent="0.25">
      <c r="B77" s="404"/>
      <c r="C77" s="404"/>
      <c r="D77" s="404"/>
      <c r="E77" s="404"/>
      <c r="F77" s="404"/>
      <c r="G77" s="404"/>
      <c r="H77" s="404"/>
      <c r="I77" s="404"/>
      <c r="J77" s="404"/>
      <c r="K77" s="404"/>
      <c r="L77" s="404"/>
      <c r="M77" s="6"/>
      <c r="N77" s="6"/>
      <c r="O77" s="6"/>
      <c r="P77" s="6"/>
    </row>
    <row r="78" spans="2:16" x14ac:dyDescent="0.25">
      <c r="B78" s="404"/>
      <c r="C78" s="404"/>
      <c r="D78" s="404"/>
      <c r="E78" s="404"/>
      <c r="F78" s="404"/>
      <c r="G78" s="404"/>
      <c r="H78" s="404"/>
      <c r="I78" s="404"/>
      <c r="J78" s="404"/>
      <c r="K78" s="404"/>
      <c r="L78" s="404"/>
      <c r="M78" s="6"/>
      <c r="N78" s="6"/>
      <c r="O78" s="6"/>
      <c r="P78" s="6"/>
    </row>
    <row r="79" spans="2:16" x14ac:dyDescent="0.25">
      <c r="B79" s="404"/>
      <c r="C79" s="404"/>
      <c r="D79" s="404"/>
      <c r="E79" s="404"/>
      <c r="F79" s="404"/>
      <c r="G79" s="404"/>
      <c r="H79" s="404"/>
      <c r="I79" s="404"/>
      <c r="J79" s="404"/>
      <c r="K79" s="404"/>
      <c r="L79" s="404"/>
      <c r="M79" s="6"/>
      <c r="N79" s="6"/>
      <c r="O79" s="6"/>
      <c r="P79" s="6"/>
    </row>
    <row r="80" spans="2:16" x14ac:dyDescent="0.25">
      <c r="B80" s="404"/>
      <c r="C80" s="404"/>
      <c r="D80" s="404"/>
      <c r="E80" s="404"/>
      <c r="F80" s="404"/>
      <c r="G80" s="404"/>
      <c r="H80" s="404"/>
      <c r="I80" s="404"/>
      <c r="J80" s="404"/>
      <c r="K80" s="404"/>
      <c r="L80" s="404"/>
      <c r="M80" s="6"/>
      <c r="N80" s="6"/>
      <c r="O80" s="6"/>
      <c r="P80" s="6"/>
    </row>
    <row r="81" spans="2:16" x14ac:dyDescent="0.25">
      <c r="B81" s="404"/>
      <c r="C81" s="404"/>
      <c r="D81" s="404"/>
      <c r="E81" s="404"/>
      <c r="F81" s="404"/>
      <c r="G81" s="404"/>
      <c r="H81" s="404"/>
      <c r="I81" s="404"/>
      <c r="J81" s="404"/>
      <c r="K81" s="404"/>
      <c r="L81" s="404"/>
      <c r="M81" s="6"/>
      <c r="N81" s="6"/>
      <c r="O81" s="6"/>
      <c r="P81" s="6"/>
    </row>
    <row r="82" spans="2:16" x14ac:dyDescent="0.25">
      <c r="B82" s="404"/>
      <c r="C82" s="404"/>
      <c r="D82" s="404"/>
      <c r="E82" s="404"/>
      <c r="F82" s="404"/>
      <c r="G82" s="404"/>
      <c r="H82" s="404"/>
      <c r="I82" s="404"/>
      <c r="J82" s="404"/>
      <c r="K82" s="404"/>
      <c r="L82" s="404"/>
      <c r="M82" s="6"/>
      <c r="N82" s="6"/>
      <c r="O82" s="6"/>
      <c r="P82" s="6"/>
    </row>
    <row r="83" spans="2:16" x14ac:dyDescent="0.25">
      <c r="B83" s="404"/>
      <c r="C83" s="404"/>
      <c r="D83" s="404"/>
      <c r="E83" s="404"/>
      <c r="F83" s="404"/>
      <c r="G83" s="404"/>
      <c r="H83" s="404"/>
      <c r="I83" s="404"/>
      <c r="J83" s="404"/>
      <c r="K83" s="404"/>
      <c r="L83" s="404"/>
      <c r="M83" s="6"/>
      <c r="N83" s="6"/>
      <c r="O83" s="6"/>
      <c r="P83" s="6"/>
    </row>
    <row r="84" spans="2:16" x14ac:dyDescent="0.25">
      <c r="B84" s="404"/>
      <c r="C84" s="404"/>
      <c r="D84" s="404"/>
      <c r="E84" s="404"/>
      <c r="F84" s="404"/>
      <c r="G84" s="404"/>
      <c r="H84" s="404"/>
      <c r="I84" s="404"/>
      <c r="J84" s="404"/>
      <c r="K84" s="404"/>
      <c r="L84" s="404"/>
    </row>
    <row r="85" spans="2:16" x14ac:dyDescent="0.25">
      <c r="B85" s="404"/>
      <c r="C85" s="404"/>
      <c r="D85" s="404"/>
      <c r="E85" s="404"/>
      <c r="F85" s="404"/>
      <c r="G85" s="404"/>
      <c r="H85" s="404"/>
      <c r="I85" s="404"/>
      <c r="J85" s="404"/>
      <c r="K85" s="404"/>
      <c r="L85" s="404"/>
    </row>
    <row r="86" spans="2:16" x14ac:dyDescent="0.25">
      <c r="B86" s="404"/>
      <c r="C86" s="404"/>
      <c r="D86" s="404"/>
      <c r="E86" s="404"/>
      <c r="F86" s="404"/>
      <c r="G86" s="404"/>
      <c r="H86" s="404"/>
      <c r="I86" s="404"/>
      <c r="J86" s="404"/>
      <c r="K86" s="404"/>
      <c r="L86" s="404"/>
    </row>
    <row r="87" spans="2:16" x14ac:dyDescent="0.25">
      <c r="B87" s="404"/>
      <c r="C87" s="404"/>
      <c r="D87" s="404"/>
      <c r="E87" s="404"/>
      <c r="F87" s="404"/>
      <c r="G87" s="404"/>
      <c r="H87" s="404"/>
      <c r="I87" s="404"/>
      <c r="J87" s="404"/>
      <c r="K87" s="404"/>
      <c r="L87" s="404"/>
    </row>
    <row r="88" spans="2:16" x14ac:dyDescent="0.25">
      <c r="B88" s="404"/>
      <c r="C88" s="404"/>
      <c r="D88" s="404"/>
      <c r="E88" s="404"/>
      <c r="F88" s="404"/>
      <c r="G88" s="404"/>
      <c r="H88" s="404"/>
      <c r="I88" s="404"/>
      <c r="J88" s="404"/>
      <c r="K88" s="404"/>
      <c r="L88" s="404"/>
    </row>
    <row r="89" spans="2:16" x14ac:dyDescent="0.25"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</row>
    <row r="90" spans="2:16" x14ac:dyDescent="0.25"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</row>
    <row r="91" spans="2:16" x14ac:dyDescent="0.25"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</row>
    <row r="92" spans="2:16" x14ac:dyDescent="0.25"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</row>
    <row r="93" spans="2:16" x14ac:dyDescent="0.2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</row>
    <row r="94" spans="2:16" x14ac:dyDescent="0.25"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</row>
    <row r="95" spans="2:16" x14ac:dyDescent="0.25"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</row>
    <row r="96" spans="2:16" x14ac:dyDescent="0.25"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</row>
    <row r="97" spans="2:12" x14ac:dyDescent="0.25"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</row>
    <row r="98" spans="2:12" x14ac:dyDescent="0.25"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</row>
    <row r="99" spans="2:12" x14ac:dyDescent="0.25"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</row>
  </sheetData>
  <mergeCells count="68">
    <mergeCell ref="B63:L63"/>
    <mergeCell ref="B65:L88"/>
    <mergeCell ref="B47:L47"/>
    <mergeCell ref="H55:I55"/>
    <mergeCell ref="K55:L55"/>
    <mergeCell ref="H57:I57"/>
    <mergeCell ref="H58:I58"/>
    <mergeCell ref="K57:L57"/>
    <mergeCell ref="K58:L58"/>
    <mergeCell ref="H60:I60"/>
    <mergeCell ref="K60:L60"/>
    <mergeCell ref="F48:G48"/>
    <mergeCell ref="F49:G49"/>
    <mergeCell ref="F50:G50"/>
    <mergeCell ref="H59:I59"/>
    <mergeCell ref="K59:L59"/>
    <mergeCell ref="K38:L38"/>
    <mergeCell ref="H38:I38"/>
    <mergeCell ref="B38:G38"/>
    <mergeCell ref="B41:L41"/>
    <mergeCell ref="K42:L42"/>
    <mergeCell ref="B42:G42"/>
    <mergeCell ref="H42:I42"/>
    <mergeCell ref="H44:I44"/>
    <mergeCell ref="K44:L44"/>
    <mergeCell ref="H48:I48"/>
    <mergeCell ref="K48:L48"/>
    <mergeCell ref="H51:I51"/>
    <mergeCell ref="K51:L51"/>
    <mergeCell ref="B43:G43"/>
    <mergeCell ref="B6:E6"/>
    <mergeCell ref="B7:E7"/>
    <mergeCell ref="B37:G37"/>
    <mergeCell ref="B34:G34"/>
    <mergeCell ref="B19:G19"/>
    <mergeCell ref="B21:G21"/>
    <mergeCell ref="B22:G22"/>
    <mergeCell ref="B32:L32"/>
    <mergeCell ref="H33:I33"/>
    <mergeCell ref="K33:L33"/>
    <mergeCell ref="B35:G35"/>
    <mergeCell ref="H35:I35"/>
    <mergeCell ref="K35:L35"/>
    <mergeCell ref="H22:I22"/>
    <mergeCell ref="H23:I23"/>
    <mergeCell ref="A2:M2"/>
    <mergeCell ref="A3:M3"/>
    <mergeCell ref="B4:L4"/>
    <mergeCell ref="B5:E5"/>
    <mergeCell ref="H5:I5"/>
    <mergeCell ref="K5:L5"/>
    <mergeCell ref="K24:L24"/>
    <mergeCell ref="K25:L25"/>
    <mergeCell ref="B23:G23"/>
    <mergeCell ref="B15:L15"/>
    <mergeCell ref="B16:G16"/>
    <mergeCell ref="H17:I17"/>
    <mergeCell ref="B17:G17"/>
    <mergeCell ref="H18:I18"/>
    <mergeCell ref="B18:G18"/>
    <mergeCell ref="K23:L23"/>
    <mergeCell ref="H19:I19"/>
    <mergeCell ref="H29:I29"/>
    <mergeCell ref="H24:I24"/>
    <mergeCell ref="B24:G24"/>
    <mergeCell ref="B27:G27"/>
    <mergeCell ref="H28:I28"/>
    <mergeCell ref="H25:I25"/>
  </mergeCells>
  <printOptions horizontalCentered="1"/>
  <pageMargins left="0.7" right="0.7" top="0.75" bottom="0.75" header="0.3" footer="0.3"/>
  <pageSetup scale="5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3" tint="0.39997558519241921"/>
  </sheetPr>
  <dimension ref="A1:AL42"/>
  <sheetViews>
    <sheetView zoomScaleNormal="100" workbookViewId="0">
      <pane xSplit="1" ySplit="14" topLeftCell="B15" activePane="bottomRight" state="frozenSplit"/>
      <selection pane="topRight" activeCell="B1" sqref="B1"/>
      <selection pane="bottomLeft" activeCell="A15" sqref="A15"/>
      <selection pane="bottomRight" activeCell="AH24" sqref="AH24"/>
    </sheetView>
  </sheetViews>
  <sheetFormatPr defaultRowHeight="15" x14ac:dyDescent="0.25"/>
  <cols>
    <col min="1" max="1" width="6.28515625" customWidth="1"/>
    <col min="2" max="2" width="15.5703125" customWidth="1"/>
    <col min="3" max="3" width="16.28515625" bestFit="1" customWidth="1"/>
    <col min="4" max="4" width="17.28515625" bestFit="1" customWidth="1"/>
    <col min="5" max="5" width="16.5703125" bestFit="1" customWidth="1"/>
    <col min="6" max="6" width="16.28515625" bestFit="1" customWidth="1"/>
    <col min="7" max="7" width="15.28515625" bestFit="1" customWidth="1"/>
    <col min="8" max="8" width="17.28515625" bestFit="1" customWidth="1"/>
    <col min="9" max="9" width="16.5703125" bestFit="1" customWidth="1"/>
    <col min="10" max="11" width="16.28515625" bestFit="1" customWidth="1"/>
    <col min="12" max="12" width="17.28515625" bestFit="1" customWidth="1"/>
    <col min="13" max="14" width="16.28515625" bestFit="1" customWidth="1"/>
    <col min="15" max="15" width="15.28515625" bestFit="1" customWidth="1"/>
    <col min="16" max="16" width="16.5703125" bestFit="1" customWidth="1"/>
    <col min="17" max="17" width="15.42578125" bestFit="1" customWidth="1"/>
    <col min="18" max="18" width="16.28515625" bestFit="1" customWidth="1"/>
    <col min="19" max="19" width="15.28515625" bestFit="1" customWidth="1"/>
    <col min="20" max="20" width="16.5703125" bestFit="1" customWidth="1"/>
    <col min="21" max="21" width="15.42578125" bestFit="1" customWidth="1"/>
    <col min="22" max="23" width="15.28515625" bestFit="1" customWidth="1"/>
    <col min="24" max="24" width="16.28515625" bestFit="1" customWidth="1"/>
    <col min="25" max="25" width="15.42578125" bestFit="1" customWidth="1"/>
    <col min="26" max="27" width="16.28515625" bestFit="1" customWidth="1"/>
    <col min="28" max="28" width="17.28515625" bestFit="1" customWidth="1"/>
    <col min="29" max="29" width="16.28515625" bestFit="1" customWidth="1"/>
    <col min="30" max="30" width="17.28515625" bestFit="1" customWidth="1"/>
    <col min="31" max="31" width="16.28515625" bestFit="1" customWidth="1"/>
    <col min="32" max="32" width="19.28515625" bestFit="1" customWidth="1"/>
    <col min="33" max="33" width="17.28515625" bestFit="1" customWidth="1"/>
    <col min="34" max="34" width="18.28515625" bestFit="1" customWidth="1"/>
    <col min="35" max="37" width="9.28515625" customWidth="1"/>
    <col min="38" max="38" width="9.28515625" hidden="1" customWidth="1"/>
  </cols>
  <sheetData>
    <row r="1" spans="1:38" ht="15.75" customHeight="1" x14ac:dyDescent="0.25">
      <c r="A1" s="9" t="s">
        <v>131</v>
      </c>
      <c r="AL1" t="s">
        <v>92</v>
      </c>
    </row>
    <row r="2" spans="1:38" ht="15.75" customHeight="1" x14ac:dyDescent="0.25">
      <c r="A2" s="10"/>
    </row>
    <row r="3" spans="1:38" ht="15" customHeight="1" x14ac:dyDescent="0.25">
      <c r="A3" s="11" t="s">
        <v>346</v>
      </c>
      <c r="H3" s="331"/>
      <c r="I3" s="331"/>
      <c r="J3" s="331"/>
      <c r="K3" s="331"/>
    </row>
    <row r="4" spans="1:38" ht="15" customHeight="1" x14ac:dyDescent="0.25">
      <c r="A4" s="11"/>
      <c r="H4" s="331"/>
      <c r="I4" s="331"/>
      <c r="J4" s="331"/>
      <c r="K4" s="331"/>
    </row>
    <row r="5" spans="1:38" ht="15.75" customHeight="1" thickBot="1" x14ac:dyDescent="0.3">
      <c r="H5" s="331"/>
      <c r="I5" s="331"/>
      <c r="J5" s="331"/>
      <c r="K5" s="331"/>
    </row>
    <row r="6" spans="1:38" ht="15.75" customHeight="1" thickBot="1" x14ac:dyDescent="0.3">
      <c r="B6" s="461" t="s">
        <v>132</v>
      </c>
      <c r="C6" s="462"/>
      <c r="D6" s="146"/>
      <c r="E6" s="146"/>
    </row>
    <row r="7" spans="1:38" x14ac:dyDescent="0.25">
      <c r="B7" s="147" t="s">
        <v>94</v>
      </c>
      <c r="C7" s="96">
        <f>'CAPITAL Project Requests'!M3</f>
        <v>5.7500000000000002E-2</v>
      </c>
      <c r="D7" s="146"/>
      <c r="E7" s="216"/>
    </row>
    <row r="8" spans="1:38" ht="15.75" customHeight="1" thickBot="1" x14ac:dyDescent="0.3">
      <c r="B8" s="149" t="s">
        <v>96</v>
      </c>
      <c r="C8" s="93">
        <v>20</v>
      </c>
    </row>
    <row r="9" spans="1:38" ht="15.75" customHeight="1" thickBot="1" x14ac:dyDescent="0.3"/>
    <row r="10" spans="1:38" x14ac:dyDescent="0.25">
      <c r="A10" s="532" t="s">
        <v>133</v>
      </c>
      <c r="B10" s="509" t="s">
        <v>113</v>
      </c>
      <c r="C10" s="510"/>
      <c r="D10" s="510"/>
      <c r="E10" s="511"/>
      <c r="F10" s="509" t="s">
        <v>120</v>
      </c>
      <c r="G10" s="510"/>
      <c r="H10" s="510"/>
      <c r="I10" s="511"/>
      <c r="J10" s="509" t="s">
        <v>107</v>
      </c>
      <c r="K10" s="510"/>
      <c r="L10" s="510"/>
      <c r="M10" s="511"/>
      <c r="N10" s="509" t="s">
        <v>111</v>
      </c>
      <c r="O10" s="510"/>
      <c r="P10" s="510"/>
      <c r="Q10" s="511"/>
      <c r="R10" s="509" t="s">
        <v>109</v>
      </c>
      <c r="S10" s="510"/>
      <c r="T10" s="510"/>
      <c r="U10" s="511"/>
      <c r="V10" s="509" t="s">
        <v>115</v>
      </c>
      <c r="W10" s="510"/>
      <c r="X10" s="510"/>
      <c r="Y10" s="511"/>
      <c r="Z10" s="509" t="s">
        <v>122</v>
      </c>
      <c r="AA10" s="510"/>
      <c r="AB10" s="510"/>
      <c r="AC10" s="511"/>
      <c r="AD10" s="527" t="s">
        <v>134</v>
      </c>
      <c r="AE10" s="528"/>
      <c r="AF10" s="528"/>
      <c r="AG10" s="529"/>
    </row>
    <row r="11" spans="1:38" x14ac:dyDescent="0.25">
      <c r="A11" s="533"/>
      <c r="B11" s="512" t="s">
        <v>295</v>
      </c>
      <c r="C11" s="513"/>
      <c r="D11" s="522" t="s">
        <v>296</v>
      </c>
      <c r="E11" s="523"/>
      <c r="F11" s="512" t="s">
        <v>295</v>
      </c>
      <c r="G11" s="513"/>
      <c r="H11" s="522" t="s">
        <v>296</v>
      </c>
      <c r="I11" s="523"/>
      <c r="J11" s="512" t="s">
        <v>295</v>
      </c>
      <c r="K11" s="513"/>
      <c r="L11" s="522" t="s">
        <v>296</v>
      </c>
      <c r="M11" s="523"/>
      <c r="N11" s="512" t="s">
        <v>295</v>
      </c>
      <c r="O11" s="513"/>
      <c r="P11" s="522" t="s">
        <v>296</v>
      </c>
      <c r="Q11" s="523"/>
      <c r="R11" s="512" t="s">
        <v>295</v>
      </c>
      <c r="S11" s="513"/>
      <c r="T11" s="522" t="s">
        <v>296</v>
      </c>
      <c r="U11" s="523"/>
      <c r="V11" s="512" t="s">
        <v>295</v>
      </c>
      <c r="W11" s="513"/>
      <c r="X11" s="522" t="s">
        <v>296</v>
      </c>
      <c r="Y11" s="523"/>
      <c r="Z11" s="512" t="s">
        <v>295</v>
      </c>
      <c r="AA11" s="513"/>
      <c r="AB11" s="522" t="s">
        <v>296</v>
      </c>
      <c r="AC11" s="523"/>
      <c r="AD11" s="173"/>
      <c r="AE11" s="174"/>
      <c r="AF11" s="174"/>
      <c r="AG11" s="175"/>
    </row>
    <row r="12" spans="1:38" ht="15.75" customHeight="1" thickBot="1" x14ac:dyDescent="0.3">
      <c r="A12" s="533"/>
      <c r="B12" s="516">
        <f>IF('CAPITAL Project Requests'!$J$28="yes", 'CAPITAL Project Requests'!$I$28, 0)</f>
        <v>0</v>
      </c>
      <c r="C12" s="517"/>
      <c r="D12" s="518">
        <f>'CAPITAL Project Requests'!I28</f>
        <v>0</v>
      </c>
      <c r="E12" s="519"/>
      <c r="F12" s="516">
        <f>IF('CAPITAL Project Requests'!$J$39="yes", 'CAPITAL Project Requests'!$I$39, 0)</f>
        <v>0</v>
      </c>
      <c r="G12" s="517"/>
      <c r="H12" s="518">
        <f>'CAPITAL Project Requests'!I39</f>
        <v>0</v>
      </c>
      <c r="I12" s="519"/>
      <c r="J12" s="516">
        <f>IF('CAPITAL Project Requests'!$J$12="yes", 'CAPITAL Project Requests'!$I$12, 0)</f>
        <v>0</v>
      </c>
      <c r="K12" s="517"/>
      <c r="L12" s="518">
        <f>'CAPITAL Project Requests'!I12</f>
        <v>0</v>
      </c>
      <c r="M12" s="519"/>
      <c r="N12" s="516">
        <f>IF('CAPITAL Project Requests'!$J$20="yes", 'CAPITAL Project Requests'!$I$20, 0)</f>
        <v>0</v>
      </c>
      <c r="O12" s="517"/>
      <c r="P12" s="518">
        <f>'CAPITAL Project Requests'!I20</f>
        <v>0</v>
      </c>
      <c r="Q12" s="519"/>
      <c r="R12" s="516">
        <f>IF('CAPITAL Project Requests'!$J$16="yes", 'CAPITAL Project Requests'!$I$16, 0)</f>
        <v>0</v>
      </c>
      <c r="S12" s="517"/>
      <c r="T12" s="518">
        <f>'CAPITAL Project Requests'!I16</f>
        <v>0</v>
      </c>
      <c r="U12" s="519"/>
      <c r="V12" s="516">
        <f>IF('CAPITAL Project Requests'!$J$32="yes", 'CAPITAL Project Requests'!$I$32, 0)</f>
        <v>0</v>
      </c>
      <c r="W12" s="517"/>
      <c r="X12" s="518">
        <f>'CAPITAL Project Requests'!I32</f>
        <v>0</v>
      </c>
      <c r="Y12" s="519"/>
      <c r="Z12" s="516">
        <f>IF('CAPITAL Project Requests'!$J$47="yes", 'CAPITAL Project Requests'!$I$47, 0)</f>
        <v>0</v>
      </c>
      <c r="AA12" s="517"/>
      <c r="AB12" s="518">
        <f>'CAPITAL Project Requests'!I47</f>
        <v>0</v>
      </c>
      <c r="AC12" s="519"/>
      <c r="AD12" s="524">
        <f>SUM(B12:AC12)</f>
        <v>0</v>
      </c>
      <c r="AE12" s="525"/>
      <c r="AF12" s="525"/>
      <c r="AG12" s="526"/>
    </row>
    <row r="13" spans="1:38" x14ac:dyDescent="0.25">
      <c r="A13" s="533"/>
      <c r="B13" s="514" t="s">
        <v>38</v>
      </c>
      <c r="C13" s="515"/>
      <c r="D13" s="520" t="s">
        <v>135</v>
      </c>
      <c r="E13" s="521"/>
      <c r="F13" s="514" t="s">
        <v>38</v>
      </c>
      <c r="G13" s="515"/>
      <c r="H13" s="520" t="s">
        <v>135</v>
      </c>
      <c r="I13" s="521"/>
      <c r="J13" s="514" t="s">
        <v>38</v>
      </c>
      <c r="K13" s="515"/>
      <c r="L13" s="520" t="s">
        <v>135</v>
      </c>
      <c r="M13" s="521"/>
      <c r="N13" s="514" t="s">
        <v>38</v>
      </c>
      <c r="O13" s="515"/>
      <c r="P13" s="520" t="s">
        <v>135</v>
      </c>
      <c r="Q13" s="521"/>
      <c r="R13" s="514" t="s">
        <v>38</v>
      </c>
      <c r="S13" s="515"/>
      <c r="T13" s="520" t="s">
        <v>135</v>
      </c>
      <c r="U13" s="521"/>
      <c r="V13" s="514" t="s">
        <v>38</v>
      </c>
      <c r="W13" s="515"/>
      <c r="X13" s="520" t="s">
        <v>135</v>
      </c>
      <c r="Y13" s="521"/>
      <c r="Z13" s="514" t="s">
        <v>38</v>
      </c>
      <c r="AA13" s="515"/>
      <c r="AB13" s="520" t="s">
        <v>135</v>
      </c>
      <c r="AC13" s="521"/>
      <c r="AD13" s="514" t="s">
        <v>38</v>
      </c>
      <c r="AE13" s="515"/>
      <c r="AF13" s="530" t="s">
        <v>135</v>
      </c>
      <c r="AG13" s="531"/>
    </row>
    <row r="14" spans="1:38" ht="15.75" customHeight="1" thickBot="1" x14ac:dyDescent="0.3">
      <c r="A14" s="534"/>
      <c r="B14" s="176" t="s">
        <v>129</v>
      </c>
      <c r="C14" s="177" t="s">
        <v>130</v>
      </c>
      <c r="D14" s="178" t="s">
        <v>129</v>
      </c>
      <c r="E14" s="179" t="s">
        <v>130</v>
      </c>
      <c r="F14" s="176" t="s">
        <v>129</v>
      </c>
      <c r="G14" s="177" t="s">
        <v>130</v>
      </c>
      <c r="H14" s="178" t="s">
        <v>129</v>
      </c>
      <c r="I14" s="179" t="s">
        <v>130</v>
      </c>
      <c r="J14" s="176" t="s">
        <v>129</v>
      </c>
      <c r="K14" s="177" t="s">
        <v>130</v>
      </c>
      <c r="L14" s="178" t="s">
        <v>129</v>
      </c>
      <c r="M14" s="179" t="s">
        <v>130</v>
      </c>
      <c r="N14" s="176" t="s">
        <v>129</v>
      </c>
      <c r="O14" s="177" t="s">
        <v>130</v>
      </c>
      <c r="P14" s="178" t="s">
        <v>129</v>
      </c>
      <c r="Q14" s="179" t="s">
        <v>130</v>
      </c>
      <c r="R14" s="176" t="s">
        <v>129</v>
      </c>
      <c r="S14" s="177" t="s">
        <v>130</v>
      </c>
      <c r="T14" s="178" t="s">
        <v>129</v>
      </c>
      <c r="U14" s="179" t="s">
        <v>130</v>
      </c>
      <c r="V14" s="176" t="s">
        <v>129</v>
      </c>
      <c r="W14" s="177" t="s">
        <v>130</v>
      </c>
      <c r="X14" s="178" t="s">
        <v>129</v>
      </c>
      <c r="Y14" s="179" t="s">
        <v>130</v>
      </c>
      <c r="Z14" s="176" t="s">
        <v>129</v>
      </c>
      <c r="AA14" s="177" t="s">
        <v>130</v>
      </c>
      <c r="AB14" s="178" t="s">
        <v>129</v>
      </c>
      <c r="AC14" s="179" t="s">
        <v>130</v>
      </c>
      <c r="AD14" s="176" t="s">
        <v>129</v>
      </c>
      <c r="AE14" s="177" t="s">
        <v>130</v>
      </c>
      <c r="AF14" s="178" t="s">
        <v>129</v>
      </c>
      <c r="AG14" s="179" t="s">
        <v>130</v>
      </c>
    </row>
    <row r="15" spans="1:38" x14ac:dyDescent="0.25">
      <c r="A15" s="180">
        <v>2025</v>
      </c>
      <c r="B15" s="297">
        <v>36293140.149999999</v>
      </c>
      <c r="C15" s="298"/>
      <c r="D15" s="297">
        <v>253007738.04999998</v>
      </c>
      <c r="E15" s="304"/>
      <c r="F15" s="299">
        <v>34816880</v>
      </c>
      <c r="G15" s="298"/>
      <c r="H15" s="297">
        <v>266433750</v>
      </c>
      <c r="I15" s="304"/>
      <c r="J15" s="299">
        <v>21841262.5</v>
      </c>
      <c r="K15" s="298"/>
      <c r="L15" s="297">
        <v>223603806.25</v>
      </c>
      <c r="M15" s="304"/>
      <c r="N15" s="299">
        <v>11062732.439999999</v>
      </c>
      <c r="O15" s="298"/>
      <c r="P15" s="297">
        <v>103269671.81999999</v>
      </c>
      <c r="Q15" s="304"/>
      <c r="R15" s="299">
        <v>12321209.5</v>
      </c>
      <c r="S15" s="298"/>
      <c r="T15" s="297">
        <v>98486936.75</v>
      </c>
      <c r="U15" s="304"/>
      <c r="V15" s="299">
        <v>4926544.5</v>
      </c>
      <c r="W15" s="298"/>
      <c r="X15" s="386">
        <v>13267651.699999999</v>
      </c>
      <c r="Y15" s="304"/>
      <c r="Z15" s="299">
        <v>27602046.530000001</v>
      </c>
      <c r="AA15" s="298"/>
      <c r="AB15" s="297">
        <v>184445174.5</v>
      </c>
      <c r="AC15" s="304"/>
      <c r="AD15" s="300">
        <f>SUM(B15,F15,J15,N15,R15,V15,Z15)</f>
        <v>148863815.62</v>
      </c>
      <c r="AE15" s="301"/>
      <c r="AF15" s="302">
        <f t="shared" ref="AF15:AF30" si="0">SUM(D15,H15,L15,P15,T15,X15,AB15)</f>
        <v>1142514729.0699999</v>
      </c>
      <c r="AG15" s="303">
        <f t="shared" ref="AG15:AG35" si="1">SUM(E15,I15,M15,Q15,U15,Y15,AC15)</f>
        <v>0</v>
      </c>
      <c r="AH15" s="293"/>
    </row>
    <row r="16" spans="1:38" s="295" customFormat="1" x14ac:dyDescent="0.25">
      <c r="A16" s="294">
        <v>2026</v>
      </c>
      <c r="B16" s="305">
        <v>34271826.25</v>
      </c>
      <c r="C16" s="306"/>
      <c r="D16" s="305">
        <v>218735911.79999998</v>
      </c>
      <c r="E16" s="306"/>
      <c r="F16" s="307">
        <v>34311190</v>
      </c>
      <c r="G16" s="306"/>
      <c r="H16" s="305">
        <v>232122560</v>
      </c>
      <c r="I16" s="306"/>
      <c r="J16" s="307">
        <v>21836212.5</v>
      </c>
      <c r="K16" s="306"/>
      <c r="L16" s="305">
        <v>201767593.75</v>
      </c>
      <c r="M16" s="306"/>
      <c r="N16" s="307">
        <v>10498369.789999999</v>
      </c>
      <c r="O16" s="306"/>
      <c r="P16" s="305">
        <v>92771302.030000001</v>
      </c>
      <c r="Q16" s="306"/>
      <c r="R16" s="307">
        <v>11847730.5</v>
      </c>
      <c r="S16" s="306"/>
      <c r="T16" s="305">
        <v>86639206.25</v>
      </c>
      <c r="U16" s="306"/>
      <c r="V16" s="307">
        <v>4926598.45</v>
      </c>
      <c r="W16" s="306"/>
      <c r="X16" s="387">
        <v>8341053.2499999991</v>
      </c>
      <c r="Y16" s="306"/>
      <c r="Z16" s="307">
        <v>27980510.75</v>
      </c>
      <c r="AA16" s="306"/>
      <c r="AB16" s="305">
        <v>156464663.75</v>
      </c>
      <c r="AC16" s="306"/>
      <c r="AD16" s="308">
        <f t="shared" ref="AD16:AD31" si="2">SUM(B16,F16,J16,N16,R16,V16,Z16)</f>
        <v>145672438.24000001</v>
      </c>
      <c r="AE16" s="306"/>
      <c r="AF16" s="309">
        <f t="shared" si="0"/>
        <v>996842290.82999992</v>
      </c>
      <c r="AG16" s="310">
        <f t="shared" si="1"/>
        <v>0</v>
      </c>
    </row>
    <row r="17" spans="1:34" s="295" customFormat="1" x14ac:dyDescent="0.25">
      <c r="A17" s="294">
        <v>2027</v>
      </c>
      <c r="B17" s="305">
        <v>34260211.799999997</v>
      </c>
      <c r="C17" s="306">
        <f>PMT($C$7, $C$8, $D$12, 0, 0)*-1</f>
        <v>0</v>
      </c>
      <c r="D17" s="305">
        <v>184475700</v>
      </c>
      <c r="E17" s="333">
        <f>SUM(C17:C$36)-C17</f>
        <v>0</v>
      </c>
      <c r="F17" s="307">
        <v>30962940</v>
      </c>
      <c r="G17" s="306">
        <f>PMT($C$7, $C$8, $H$12, 0, 0)*-1</f>
        <v>0</v>
      </c>
      <c r="H17" s="305">
        <v>201159620</v>
      </c>
      <c r="I17" s="333">
        <f>SUM(G17:G$36)-G17</f>
        <v>0</v>
      </c>
      <c r="J17" s="307">
        <v>20324337.5</v>
      </c>
      <c r="K17" s="306">
        <f>PMT($C$7, $C$8, $L$12, 0, 0)*-1</f>
        <v>0</v>
      </c>
      <c r="L17" s="305">
        <v>181443256.25</v>
      </c>
      <c r="M17" s="333">
        <f>SUM(K17:K$36)-K17</f>
        <v>0</v>
      </c>
      <c r="N17" s="307">
        <v>10593847.27</v>
      </c>
      <c r="O17" s="306">
        <f>PMT($C$7, $C$8, $P$12, 0, 0)*-1</f>
        <v>0</v>
      </c>
      <c r="P17" s="305">
        <v>82177454.760000005</v>
      </c>
      <c r="Q17" s="333">
        <f>SUM(O17:O$36)-O17</f>
        <v>0</v>
      </c>
      <c r="R17" s="307">
        <v>8898786.25</v>
      </c>
      <c r="S17" s="306">
        <f>PMT($C$7, $C$8, $T$12, 0, 0)*-1</f>
        <v>0</v>
      </c>
      <c r="T17" s="305">
        <v>77740420</v>
      </c>
      <c r="U17" s="333">
        <f>SUM(S17:S$36)-S17</f>
        <v>0</v>
      </c>
      <c r="V17" s="307">
        <v>4932055.5</v>
      </c>
      <c r="W17" s="306">
        <f>PMT($C$7, $C$8, $X$12, 0, 0)*-1</f>
        <v>0</v>
      </c>
      <c r="X17" s="387">
        <v>3408997.7499999991</v>
      </c>
      <c r="Y17" s="333">
        <f>SUM(W17:W$36)-W17</f>
        <v>0</v>
      </c>
      <c r="Z17" s="307">
        <v>28218419</v>
      </c>
      <c r="AA17" s="306">
        <f>PMT($C$7, $C$8, $AB$12, 0, 0)*-1</f>
        <v>0</v>
      </c>
      <c r="AB17" s="305">
        <v>128246244.75</v>
      </c>
      <c r="AC17" s="333">
        <f>SUM(AA17:AA$36)-AA17</f>
        <v>0</v>
      </c>
      <c r="AD17" s="308">
        <f t="shared" si="2"/>
        <v>138190597.31999999</v>
      </c>
      <c r="AE17" s="306">
        <f>PMT($C$7, $C$8, $AD$12, 0, 0)*-1</f>
        <v>0</v>
      </c>
      <c r="AF17" s="309">
        <f t="shared" si="0"/>
        <v>858651693.50999999</v>
      </c>
      <c r="AG17" s="310">
        <f t="shared" si="1"/>
        <v>0</v>
      </c>
      <c r="AH17" s="313"/>
    </row>
    <row r="18" spans="1:34" x14ac:dyDescent="0.25">
      <c r="A18" s="180">
        <v>2028</v>
      </c>
      <c r="B18" s="297">
        <v>24701650</v>
      </c>
      <c r="C18" s="306">
        <f t="shared" ref="C18:C36" si="3">PMT($C$7, $C$8, $D$12, 0, 0)*-1</f>
        <v>0</v>
      </c>
      <c r="D18" s="297">
        <v>159774050</v>
      </c>
      <c r="E18" s="333">
        <f>SUM(C18:C$36)-C18</f>
        <v>0</v>
      </c>
      <c r="F18" s="299">
        <v>26024450</v>
      </c>
      <c r="G18" s="306">
        <f t="shared" ref="G18:G36" si="4">PMT($C$7, $C$8, $H$12, 0, 0)*-1</f>
        <v>0</v>
      </c>
      <c r="H18" s="297">
        <v>175135170</v>
      </c>
      <c r="I18" s="333">
        <f>SUM(G18:G$36)-G18</f>
        <v>0</v>
      </c>
      <c r="J18" s="299">
        <v>20304837.5</v>
      </c>
      <c r="K18" s="306">
        <f t="shared" ref="K18:K36" si="5">PMT($C$7, $C$8, $L$12, 0, 0)*-1</f>
        <v>0</v>
      </c>
      <c r="L18" s="297">
        <v>161138418.75</v>
      </c>
      <c r="M18" s="333">
        <f>SUM(K18:K$36)-K18</f>
        <v>0</v>
      </c>
      <c r="N18" s="299">
        <v>8796551.0500000007</v>
      </c>
      <c r="O18" s="306">
        <f t="shared" ref="O18:O36" si="6">PMT($C$7, $C$8, $P$12, 0, 0)*-1</f>
        <v>0</v>
      </c>
      <c r="P18" s="297">
        <v>73380903.710000008</v>
      </c>
      <c r="Q18" s="333">
        <f>SUM(O18:O$36)-O18</f>
        <v>0</v>
      </c>
      <c r="R18" s="299">
        <v>8900006.25</v>
      </c>
      <c r="S18" s="306">
        <f t="shared" ref="S18:S36" si="7">PMT($C$7, $C$8, $T$12, 0, 0)*-1</f>
        <v>0</v>
      </c>
      <c r="T18" s="297">
        <v>68840413.75</v>
      </c>
      <c r="U18" s="333">
        <f>SUM(S18:S$36)-S18</f>
        <v>0</v>
      </c>
      <c r="V18" s="299">
        <v>2820154.25</v>
      </c>
      <c r="W18" s="306">
        <f t="shared" ref="W18:W36" si="8">PMT($C$7, $C$8, $X$12, 0, 0)*-1</f>
        <v>0</v>
      </c>
      <c r="X18" s="386">
        <v>588843.49999999907</v>
      </c>
      <c r="Y18" s="333">
        <f>SUM(W18:W$36)-W18</f>
        <v>0</v>
      </c>
      <c r="Z18" s="299">
        <v>20232344</v>
      </c>
      <c r="AA18" s="306">
        <f t="shared" ref="AA18:AA36" si="9">PMT($C$7, $C$8, $AB$12, 0, 0)*-1</f>
        <v>0</v>
      </c>
      <c r="AB18" s="297">
        <v>108013900.75</v>
      </c>
      <c r="AC18" s="333">
        <f>SUM(AA18:AA$36)-AA18</f>
        <v>0</v>
      </c>
      <c r="AD18" s="300">
        <f t="shared" si="2"/>
        <v>111779993.05</v>
      </c>
      <c r="AE18" s="306">
        <f t="shared" ref="AE18:AE36" si="10">PMT($C$7, $C$8, $AD$12, 0, 0)*-1</f>
        <v>0</v>
      </c>
      <c r="AF18" s="302">
        <f t="shared" si="0"/>
        <v>746871700.46000004</v>
      </c>
      <c r="AG18" s="303">
        <f t="shared" si="1"/>
        <v>0</v>
      </c>
    </row>
    <row r="19" spans="1:34" x14ac:dyDescent="0.25">
      <c r="A19" s="180">
        <v>2029</v>
      </c>
      <c r="B19" s="297">
        <v>23428900</v>
      </c>
      <c r="C19" s="306">
        <f t="shared" si="3"/>
        <v>0</v>
      </c>
      <c r="D19" s="297">
        <v>136345150</v>
      </c>
      <c r="E19" s="333">
        <f>SUM(C19:C$36)-C19</f>
        <v>0</v>
      </c>
      <c r="F19" s="299">
        <v>20537980</v>
      </c>
      <c r="G19" s="306">
        <f t="shared" si="4"/>
        <v>0</v>
      </c>
      <c r="H19" s="297">
        <v>154597190</v>
      </c>
      <c r="I19" s="333">
        <f>SUM(G19:G$36)-G19</f>
        <v>0</v>
      </c>
      <c r="J19" s="299">
        <v>17361100</v>
      </c>
      <c r="K19" s="306">
        <f t="shared" si="5"/>
        <v>0</v>
      </c>
      <c r="L19" s="297">
        <v>143777318.75</v>
      </c>
      <c r="M19" s="333">
        <f>SUM(K19:K$36)-K19</f>
        <v>0</v>
      </c>
      <c r="N19" s="299">
        <v>8795929.5099999998</v>
      </c>
      <c r="O19" s="306">
        <f t="shared" si="6"/>
        <v>0</v>
      </c>
      <c r="P19" s="297">
        <v>64584974.20000001</v>
      </c>
      <c r="Q19" s="333">
        <f>SUM(O19:O$36)-O19</f>
        <v>0</v>
      </c>
      <c r="R19" s="299">
        <v>8893831.25</v>
      </c>
      <c r="S19" s="306">
        <f t="shared" si="7"/>
        <v>0</v>
      </c>
      <c r="T19" s="297">
        <v>59946582.5</v>
      </c>
      <c r="U19" s="333">
        <f>SUM(S19:S$36)-S19</f>
        <v>0</v>
      </c>
      <c r="V19" s="299">
        <v>588843.5</v>
      </c>
      <c r="W19" s="306">
        <f t="shared" si="8"/>
        <v>0</v>
      </c>
      <c r="X19" s="386"/>
      <c r="Y19" s="333">
        <f>SUM(W19:W$36)-W19</f>
        <v>0</v>
      </c>
      <c r="Z19" s="299">
        <v>16903025.25</v>
      </c>
      <c r="AA19" s="306">
        <f t="shared" si="9"/>
        <v>0</v>
      </c>
      <c r="AB19" s="297">
        <v>91110875.5</v>
      </c>
      <c r="AC19" s="333">
        <f>SUM(AA19:AA$36)-AA19</f>
        <v>0</v>
      </c>
      <c r="AD19" s="300">
        <f t="shared" si="2"/>
        <v>96509609.510000005</v>
      </c>
      <c r="AE19" s="306">
        <f t="shared" si="10"/>
        <v>0</v>
      </c>
      <c r="AF19" s="302">
        <f t="shared" si="0"/>
        <v>650362090.95000005</v>
      </c>
      <c r="AG19" s="303">
        <f t="shared" si="1"/>
        <v>0</v>
      </c>
      <c r="AH19" s="591"/>
    </row>
    <row r="20" spans="1:34" x14ac:dyDescent="0.25">
      <c r="A20" s="180">
        <v>2030</v>
      </c>
      <c r="B20" s="297">
        <v>23409125</v>
      </c>
      <c r="C20" s="306">
        <f t="shared" si="3"/>
        <v>0</v>
      </c>
      <c r="D20" s="297">
        <v>112936025</v>
      </c>
      <c r="E20" s="333">
        <f>SUM(C20:C$36)-C20</f>
        <v>0</v>
      </c>
      <c r="F20" s="299">
        <v>20521950</v>
      </c>
      <c r="G20" s="306">
        <f t="shared" si="4"/>
        <v>0</v>
      </c>
      <c r="H20" s="297">
        <v>134075240</v>
      </c>
      <c r="I20" s="333">
        <f>SUM(G20:G$36)-G20</f>
        <v>0</v>
      </c>
      <c r="J20" s="299">
        <v>17369406.25</v>
      </c>
      <c r="K20" s="306">
        <f t="shared" si="5"/>
        <v>0</v>
      </c>
      <c r="L20" s="297">
        <v>126407912.5</v>
      </c>
      <c r="M20" s="333">
        <f>SUM(K20:K$36)-K20</f>
        <v>0</v>
      </c>
      <c r="N20" s="299">
        <v>8790282</v>
      </c>
      <c r="O20" s="306">
        <f t="shared" si="6"/>
        <v>0</v>
      </c>
      <c r="P20" s="297">
        <v>55794692.20000001</v>
      </c>
      <c r="Q20" s="333">
        <f>SUM(O20:O$36)-O20</f>
        <v>0</v>
      </c>
      <c r="R20" s="299">
        <v>6085860</v>
      </c>
      <c r="S20" s="306">
        <f t="shared" si="7"/>
        <v>0</v>
      </c>
      <c r="T20" s="297">
        <v>53860722.5</v>
      </c>
      <c r="U20" s="333">
        <f>SUM(S20:S$36)-S20</f>
        <v>0</v>
      </c>
      <c r="V20" s="299"/>
      <c r="W20" s="306">
        <f t="shared" si="8"/>
        <v>0</v>
      </c>
      <c r="X20" s="297"/>
      <c r="Y20" s="333">
        <f>SUM(W20:W$36)-W20</f>
        <v>0</v>
      </c>
      <c r="Z20" s="299">
        <v>14191230.5</v>
      </c>
      <c r="AA20" s="306">
        <f t="shared" si="9"/>
        <v>0</v>
      </c>
      <c r="AB20" s="297">
        <v>76919645</v>
      </c>
      <c r="AC20" s="333">
        <f>SUM(AA20:AA$36)-AA20</f>
        <v>0</v>
      </c>
      <c r="AD20" s="300">
        <f t="shared" si="2"/>
        <v>90367853.75</v>
      </c>
      <c r="AE20" s="306">
        <f t="shared" si="10"/>
        <v>0</v>
      </c>
      <c r="AF20" s="302">
        <f t="shared" si="0"/>
        <v>559994237.20000005</v>
      </c>
      <c r="AG20" s="303">
        <f t="shared" si="1"/>
        <v>0</v>
      </c>
      <c r="AH20" s="591"/>
    </row>
    <row r="21" spans="1:34" x14ac:dyDescent="0.25">
      <c r="A21" s="180">
        <v>2031</v>
      </c>
      <c r="B21" s="297">
        <v>20060450</v>
      </c>
      <c r="C21" s="306">
        <f t="shared" si="3"/>
        <v>0</v>
      </c>
      <c r="D21" s="297">
        <v>92875575</v>
      </c>
      <c r="E21" s="333">
        <f>SUM(C21:C$36)-C21</f>
        <v>0</v>
      </c>
      <c r="F21" s="299">
        <v>20535980</v>
      </c>
      <c r="G21" s="306">
        <f t="shared" si="4"/>
        <v>0</v>
      </c>
      <c r="H21" s="297">
        <v>113539260</v>
      </c>
      <c r="I21" s="333">
        <f>SUM(G21:G$36)-G21</f>
        <v>0</v>
      </c>
      <c r="J21" s="299">
        <v>17361525</v>
      </c>
      <c r="K21" s="306">
        <f t="shared" si="5"/>
        <v>0</v>
      </c>
      <c r="L21" s="297">
        <v>109046387.5</v>
      </c>
      <c r="M21" s="333">
        <f>SUM(K21:K$36)-K21</f>
        <v>0</v>
      </c>
      <c r="N21" s="299">
        <v>8101717.2000000002</v>
      </c>
      <c r="O21" s="306">
        <f t="shared" si="6"/>
        <v>0</v>
      </c>
      <c r="P21" s="297">
        <v>47692975.000000007</v>
      </c>
      <c r="Q21" s="333">
        <f>SUM(O21:O$36)-O21</f>
        <v>0</v>
      </c>
      <c r="R21" s="299">
        <v>6081645</v>
      </c>
      <c r="S21" s="306">
        <f t="shared" si="7"/>
        <v>0</v>
      </c>
      <c r="T21" s="297">
        <v>47779077.5</v>
      </c>
      <c r="U21" s="333">
        <f>SUM(S21:S$36)-S21</f>
        <v>0</v>
      </c>
      <c r="V21" s="299"/>
      <c r="W21" s="306">
        <f t="shared" si="8"/>
        <v>0</v>
      </c>
      <c r="X21" s="297"/>
      <c r="Y21" s="333">
        <f>SUM(W21:W$36)-W21</f>
        <v>0</v>
      </c>
      <c r="Z21" s="299">
        <v>11495097.5</v>
      </c>
      <c r="AA21" s="306">
        <f t="shared" si="9"/>
        <v>0</v>
      </c>
      <c r="AB21" s="297">
        <v>65424547.5</v>
      </c>
      <c r="AC21" s="333">
        <f>SUM(AA21:AA$36)-AA21</f>
        <v>0</v>
      </c>
      <c r="AD21" s="300">
        <f t="shared" si="2"/>
        <v>83636414.700000003</v>
      </c>
      <c r="AE21" s="306">
        <f t="shared" si="10"/>
        <v>0</v>
      </c>
      <c r="AF21" s="302">
        <f t="shared" si="0"/>
        <v>476357822.5</v>
      </c>
      <c r="AG21" s="303">
        <f t="shared" si="1"/>
        <v>0</v>
      </c>
    </row>
    <row r="22" spans="1:34" x14ac:dyDescent="0.25">
      <c r="A22" s="180">
        <v>2032</v>
      </c>
      <c r="B22" s="297">
        <v>20053650</v>
      </c>
      <c r="C22" s="306">
        <f t="shared" si="3"/>
        <v>0</v>
      </c>
      <c r="D22" s="297">
        <v>72821925</v>
      </c>
      <c r="E22" s="333">
        <f>SUM(C22:C$36)-C22</f>
        <v>0</v>
      </c>
      <c r="F22" s="299">
        <v>20538510</v>
      </c>
      <c r="G22" s="306">
        <f t="shared" si="4"/>
        <v>0</v>
      </c>
      <c r="H22" s="297">
        <v>93000750</v>
      </c>
      <c r="I22" s="333">
        <f>SUM(G22:G$36)-G22</f>
        <v>0</v>
      </c>
      <c r="J22" s="299">
        <v>14982862.5</v>
      </c>
      <c r="K22" s="306">
        <f t="shared" si="5"/>
        <v>0</v>
      </c>
      <c r="L22" s="297">
        <v>94063525</v>
      </c>
      <c r="M22" s="333">
        <f>SUM(K22:K$36)-K22</f>
        <v>0</v>
      </c>
      <c r="N22" s="299">
        <v>7640875</v>
      </c>
      <c r="O22" s="306">
        <f t="shared" si="6"/>
        <v>0</v>
      </c>
      <c r="P22" s="297">
        <v>40052100.000000007</v>
      </c>
      <c r="Q22" s="333">
        <f>SUM(O22:O$36)-O22</f>
        <v>0</v>
      </c>
      <c r="R22" s="299">
        <v>6083167.5</v>
      </c>
      <c r="S22" s="306">
        <f t="shared" si="7"/>
        <v>0</v>
      </c>
      <c r="T22" s="297">
        <v>41695910</v>
      </c>
      <c r="U22" s="333">
        <f>SUM(S22:S$36)-S22</f>
        <v>0</v>
      </c>
      <c r="V22" s="299"/>
      <c r="W22" s="306">
        <f t="shared" si="8"/>
        <v>0</v>
      </c>
      <c r="X22" s="297"/>
      <c r="Y22" s="333">
        <f>SUM(W22:W$36)-W22</f>
        <v>0</v>
      </c>
      <c r="Z22" s="299">
        <v>11493227.5</v>
      </c>
      <c r="AA22" s="306">
        <f t="shared" si="9"/>
        <v>0</v>
      </c>
      <c r="AB22" s="297">
        <v>53931320</v>
      </c>
      <c r="AC22" s="333">
        <f>SUM(AA22:AA$36)-AA22</f>
        <v>0</v>
      </c>
      <c r="AD22" s="300">
        <f t="shared" si="2"/>
        <v>80792292.5</v>
      </c>
      <c r="AE22" s="306">
        <f t="shared" si="10"/>
        <v>0</v>
      </c>
      <c r="AF22" s="302">
        <f t="shared" si="0"/>
        <v>395565530</v>
      </c>
      <c r="AG22" s="303">
        <f t="shared" si="1"/>
        <v>0</v>
      </c>
    </row>
    <row r="23" spans="1:34" x14ac:dyDescent="0.25">
      <c r="A23" s="180">
        <v>2033</v>
      </c>
      <c r="B23" s="297">
        <v>17666800</v>
      </c>
      <c r="C23" s="306">
        <f t="shared" si="3"/>
        <v>0</v>
      </c>
      <c r="D23" s="297">
        <v>55155125</v>
      </c>
      <c r="E23" s="333">
        <f>SUM(C23:C$36)-C23</f>
        <v>0</v>
      </c>
      <c r="F23" s="299">
        <v>20596500</v>
      </c>
      <c r="G23" s="306">
        <f t="shared" si="4"/>
        <v>0</v>
      </c>
      <c r="H23" s="297">
        <v>72404250</v>
      </c>
      <c r="I23" s="333">
        <f>SUM(G23:G$36)-G23</f>
        <v>0</v>
      </c>
      <c r="J23" s="299">
        <v>14980650</v>
      </c>
      <c r="K23" s="306">
        <f t="shared" si="5"/>
        <v>0</v>
      </c>
      <c r="L23" s="297">
        <v>79082875</v>
      </c>
      <c r="M23" s="333">
        <f>SUM(K23:K$36)-K23</f>
        <v>0</v>
      </c>
      <c r="N23" s="299">
        <v>7635450</v>
      </c>
      <c r="O23" s="306">
        <f t="shared" si="6"/>
        <v>0</v>
      </c>
      <c r="P23" s="297">
        <v>32416650.000000007</v>
      </c>
      <c r="Q23" s="333">
        <f>SUM(O23:O$36)-O23</f>
        <v>0</v>
      </c>
      <c r="R23" s="299">
        <v>6084005</v>
      </c>
      <c r="S23" s="306">
        <f t="shared" si="7"/>
        <v>0</v>
      </c>
      <c r="T23" s="297">
        <v>35611905</v>
      </c>
      <c r="U23" s="333">
        <f>SUM(S23:S$36)-S23</f>
        <v>0</v>
      </c>
      <c r="V23" s="299"/>
      <c r="W23" s="306">
        <f t="shared" si="8"/>
        <v>0</v>
      </c>
      <c r="X23" s="297"/>
      <c r="Y23" s="333">
        <f>SUM(W23:W$36)-W23</f>
        <v>0</v>
      </c>
      <c r="Z23" s="299">
        <v>10827895</v>
      </c>
      <c r="AA23" s="306">
        <f t="shared" si="9"/>
        <v>0</v>
      </c>
      <c r="AB23" s="297">
        <v>43103425</v>
      </c>
      <c r="AC23" s="333">
        <f>SUM(AA23:AA$36)-AA23</f>
        <v>0</v>
      </c>
      <c r="AD23" s="300">
        <f t="shared" si="2"/>
        <v>77791300</v>
      </c>
      <c r="AE23" s="306">
        <f t="shared" si="10"/>
        <v>0</v>
      </c>
      <c r="AF23" s="302">
        <f t="shared" si="0"/>
        <v>317774230</v>
      </c>
      <c r="AG23" s="303">
        <f t="shared" si="1"/>
        <v>0</v>
      </c>
    </row>
    <row r="24" spans="1:34" x14ac:dyDescent="0.25">
      <c r="A24" s="180">
        <v>2034</v>
      </c>
      <c r="B24" s="297">
        <v>17660275</v>
      </c>
      <c r="C24" s="306">
        <f t="shared" si="3"/>
        <v>0</v>
      </c>
      <c r="D24" s="297">
        <v>37494850</v>
      </c>
      <c r="E24" s="333">
        <f>SUM(C24:C$36)-C24</f>
        <v>0</v>
      </c>
      <c r="F24" s="299">
        <v>19123500</v>
      </c>
      <c r="G24" s="306">
        <f t="shared" si="4"/>
        <v>0</v>
      </c>
      <c r="H24" s="297">
        <v>53280750</v>
      </c>
      <c r="I24" s="333">
        <f>SUM(G24:G$36)-G24</f>
        <v>0</v>
      </c>
      <c r="J24" s="299">
        <v>13406750</v>
      </c>
      <c r="K24" s="306">
        <f t="shared" si="5"/>
        <v>0</v>
      </c>
      <c r="L24" s="297">
        <v>65676125</v>
      </c>
      <c r="M24" s="333">
        <f>SUM(K24:K$36)-K24</f>
        <v>0</v>
      </c>
      <c r="N24" s="299">
        <v>7638350</v>
      </c>
      <c r="O24" s="306">
        <f t="shared" si="6"/>
        <v>0</v>
      </c>
      <c r="P24" s="297">
        <v>24778300.000000007</v>
      </c>
      <c r="Q24" s="333">
        <f>SUM(O24:O$36)-O24</f>
        <v>0</v>
      </c>
      <c r="R24" s="299">
        <v>6085105</v>
      </c>
      <c r="S24" s="306">
        <f t="shared" si="7"/>
        <v>0</v>
      </c>
      <c r="T24" s="297">
        <v>29526800</v>
      </c>
      <c r="U24" s="333">
        <f>SUM(S24:S$36)-S24</f>
        <v>0</v>
      </c>
      <c r="V24" s="299"/>
      <c r="W24" s="306">
        <f t="shared" si="8"/>
        <v>0</v>
      </c>
      <c r="X24" s="297"/>
      <c r="Y24" s="333">
        <f>SUM(W24:W$36)-W24</f>
        <v>0</v>
      </c>
      <c r="Z24" s="299">
        <v>6884500</v>
      </c>
      <c r="AA24" s="306">
        <f t="shared" si="9"/>
        <v>0</v>
      </c>
      <c r="AB24" s="297">
        <v>36218925</v>
      </c>
      <c r="AC24" s="333">
        <f>SUM(AA24:AA$36)-AA24</f>
        <v>0</v>
      </c>
      <c r="AD24" s="300">
        <f t="shared" si="2"/>
        <v>70798480</v>
      </c>
      <c r="AE24" s="306">
        <f t="shared" si="10"/>
        <v>0</v>
      </c>
      <c r="AF24" s="302">
        <f t="shared" si="0"/>
        <v>246975750</v>
      </c>
      <c r="AG24" s="303">
        <f t="shared" si="1"/>
        <v>0</v>
      </c>
    </row>
    <row r="25" spans="1:34" x14ac:dyDescent="0.25">
      <c r="A25" s="180">
        <v>2035</v>
      </c>
      <c r="B25" s="297">
        <v>17634450</v>
      </c>
      <c r="C25" s="306">
        <f t="shared" si="3"/>
        <v>0</v>
      </c>
      <c r="D25" s="297">
        <v>19860400</v>
      </c>
      <c r="E25" s="333">
        <f>SUM(C25:C$36)-C25</f>
        <v>0</v>
      </c>
      <c r="F25" s="299">
        <v>19127750</v>
      </c>
      <c r="G25" s="306">
        <f t="shared" si="4"/>
        <v>0</v>
      </c>
      <c r="H25" s="297">
        <v>34153000</v>
      </c>
      <c r="I25" s="333">
        <f>SUM(G25:G$36)-G25</f>
        <v>0</v>
      </c>
      <c r="J25" s="299">
        <v>13401500</v>
      </c>
      <c r="K25" s="306">
        <f t="shared" si="5"/>
        <v>0</v>
      </c>
      <c r="L25" s="297">
        <v>52274625</v>
      </c>
      <c r="M25" s="333">
        <f>SUM(K25:K$36)-K25</f>
        <v>0</v>
      </c>
      <c r="N25" s="299">
        <v>7642800</v>
      </c>
      <c r="O25" s="306">
        <f t="shared" si="6"/>
        <v>0</v>
      </c>
      <c r="P25" s="297">
        <v>17135500.000000007</v>
      </c>
      <c r="Q25" s="333">
        <f>SUM(O25:O$36)-O25</f>
        <v>0</v>
      </c>
      <c r="R25" s="299">
        <v>6082042.5</v>
      </c>
      <c r="S25" s="306">
        <f t="shared" si="7"/>
        <v>0</v>
      </c>
      <c r="T25" s="297">
        <v>23444757.5</v>
      </c>
      <c r="U25" s="333">
        <f>SUM(S25:S$36)-S25</f>
        <v>0</v>
      </c>
      <c r="V25" s="299"/>
      <c r="W25" s="306">
        <f t="shared" si="8"/>
        <v>0</v>
      </c>
      <c r="X25" s="297"/>
      <c r="Y25" s="333">
        <f>SUM(W25:W$36)-W25</f>
        <v>0</v>
      </c>
      <c r="Z25" s="299">
        <v>6883375</v>
      </c>
      <c r="AA25" s="306">
        <f t="shared" si="9"/>
        <v>0</v>
      </c>
      <c r="AB25" s="297">
        <v>29335550</v>
      </c>
      <c r="AC25" s="333">
        <f>SUM(AA25:AA$36)-AA25</f>
        <v>0</v>
      </c>
      <c r="AD25" s="300">
        <f t="shared" si="2"/>
        <v>70771917.5</v>
      </c>
      <c r="AE25" s="306">
        <f t="shared" si="10"/>
        <v>0</v>
      </c>
      <c r="AF25" s="302">
        <f t="shared" si="0"/>
        <v>176203832.5</v>
      </c>
      <c r="AG25" s="303">
        <f t="shared" si="1"/>
        <v>0</v>
      </c>
    </row>
    <row r="26" spans="1:34" x14ac:dyDescent="0.25">
      <c r="A26" s="180">
        <v>2036</v>
      </c>
      <c r="B26" s="297">
        <v>8735550</v>
      </c>
      <c r="C26" s="306">
        <f t="shared" si="3"/>
        <v>0</v>
      </c>
      <c r="D26" s="297">
        <v>11124850</v>
      </c>
      <c r="E26" s="333">
        <f>SUM(C26:C$36)-C26</f>
        <v>0</v>
      </c>
      <c r="F26" s="299">
        <v>19127000</v>
      </c>
      <c r="G26" s="306">
        <f t="shared" si="4"/>
        <v>0</v>
      </c>
      <c r="H26" s="297">
        <v>15026000</v>
      </c>
      <c r="I26" s="333">
        <f>SUM(G26:G$36)-G26</f>
        <v>0</v>
      </c>
      <c r="J26" s="299">
        <v>13408550</v>
      </c>
      <c r="K26" s="306">
        <f t="shared" si="5"/>
        <v>0</v>
      </c>
      <c r="L26" s="297">
        <v>38866075</v>
      </c>
      <c r="M26" s="333">
        <f>SUM(K26:K$36)-K26</f>
        <v>0</v>
      </c>
      <c r="N26" s="299">
        <v>7636675</v>
      </c>
      <c r="O26" s="306">
        <f t="shared" si="6"/>
        <v>0</v>
      </c>
      <c r="P26" s="297">
        <v>9498825.0000000075</v>
      </c>
      <c r="Q26" s="333">
        <f>SUM(O26:O$36)-O26</f>
        <v>0</v>
      </c>
      <c r="R26" s="299">
        <v>6089370</v>
      </c>
      <c r="S26" s="306">
        <f t="shared" si="7"/>
        <v>0</v>
      </c>
      <c r="T26" s="297">
        <v>17355387.5</v>
      </c>
      <c r="U26" s="333">
        <f>SUM(S26:S$36)-S26</f>
        <v>0</v>
      </c>
      <c r="V26" s="299"/>
      <c r="W26" s="306">
        <f t="shared" si="8"/>
        <v>0</v>
      </c>
      <c r="X26" s="297"/>
      <c r="Y26" s="333">
        <f>SUM(W26:W$36)-W26</f>
        <v>0</v>
      </c>
      <c r="Z26" s="299">
        <v>6888500</v>
      </c>
      <c r="AA26" s="306">
        <f t="shared" si="9"/>
        <v>0</v>
      </c>
      <c r="AB26" s="297">
        <v>22447050</v>
      </c>
      <c r="AC26" s="333">
        <f>SUM(AA26:AA$36)-AA26</f>
        <v>0</v>
      </c>
      <c r="AD26" s="300">
        <f t="shared" si="2"/>
        <v>61885645</v>
      </c>
      <c r="AE26" s="306">
        <f t="shared" si="10"/>
        <v>0</v>
      </c>
      <c r="AF26" s="302">
        <f t="shared" si="0"/>
        <v>114318187.5</v>
      </c>
      <c r="AG26" s="303">
        <f t="shared" si="1"/>
        <v>0</v>
      </c>
    </row>
    <row r="27" spans="1:34" x14ac:dyDescent="0.25">
      <c r="A27" s="180">
        <v>2037</v>
      </c>
      <c r="B27" s="297">
        <v>5579600</v>
      </c>
      <c r="C27" s="306">
        <f t="shared" si="3"/>
        <v>0</v>
      </c>
      <c r="D27" s="297">
        <v>5545250</v>
      </c>
      <c r="E27" s="333">
        <f>SUM(C27:C$36)-C27</f>
        <v>0</v>
      </c>
      <c r="F27" s="299">
        <v>7959500</v>
      </c>
      <c r="G27" s="306">
        <f t="shared" si="4"/>
        <v>0</v>
      </c>
      <c r="H27" s="297">
        <v>7066500</v>
      </c>
      <c r="I27" s="333">
        <f>SUM(G27:G$36)-G27</f>
        <v>0</v>
      </c>
      <c r="J27" s="299">
        <v>13408625</v>
      </c>
      <c r="K27" s="306">
        <f t="shared" si="5"/>
        <v>0</v>
      </c>
      <c r="L27" s="297">
        <v>25457450</v>
      </c>
      <c r="M27" s="333">
        <f>SUM(K27:K$36)-K27</f>
        <v>0</v>
      </c>
      <c r="N27" s="299">
        <v>3632050</v>
      </c>
      <c r="O27" s="306">
        <f t="shared" si="6"/>
        <v>0</v>
      </c>
      <c r="P27" s="297">
        <v>5866775.0000000075</v>
      </c>
      <c r="Q27" s="333">
        <f>SUM(O27:O$36)-O27</f>
        <v>0</v>
      </c>
      <c r="R27" s="299">
        <v>6088637.5</v>
      </c>
      <c r="S27" s="306">
        <f t="shared" si="7"/>
        <v>0</v>
      </c>
      <c r="T27" s="297">
        <v>11266750</v>
      </c>
      <c r="U27" s="333">
        <f>SUM(S27:S$36)-S27</f>
        <v>0</v>
      </c>
      <c r="V27" s="299"/>
      <c r="W27" s="306">
        <f t="shared" si="8"/>
        <v>0</v>
      </c>
      <c r="X27" s="297"/>
      <c r="Y27" s="333">
        <f>SUM(W27:W$36)-W27</f>
        <v>0</v>
      </c>
      <c r="Z27" s="299">
        <v>6884250</v>
      </c>
      <c r="AA27" s="306">
        <f t="shared" si="9"/>
        <v>0</v>
      </c>
      <c r="AB27" s="297">
        <v>15562800</v>
      </c>
      <c r="AC27" s="333">
        <f>SUM(AA27:AA$36)-AA27</f>
        <v>0</v>
      </c>
      <c r="AD27" s="300">
        <f t="shared" si="2"/>
        <v>43552662.5</v>
      </c>
      <c r="AE27" s="306">
        <f t="shared" si="10"/>
        <v>0</v>
      </c>
      <c r="AF27" s="302">
        <f t="shared" si="0"/>
        <v>70765525</v>
      </c>
      <c r="AG27" s="303">
        <f t="shared" si="1"/>
        <v>0</v>
      </c>
    </row>
    <row r="28" spans="1:34" x14ac:dyDescent="0.25">
      <c r="A28" s="180">
        <v>2038</v>
      </c>
      <c r="B28" s="297">
        <v>5545250</v>
      </c>
      <c r="C28" s="306">
        <f t="shared" si="3"/>
        <v>0</v>
      </c>
      <c r="D28" s="297"/>
      <c r="E28" s="333">
        <f>SUM(C28:C$36)-C28</f>
        <v>0</v>
      </c>
      <c r="F28" s="299">
        <v>7066500</v>
      </c>
      <c r="G28" s="306">
        <f t="shared" si="4"/>
        <v>0</v>
      </c>
      <c r="H28" s="297"/>
      <c r="I28" s="333">
        <f>SUM(G28:G$36)-G28</f>
        <v>0</v>
      </c>
      <c r="J28" s="299">
        <v>9142450</v>
      </c>
      <c r="K28" s="306">
        <f t="shared" si="5"/>
        <v>0</v>
      </c>
      <c r="L28" s="297">
        <v>16315000</v>
      </c>
      <c r="M28" s="333">
        <f>SUM(K28:K$36)-K28</f>
        <v>0</v>
      </c>
      <c r="N28" s="299">
        <v>3635250</v>
      </c>
      <c r="O28" s="306">
        <f t="shared" si="6"/>
        <v>0</v>
      </c>
      <c r="P28" s="297">
        <v>2231525.0000000075</v>
      </c>
      <c r="Q28" s="333">
        <f>SUM(O28:O$36)-O28</f>
        <v>0</v>
      </c>
      <c r="R28" s="299">
        <v>5549050</v>
      </c>
      <c r="S28" s="306">
        <f t="shared" si="7"/>
        <v>0</v>
      </c>
      <c r="T28" s="297">
        <v>5717700</v>
      </c>
      <c r="U28" s="333">
        <f>SUM(S28:S$36)-S28</f>
        <v>0</v>
      </c>
      <c r="V28" s="299"/>
      <c r="W28" s="306">
        <f t="shared" si="8"/>
        <v>0</v>
      </c>
      <c r="X28" s="297"/>
      <c r="Y28" s="333">
        <f>SUM(W28:W$36)-W28</f>
        <v>0</v>
      </c>
      <c r="Z28" s="299">
        <v>6889875</v>
      </c>
      <c r="AA28" s="306">
        <f t="shared" si="9"/>
        <v>0</v>
      </c>
      <c r="AB28" s="297">
        <v>8672925</v>
      </c>
      <c r="AC28" s="333">
        <f>SUM(AA28:AA$36)-AA28</f>
        <v>0</v>
      </c>
      <c r="AD28" s="300">
        <f t="shared" si="2"/>
        <v>37828375</v>
      </c>
      <c r="AE28" s="306">
        <f t="shared" si="10"/>
        <v>0</v>
      </c>
      <c r="AF28" s="302">
        <f t="shared" si="0"/>
        <v>32937150.000000007</v>
      </c>
      <c r="AG28" s="303">
        <f t="shared" si="1"/>
        <v>0</v>
      </c>
    </row>
    <row r="29" spans="1:34" x14ac:dyDescent="0.25">
      <c r="A29" s="180">
        <v>2039</v>
      </c>
      <c r="B29" s="297"/>
      <c r="C29" s="306">
        <f t="shared" si="3"/>
        <v>0</v>
      </c>
      <c r="D29" s="297"/>
      <c r="E29" s="333">
        <f>SUM(C29:C$36)-C29</f>
        <v>0</v>
      </c>
      <c r="F29" s="299"/>
      <c r="G29" s="306">
        <f t="shared" si="4"/>
        <v>0</v>
      </c>
      <c r="H29" s="297"/>
      <c r="I29" s="333">
        <f>SUM(G29:G$36)-G29</f>
        <v>0</v>
      </c>
      <c r="J29" s="299">
        <v>9144375</v>
      </c>
      <c r="K29" s="306">
        <f t="shared" si="5"/>
        <v>0</v>
      </c>
      <c r="L29" s="297">
        <v>7170625</v>
      </c>
      <c r="M29" s="333">
        <f>SUM(K29:K$36)-K29</f>
        <v>0</v>
      </c>
      <c r="N29" s="299">
        <v>1114625</v>
      </c>
      <c r="O29" s="306">
        <f t="shared" si="6"/>
        <v>0</v>
      </c>
      <c r="P29" s="297">
        <v>1116900.0000000075</v>
      </c>
      <c r="Q29" s="333">
        <f>SUM(O29:O$36)-O29</f>
        <v>0</v>
      </c>
      <c r="R29" s="299">
        <v>2860475</v>
      </c>
      <c r="S29" s="306">
        <f t="shared" si="7"/>
        <v>0</v>
      </c>
      <c r="T29" s="297">
        <v>2857225</v>
      </c>
      <c r="U29" s="333">
        <f>SUM(S29:S$36)-S29</f>
        <v>0</v>
      </c>
      <c r="V29" s="299"/>
      <c r="W29" s="306">
        <f t="shared" si="8"/>
        <v>0</v>
      </c>
      <c r="X29" s="297"/>
      <c r="Y29" s="333">
        <f>SUM(W29:W$36)-W29</f>
        <v>0</v>
      </c>
      <c r="Z29" s="299">
        <v>6893025</v>
      </c>
      <c r="AA29" s="306">
        <f t="shared" si="9"/>
        <v>0</v>
      </c>
      <c r="AB29" s="297">
        <v>1779900</v>
      </c>
      <c r="AC29" s="333">
        <f>SUM(AA29:AA$36)-AA29</f>
        <v>0</v>
      </c>
      <c r="AD29" s="300">
        <f t="shared" si="2"/>
        <v>20012500</v>
      </c>
      <c r="AE29" s="306">
        <f t="shared" si="10"/>
        <v>0</v>
      </c>
      <c r="AF29" s="302">
        <f t="shared" si="0"/>
        <v>12924650.000000007</v>
      </c>
      <c r="AG29" s="303">
        <f t="shared" si="1"/>
        <v>0</v>
      </c>
    </row>
    <row r="30" spans="1:34" x14ac:dyDescent="0.25">
      <c r="A30" s="180">
        <v>2040</v>
      </c>
      <c r="B30" s="299"/>
      <c r="C30" s="306">
        <f t="shared" si="3"/>
        <v>0</v>
      </c>
      <c r="D30" s="297"/>
      <c r="E30" s="333">
        <f>SUM(C30:C$36)-C30</f>
        <v>0</v>
      </c>
      <c r="F30" s="299"/>
      <c r="G30" s="306">
        <f t="shared" si="4"/>
        <v>0</v>
      </c>
      <c r="H30" s="297"/>
      <c r="I30" s="333">
        <f>SUM(G30:G$36)-G30</f>
        <v>0</v>
      </c>
      <c r="J30" s="299">
        <v>3583125</v>
      </c>
      <c r="K30" s="306">
        <f t="shared" si="5"/>
        <v>0</v>
      </c>
      <c r="L30" s="297">
        <v>3587500</v>
      </c>
      <c r="M30" s="333">
        <f>SUM(K30:K$36)-K30</f>
        <v>0</v>
      </c>
      <c r="N30" s="299">
        <v>1116900</v>
      </c>
      <c r="O30" s="306">
        <f t="shared" si="6"/>
        <v>0</v>
      </c>
      <c r="P30" s="297"/>
      <c r="Q30" s="333">
        <f>SUM(O30:O$36)-O30</f>
        <v>0</v>
      </c>
      <c r="R30" s="299">
        <v>2857225</v>
      </c>
      <c r="S30" s="306">
        <f t="shared" si="7"/>
        <v>0</v>
      </c>
      <c r="T30" s="297"/>
      <c r="U30" s="333">
        <f>SUM(S30:S$36)-S30</f>
        <v>0</v>
      </c>
      <c r="V30" s="299"/>
      <c r="W30" s="306">
        <f t="shared" si="8"/>
        <v>0</v>
      </c>
      <c r="X30" s="297"/>
      <c r="Y30" s="333">
        <f>SUM(W30:W$36)-W30</f>
        <v>0</v>
      </c>
      <c r="Z30" s="299">
        <v>1779900</v>
      </c>
      <c r="AA30" s="306">
        <f t="shared" si="9"/>
        <v>0</v>
      </c>
      <c r="AB30" s="297"/>
      <c r="AC30" s="333">
        <f>SUM(AA30:AA$36)-AA30</f>
        <v>0</v>
      </c>
      <c r="AD30" s="300">
        <f t="shared" si="2"/>
        <v>9337150</v>
      </c>
      <c r="AE30" s="306">
        <f t="shared" si="10"/>
        <v>0</v>
      </c>
      <c r="AF30" s="302">
        <f t="shared" si="0"/>
        <v>3587500</v>
      </c>
      <c r="AG30" s="303">
        <f t="shared" si="1"/>
        <v>0</v>
      </c>
    </row>
    <row r="31" spans="1:34" x14ac:dyDescent="0.25">
      <c r="A31" s="180">
        <v>2041</v>
      </c>
      <c r="B31" s="299"/>
      <c r="C31" s="306">
        <f t="shared" si="3"/>
        <v>0</v>
      </c>
      <c r="D31" s="297"/>
      <c r="E31" s="333">
        <f>SUM(C31:C$36)-C31</f>
        <v>0</v>
      </c>
      <c r="F31" s="299"/>
      <c r="G31" s="306">
        <f t="shared" si="4"/>
        <v>0</v>
      </c>
      <c r="H31" s="297"/>
      <c r="I31" s="333">
        <f>SUM(G31:G$36)-G31</f>
        <v>0</v>
      </c>
      <c r="J31" s="299">
        <v>3587500</v>
      </c>
      <c r="K31" s="306">
        <f t="shared" si="5"/>
        <v>0</v>
      </c>
      <c r="L31" s="297"/>
      <c r="M31" s="333">
        <f>SUM(K31:K$36)-K31</f>
        <v>0</v>
      </c>
      <c r="N31" s="299"/>
      <c r="O31" s="306">
        <f t="shared" si="6"/>
        <v>0</v>
      </c>
      <c r="P31" s="297"/>
      <c r="Q31" s="333">
        <f>SUM(O31:O$36)-O31</f>
        <v>0</v>
      </c>
      <c r="R31" s="299"/>
      <c r="S31" s="306">
        <f t="shared" si="7"/>
        <v>0</v>
      </c>
      <c r="T31" s="297"/>
      <c r="U31" s="333">
        <f>SUM(S31:S$36)-S31</f>
        <v>0</v>
      </c>
      <c r="V31" s="299"/>
      <c r="W31" s="306">
        <f t="shared" si="8"/>
        <v>0</v>
      </c>
      <c r="X31" s="297"/>
      <c r="Y31" s="333">
        <f>SUM(W31:W$36)-W31</f>
        <v>0</v>
      </c>
      <c r="Z31" s="299"/>
      <c r="AA31" s="306">
        <f t="shared" si="9"/>
        <v>0</v>
      </c>
      <c r="AB31" s="297"/>
      <c r="AC31" s="333">
        <f>SUM(AA31:AA$36)-AA31</f>
        <v>0</v>
      </c>
      <c r="AD31" s="300">
        <f t="shared" si="2"/>
        <v>3587500</v>
      </c>
      <c r="AE31" s="306">
        <f t="shared" si="10"/>
        <v>0</v>
      </c>
      <c r="AF31" s="302"/>
      <c r="AG31" s="303">
        <f t="shared" si="1"/>
        <v>0</v>
      </c>
    </row>
    <row r="32" spans="1:34" s="2" customFormat="1" ht="15.75" customHeight="1" thickBot="1" x14ac:dyDescent="0.3">
      <c r="A32" s="180">
        <v>2042</v>
      </c>
      <c r="B32" s="299"/>
      <c r="C32" s="306">
        <f t="shared" si="3"/>
        <v>0</v>
      </c>
      <c r="D32" s="297"/>
      <c r="E32" s="333">
        <f>SUM(C32:C$36)-C32</f>
        <v>0</v>
      </c>
      <c r="F32" s="299"/>
      <c r="G32" s="306">
        <f t="shared" si="4"/>
        <v>0</v>
      </c>
      <c r="H32" s="297"/>
      <c r="I32" s="333">
        <f>SUM(G32:G$36)-G32</f>
        <v>0</v>
      </c>
      <c r="J32" s="299"/>
      <c r="K32" s="306">
        <f t="shared" si="5"/>
        <v>0</v>
      </c>
      <c r="L32" s="297"/>
      <c r="M32" s="333">
        <f>SUM(K32:K$36)-K32</f>
        <v>0</v>
      </c>
      <c r="N32" s="299"/>
      <c r="O32" s="306">
        <f t="shared" si="6"/>
        <v>0</v>
      </c>
      <c r="P32" s="297"/>
      <c r="Q32" s="333">
        <f>SUM(O32:O$36)-O32</f>
        <v>0</v>
      </c>
      <c r="R32" s="299"/>
      <c r="S32" s="306">
        <f t="shared" si="7"/>
        <v>0</v>
      </c>
      <c r="T32" s="297"/>
      <c r="U32" s="333">
        <f>SUM(S32:S$36)-S32</f>
        <v>0</v>
      </c>
      <c r="V32" s="299"/>
      <c r="W32" s="306">
        <f t="shared" si="8"/>
        <v>0</v>
      </c>
      <c r="X32" s="297"/>
      <c r="Y32" s="333">
        <f>SUM(W32:W$36)-W32</f>
        <v>0</v>
      </c>
      <c r="Z32" s="299"/>
      <c r="AA32" s="306">
        <f t="shared" si="9"/>
        <v>0</v>
      </c>
      <c r="AB32" s="297"/>
      <c r="AC32" s="333">
        <f>SUM(AA32:AA$36)-AA32</f>
        <v>0</v>
      </c>
      <c r="AD32" s="300"/>
      <c r="AE32" s="306">
        <f t="shared" si="10"/>
        <v>0</v>
      </c>
      <c r="AF32" s="302"/>
      <c r="AG32" s="303">
        <f t="shared" si="1"/>
        <v>0</v>
      </c>
    </row>
    <row r="33" spans="1:33" x14ac:dyDescent="0.25">
      <c r="A33" s="180">
        <v>2043</v>
      </c>
      <c r="B33" s="299"/>
      <c r="C33" s="306">
        <f t="shared" si="3"/>
        <v>0</v>
      </c>
      <c r="D33" s="334"/>
      <c r="E33" s="333">
        <f>SUM(C33:C$36)-C33</f>
        <v>0</v>
      </c>
      <c r="F33" s="311"/>
      <c r="G33" s="306">
        <f t="shared" si="4"/>
        <v>0</v>
      </c>
      <c r="H33" s="311"/>
      <c r="I33" s="333">
        <f>SUM(G33:G$36)-G33</f>
        <v>0</v>
      </c>
      <c r="J33" s="311"/>
      <c r="K33" s="306">
        <f t="shared" si="5"/>
        <v>0</v>
      </c>
      <c r="L33" s="311"/>
      <c r="M33" s="333">
        <f>SUM(K33:K$36)-K33</f>
        <v>0</v>
      </c>
      <c r="N33" s="311"/>
      <c r="O33" s="306">
        <f t="shared" si="6"/>
        <v>0</v>
      </c>
      <c r="P33" s="311"/>
      <c r="Q33" s="333">
        <f>SUM(O33:O$36)-O33</f>
        <v>0</v>
      </c>
      <c r="R33" s="311"/>
      <c r="S33" s="306">
        <f t="shared" si="7"/>
        <v>0</v>
      </c>
      <c r="T33" s="311"/>
      <c r="U33" s="333">
        <f>SUM(S33:S$36)-S33</f>
        <v>0</v>
      </c>
      <c r="V33" s="311"/>
      <c r="W33" s="306">
        <f t="shared" si="8"/>
        <v>0</v>
      </c>
      <c r="X33" s="311"/>
      <c r="Y33" s="333">
        <f>SUM(W33:W$36)-W33</f>
        <v>0</v>
      </c>
      <c r="Z33" s="311"/>
      <c r="AA33" s="306">
        <f t="shared" si="9"/>
        <v>0</v>
      </c>
      <c r="AB33" s="311"/>
      <c r="AC33" s="333">
        <f>SUM(AA33:AA$36)-AA33</f>
        <v>0</v>
      </c>
      <c r="AD33" s="300"/>
      <c r="AE33" s="306">
        <f t="shared" si="10"/>
        <v>0</v>
      </c>
      <c r="AF33" s="302"/>
      <c r="AG33" s="303">
        <f t="shared" si="1"/>
        <v>0</v>
      </c>
    </row>
    <row r="34" spans="1:33" x14ac:dyDescent="0.25">
      <c r="A34" s="180">
        <v>2044</v>
      </c>
      <c r="B34" s="299"/>
      <c r="C34" s="306">
        <f t="shared" si="3"/>
        <v>0</v>
      </c>
      <c r="D34" s="334"/>
      <c r="E34" s="333">
        <f>SUM(C34:C$36)-C34</f>
        <v>0</v>
      </c>
      <c r="F34" s="311"/>
      <c r="G34" s="306">
        <f t="shared" si="4"/>
        <v>0</v>
      </c>
      <c r="H34" s="311"/>
      <c r="I34" s="333">
        <f>SUM(G34:G$36)-G34</f>
        <v>0</v>
      </c>
      <c r="J34" s="311"/>
      <c r="K34" s="306">
        <f t="shared" si="5"/>
        <v>0</v>
      </c>
      <c r="L34" s="311"/>
      <c r="M34" s="333">
        <f>SUM(K34:K$36)-K34</f>
        <v>0</v>
      </c>
      <c r="N34" s="311"/>
      <c r="O34" s="306">
        <f t="shared" si="6"/>
        <v>0</v>
      </c>
      <c r="P34" s="311"/>
      <c r="Q34" s="333">
        <f>SUM(O34:O$36)-O34</f>
        <v>0</v>
      </c>
      <c r="R34" s="311"/>
      <c r="S34" s="306">
        <f t="shared" si="7"/>
        <v>0</v>
      </c>
      <c r="T34" s="311"/>
      <c r="U34" s="333">
        <f>SUM(S34:S$36)-S34</f>
        <v>0</v>
      </c>
      <c r="V34" s="311"/>
      <c r="W34" s="306">
        <f t="shared" si="8"/>
        <v>0</v>
      </c>
      <c r="X34" s="311"/>
      <c r="Y34" s="333">
        <f>SUM(W34:W$36)-W34</f>
        <v>0</v>
      </c>
      <c r="Z34" s="311"/>
      <c r="AA34" s="306">
        <f t="shared" si="9"/>
        <v>0</v>
      </c>
      <c r="AB34" s="311"/>
      <c r="AC34" s="333">
        <f>SUM(AA34:AA$36)-AA34</f>
        <v>0</v>
      </c>
      <c r="AD34" s="300"/>
      <c r="AE34" s="306">
        <f t="shared" si="10"/>
        <v>0</v>
      </c>
      <c r="AF34" s="302"/>
      <c r="AG34" s="303">
        <f t="shared" si="1"/>
        <v>0</v>
      </c>
    </row>
    <row r="35" spans="1:33" x14ac:dyDescent="0.25">
      <c r="A35" s="180">
        <v>2045</v>
      </c>
      <c r="B35" s="299"/>
      <c r="C35" s="306">
        <f t="shared" si="3"/>
        <v>0</v>
      </c>
      <c r="D35" s="334"/>
      <c r="E35" s="333">
        <f>SUM(C35:C$36)-C35</f>
        <v>0</v>
      </c>
      <c r="F35" s="311"/>
      <c r="G35" s="306">
        <f t="shared" si="4"/>
        <v>0</v>
      </c>
      <c r="H35" s="311"/>
      <c r="I35" s="333">
        <f>SUM(G35:G$36)-G35</f>
        <v>0</v>
      </c>
      <c r="J35" s="311"/>
      <c r="K35" s="306">
        <f t="shared" si="5"/>
        <v>0</v>
      </c>
      <c r="L35" s="311"/>
      <c r="M35" s="333">
        <f>SUM(K35:K$36)-K35</f>
        <v>0</v>
      </c>
      <c r="N35" s="311"/>
      <c r="O35" s="306">
        <f t="shared" si="6"/>
        <v>0</v>
      </c>
      <c r="P35" s="311"/>
      <c r="Q35" s="333">
        <f>SUM(O35:O$36)-O35</f>
        <v>0</v>
      </c>
      <c r="R35" s="311"/>
      <c r="S35" s="306">
        <f t="shared" si="7"/>
        <v>0</v>
      </c>
      <c r="T35" s="311"/>
      <c r="U35" s="333">
        <f>SUM(S35:S$36)-S35</f>
        <v>0</v>
      </c>
      <c r="V35" s="311"/>
      <c r="W35" s="306">
        <f t="shared" si="8"/>
        <v>0</v>
      </c>
      <c r="X35" s="311"/>
      <c r="Y35" s="333">
        <f>SUM(W35:W$36)-W35</f>
        <v>0</v>
      </c>
      <c r="Z35" s="311"/>
      <c r="AA35" s="306">
        <f t="shared" si="9"/>
        <v>0</v>
      </c>
      <c r="AB35" s="311"/>
      <c r="AC35" s="333">
        <f>SUM(AA35:AA$36)-AA35</f>
        <v>0</v>
      </c>
      <c r="AD35" s="300"/>
      <c r="AE35" s="306">
        <f t="shared" si="10"/>
        <v>0</v>
      </c>
      <c r="AF35" s="302"/>
      <c r="AG35" s="303">
        <f t="shared" si="1"/>
        <v>0</v>
      </c>
    </row>
    <row r="36" spans="1:33" x14ac:dyDescent="0.25">
      <c r="C36" s="306">
        <f t="shared" si="3"/>
        <v>0</v>
      </c>
      <c r="E36" s="333">
        <f>SUM(C36:C$36)-C36</f>
        <v>0</v>
      </c>
      <c r="G36" s="306">
        <f t="shared" si="4"/>
        <v>0</v>
      </c>
      <c r="I36" s="333">
        <f>SUM(G36:G$36)-G36</f>
        <v>0</v>
      </c>
      <c r="K36" s="306">
        <f t="shared" si="5"/>
        <v>0</v>
      </c>
      <c r="M36" s="333">
        <f>SUM(K36:K$36)-K36</f>
        <v>0</v>
      </c>
      <c r="O36" s="306">
        <f t="shared" si="6"/>
        <v>0</v>
      </c>
      <c r="Q36" s="333">
        <f>SUM(O36:O$36)-O36</f>
        <v>0</v>
      </c>
      <c r="S36" s="306">
        <f t="shared" si="7"/>
        <v>0</v>
      </c>
      <c r="U36" s="333">
        <f>SUM(S36:S$36)-S36</f>
        <v>0</v>
      </c>
      <c r="W36" s="306">
        <f t="shared" si="8"/>
        <v>0</v>
      </c>
      <c r="Y36" s="333">
        <f>SUM(W36:W$36)-W36</f>
        <v>0</v>
      </c>
      <c r="AA36" s="306">
        <f t="shared" si="9"/>
        <v>0</v>
      </c>
      <c r="AC36" s="333">
        <f>SUM(AA36:AA$36)-AA36</f>
        <v>0</v>
      </c>
      <c r="AE36" s="306">
        <f t="shared" si="10"/>
        <v>0</v>
      </c>
    </row>
    <row r="37" spans="1:33" x14ac:dyDescent="0.25">
      <c r="C37" s="332"/>
    </row>
    <row r="38" spans="1:33" x14ac:dyDescent="0.25">
      <c r="C38" s="332"/>
    </row>
    <row r="39" spans="1:33" x14ac:dyDescent="0.25">
      <c r="C39" s="332"/>
    </row>
    <row r="40" spans="1:33" x14ac:dyDescent="0.25">
      <c r="C40" s="332"/>
    </row>
    <row r="41" spans="1:33" x14ac:dyDescent="0.25">
      <c r="C41" s="332"/>
    </row>
    <row r="42" spans="1:33" x14ac:dyDescent="0.25">
      <c r="C42" s="332"/>
    </row>
  </sheetData>
  <mergeCells count="55">
    <mergeCell ref="F12:G12"/>
    <mergeCell ref="F11:G11"/>
    <mergeCell ref="F13:G13"/>
    <mergeCell ref="F10:I10"/>
    <mergeCell ref="H11:I11"/>
    <mergeCell ref="H13:I13"/>
    <mergeCell ref="H12:I12"/>
    <mergeCell ref="A10:A14"/>
    <mergeCell ref="B6:C6"/>
    <mergeCell ref="B13:C13"/>
    <mergeCell ref="B12:C12"/>
    <mergeCell ref="B11:C11"/>
    <mergeCell ref="B10:E10"/>
    <mergeCell ref="D12:E12"/>
    <mergeCell ref="D11:E11"/>
    <mergeCell ref="D13:E13"/>
    <mergeCell ref="Z10:AC10"/>
    <mergeCell ref="Z13:AA13"/>
    <mergeCell ref="AB13:AC13"/>
    <mergeCell ref="AD13:AE13"/>
    <mergeCell ref="AD12:AG12"/>
    <mergeCell ref="AD10:AG10"/>
    <mergeCell ref="AF13:AG13"/>
    <mergeCell ref="Z11:AA11"/>
    <mergeCell ref="AB11:AC11"/>
    <mergeCell ref="Z12:AA12"/>
    <mergeCell ref="AB12:AC12"/>
    <mergeCell ref="V12:W12"/>
    <mergeCell ref="V10:Y10"/>
    <mergeCell ref="V11:W11"/>
    <mergeCell ref="V13:W13"/>
    <mergeCell ref="X12:Y12"/>
    <mergeCell ref="X13:Y13"/>
    <mergeCell ref="X11:Y11"/>
    <mergeCell ref="R12:S12"/>
    <mergeCell ref="R11:S11"/>
    <mergeCell ref="R10:U10"/>
    <mergeCell ref="R13:S13"/>
    <mergeCell ref="T11:U11"/>
    <mergeCell ref="T13:U13"/>
    <mergeCell ref="T12:U12"/>
    <mergeCell ref="J12:K12"/>
    <mergeCell ref="J11:K11"/>
    <mergeCell ref="J13:K13"/>
    <mergeCell ref="J10:M10"/>
    <mergeCell ref="L13:M13"/>
    <mergeCell ref="L12:M12"/>
    <mergeCell ref="L11:M11"/>
    <mergeCell ref="N10:Q10"/>
    <mergeCell ref="N11:O11"/>
    <mergeCell ref="N13:O13"/>
    <mergeCell ref="N12:O12"/>
    <mergeCell ref="P12:Q12"/>
    <mergeCell ref="P13:Q13"/>
    <mergeCell ref="P11:Q11"/>
  </mergeCells>
  <dataValidations count="1">
    <dataValidation type="list" allowBlank="1" showInputMessage="1" showErrorMessage="1" sqref="E7" xr:uid="{00000000-0002-0000-0B00-000000000000}">
      <formula1>$AL$1:$AL$1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  <colBreaks count="2" manualBreakCount="2">
    <brk id="13" max="35" man="1"/>
    <brk id="25" max="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-0.499984740745262"/>
  </sheetPr>
  <dimension ref="A1:M46"/>
  <sheetViews>
    <sheetView zoomScale="80" zoomScaleNormal="80" workbookViewId="0">
      <selection activeCell="D35" sqref="D35"/>
    </sheetView>
  </sheetViews>
  <sheetFormatPr defaultRowHeight="15" x14ac:dyDescent="0.25"/>
  <cols>
    <col min="1" max="1" width="10.28515625" customWidth="1"/>
    <col min="2" max="2" width="15.28515625" style="7" bestFit="1" customWidth="1"/>
    <col min="3" max="3" width="19.28515625" style="7" bestFit="1" customWidth="1"/>
    <col min="4" max="4" width="24.28515625" style="7" bestFit="1" customWidth="1"/>
    <col min="5" max="6" width="15.28515625" style="7" bestFit="1" customWidth="1"/>
    <col min="7" max="7" width="16.42578125" style="7" bestFit="1" customWidth="1"/>
    <col min="8" max="8" width="15.28515625" style="7" bestFit="1" customWidth="1"/>
    <col min="9" max="9" width="18.42578125" style="8" bestFit="1" customWidth="1"/>
    <col min="10" max="10" width="1.5703125" customWidth="1"/>
    <col min="11" max="11" width="15.28515625" style="7" bestFit="1" customWidth="1"/>
    <col min="12" max="12" width="15.7109375" style="95" bestFit="1" customWidth="1"/>
    <col min="13" max="13" width="15.5703125" customWidth="1"/>
  </cols>
  <sheetData>
    <row r="1" spans="1:13" ht="15.75" customHeight="1" thickBot="1" x14ac:dyDescent="0.3">
      <c r="A1" s="9" t="s">
        <v>211</v>
      </c>
    </row>
    <row r="2" spans="1:13" ht="15.75" customHeight="1" x14ac:dyDescent="0.25">
      <c r="A2" s="10"/>
      <c r="E2" s="537" t="s">
        <v>290</v>
      </c>
      <c r="F2" s="538"/>
    </row>
    <row r="3" spans="1:13" x14ac:dyDescent="0.25">
      <c r="A3" s="11" t="s">
        <v>212</v>
      </c>
      <c r="E3" s="278" t="s">
        <v>215</v>
      </c>
      <c r="F3" s="279">
        <v>5.2500000000000003E-3</v>
      </c>
    </row>
    <row r="4" spans="1:13" ht="15.75" customHeight="1" thickBot="1" x14ac:dyDescent="0.3">
      <c r="E4" s="280" t="s">
        <v>216</v>
      </c>
      <c r="F4" s="281">
        <v>5.2500000000000003E-3</v>
      </c>
    </row>
    <row r="5" spans="1:13" ht="15.75" customHeight="1" thickBot="1" x14ac:dyDescent="0.3">
      <c r="A5" s="415"/>
      <c r="B5" s="410" t="s">
        <v>243</v>
      </c>
      <c r="C5" s="539" t="s">
        <v>213</v>
      </c>
      <c r="D5" s="542" t="s">
        <v>214</v>
      </c>
      <c r="E5" s="548" t="s">
        <v>105</v>
      </c>
      <c r="F5" s="549"/>
      <c r="G5" s="550"/>
      <c r="H5" s="443" t="s">
        <v>240</v>
      </c>
      <c r="I5" s="418"/>
      <c r="J5" s="12"/>
      <c r="K5" s="443" t="s">
        <v>241</v>
      </c>
      <c r="L5" s="418"/>
      <c r="M5" s="229"/>
    </row>
    <row r="6" spans="1:13" ht="21.75" customHeight="1" x14ac:dyDescent="0.25">
      <c r="A6" s="427"/>
      <c r="B6" s="547"/>
      <c r="C6" s="540"/>
      <c r="D6" s="543"/>
      <c r="E6" s="210" t="s">
        <v>215</v>
      </c>
      <c r="F6" s="211" t="s">
        <v>216</v>
      </c>
      <c r="G6" s="551" t="s">
        <v>124</v>
      </c>
      <c r="H6" s="545" t="s">
        <v>124</v>
      </c>
      <c r="I6" s="535" t="s">
        <v>239</v>
      </c>
      <c r="J6" s="16"/>
      <c r="K6" s="545" t="s">
        <v>124</v>
      </c>
      <c r="L6" s="535" t="s">
        <v>310</v>
      </c>
      <c r="M6" s="535" t="s">
        <v>310</v>
      </c>
    </row>
    <row r="7" spans="1:13" ht="27.75" customHeight="1" thickBot="1" x14ac:dyDescent="0.3">
      <c r="A7" s="416"/>
      <c r="B7" s="411"/>
      <c r="C7" s="541"/>
      <c r="D7" s="544"/>
      <c r="E7" s="212">
        <f>F3</f>
        <v>5.2500000000000003E-3</v>
      </c>
      <c r="F7" s="213">
        <f>F4</f>
        <v>5.2500000000000003E-3</v>
      </c>
      <c r="G7" s="552"/>
      <c r="H7" s="546"/>
      <c r="I7" s="536"/>
      <c r="J7" s="16"/>
      <c r="K7" s="546"/>
      <c r="L7" s="536"/>
      <c r="M7" s="536"/>
    </row>
    <row r="8" spans="1:13" x14ac:dyDescent="0.25">
      <c r="A8" s="109" t="s">
        <v>36</v>
      </c>
      <c r="B8" s="60">
        <v>9503411</v>
      </c>
      <c r="C8" s="63">
        <v>3584837631.0088038</v>
      </c>
      <c r="D8" s="106">
        <v>678123039.40872335</v>
      </c>
      <c r="E8" s="63">
        <f t="shared" ref="E8:F14" si="0">ROUND(E$7*C8 / 2, 0) * 2</f>
        <v>18820398</v>
      </c>
      <c r="F8" s="97">
        <f t="shared" si="0"/>
        <v>3560146</v>
      </c>
      <c r="G8" s="92">
        <f t="shared" ref="G8:G14" si="1">SUM(E8,F8)</f>
        <v>22380544</v>
      </c>
      <c r="H8" s="63">
        <f t="shared" ref="H8:H14" si="2">$G8/2</f>
        <v>11190272</v>
      </c>
      <c r="I8" s="98">
        <f t="shared" ref="I8:I15" si="3">IF($B8 &gt; 0, (H8-$B8)/$B8, "")</f>
        <v>0.17750058373777583</v>
      </c>
      <c r="J8" s="16"/>
      <c r="K8" s="63">
        <f t="shared" ref="K8:K14" si="4">$G8/2</f>
        <v>11190272</v>
      </c>
      <c r="L8" s="98">
        <f t="shared" ref="L8:L15" si="5">IF($B8 &gt; 0, (K8-$B8)/$B8, "")</f>
        <v>0.17750058373777583</v>
      </c>
      <c r="M8" s="63">
        <f>H8-B8</f>
        <v>1686861</v>
      </c>
    </row>
    <row r="9" spans="1:13" x14ac:dyDescent="0.25">
      <c r="A9" s="109" t="s">
        <v>40</v>
      </c>
      <c r="B9" s="60">
        <v>264113</v>
      </c>
      <c r="C9" s="63">
        <v>99650252.426387668</v>
      </c>
      <c r="D9" s="106">
        <v>15816740.412092218</v>
      </c>
      <c r="E9" s="63">
        <f t="shared" si="0"/>
        <v>523164</v>
      </c>
      <c r="F9" s="97">
        <f t="shared" si="0"/>
        <v>83038</v>
      </c>
      <c r="G9" s="92">
        <f t="shared" si="1"/>
        <v>606202</v>
      </c>
      <c r="H9" s="63">
        <f t="shared" si="2"/>
        <v>303101</v>
      </c>
      <c r="I9" s="98">
        <f t="shared" si="3"/>
        <v>0.14761863293363067</v>
      </c>
      <c r="J9" s="16"/>
      <c r="K9" s="63">
        <f t="shared" si="4"/>
        <v>303101</v>
      </c>
      <c r="L9" s="98">
        <f t="shared" si="5"/>
        <v>0.14761863293363067</v>
      </c>
      <c r="M9" s="63">
        <f t="shared" ref="M9:M27" si="6">H9-B9</f>
        <v>38988</v>
      </c>
    </row>
    <row r="10" spans="1:13" x14ac:dyDescent="0.25">
      <c r="A10" s="109" t="s">
        <v>41</v>
      </c>
      <c r="B10" s="60">
        <v>374250</v>
      </c>
      <c r="C10" s="63">
        <v>151884525.22841516</v>
      </c>
      <c r="D10" s="106">
        <v>14449882.731573226</v>
      </c>
      <c r="E10" s="63">
        <f t="shared" si="0"/>
        <v>797394</v>
      </c>
      <c r="F10" s="97">
        <f t="shared" si="0"/>
        <v>75862</v>
      </c>
      <c r="G10" s="92">
        <f t="shared" si="1"/>
        <v>873256</v>
      </c>
      <c r="H10" s="63">
        <f t="shared" si="2"/>
        <v>436628</v>
      </c>
      <c r="I10" s="98">
        <f t="shared" si="3"/>
        <v>0.16667468269873079</v>
      </c>
      <c r="J10" s="16"/>
      <c r="K10" s="63">
        <f t="shared" si="4"/>
        <v>436628</v>
      </c>
      <c r="L10" s="98">
        <f t="shared" si="5"/>
        <v>0.16667468269873079</v>
      </c>
      <c r="M10" s="63">
        <f t="shared" si="6"/>
        <v>62378</v>
      </c>
    </row>
    <row r="11" spans="1:13" x14ac:dyDescent="0.25">
      <c r="A11" s="109" t="s">
        <v>42</v>
      </c>
      <c r="B11" s="60">
        <v>652831</v>
      </c>
      <c r="C11" s="63">
        <v>260133687.32062897</v>
      </c>
      <c r="D11" s="106">
        <v>29231131.489350911</v>
      </c>
      <c r="E11" s="63">
        <f>ROUND(E$7*C11 / 2, 0) * 2</f>
        <v>1365702</v>
      </c>
      <c r="F11" s="97">
        <f>ROUND(F$7*D11 / 2, 0) * 2</f>
        <v>153464</v>
      </c>
      <c r="G11" s="92">
        <f t="shared" si="1"/>
        <v>1519166</v>
      </c>
      <c r="H11" s="63">
        <f t="shared" si="2"/>
        <v>759583</v>
      </c>
      <c r="I11" s="98">
        <f t="shared" si="3"/>
        <v>0.16352164649043932</v>
      </c>
      <c r="J11" s="16"/>
      <c r="K11" s="63">
        <f t="shared" si="4"/>
        <v>759583</v>
      </c>
      <c r="L11" s="98">
        <f t="shared" si="5"/>
        <v>0.16352164649043932</v>
      </c>
      <c r="M11" s="63">
        <f t="shared" si="6"/>
        <v>106752</v>
      </c>
    </row>
    <row r="12" spans="1:13" x14ac:dyDescent="0.25">
      <c r="A12" s="109" t="s">
        <v>43</v>
      </c>
      <c r="B12" s="60">
        <v>6783935</v>
      </c>
      <c r="C12" s="63">
        <v>2783360401.5525923</v>
      </c>
      <c r="D12" s="106">
        <v>194758366.38881281</v>
      </c>
      <c r="E12" s="63">
        <f>ROUND(E$7*C12 / 2, 0) * 2</f>
        <v>14612642</v>
      </c>
      <c r="F12" s="97">
        <f>ROUND(F$7*D12 / 2, 0) * 2</f>
        <v>1022482</v>
      </c>
      <c r="G12" s="92">
        <f t="shared" si="1"/>
        <v>15635124</v>
      </c>
      <c r="H12" s="63">
        <f t="shared" si="2"/>
        <v>7817562</v>
      </c>
      <c r="I12" s="98">
        <f t="shared" si="3"/>
        <v>0.15236393037374327</v>
      </c>
      <c r="J12" s="16"/>
      <c r="K12" s="63">
        <f t="shared" si="4"/>
        <v>7817562</v>
      </c>
      <c r="L12" s="98">
        <f t="shared" si="5"/>
        <v>0.15236393037374327</v>
      </c>
      <c r="M12" s="63">
        <f t="shared" si="6"/>
        <v>1033627</v>
      </c>
    </row>
    <row r="13" spans="1:13" x14ac:dyDescent="0.25">
      <c r="A13" s="109" t="s">
        <v>44</v>
      </c>
      <c r="B13" s="60">
        <v>668784</v>
      </c>
      <c r="C13" s="63">
        <v>270073481.66182929</v>
      </c>
      <c r="D13" s="106">
        <v>27456800.820388738</v>
      </c>
      <c r="E13" s="63">
        <f t="shared" si="0"/>
        <v>1417886</v>
      </c>
      <c r="F13" s="97">
        <f t="shared" si="0"/>
        <v>144148</v>
      </c>
      <c r="G13" s="92">
        <f t="shared" si="1"/>
        <v>1562034</v>
      </c>
      <c r="H13" s="63">
        <f t="shared" si="2"/>
        <v>781017</v>
      </c>
      <c r="I13" s="98">
        <f t="shared" si="3"/>
        <v>0.16781651474915668</v>
      </c>
      <c r="J13" s="16"/>
      <c r="K13" s="63">
        <f t="shared" si="4"/>
        <v>781017</v>
      </c>
      <c r="L13" s="98">
        <f t="shared" si="5"/>
        <v>0.16781651474915668</v>
      </c>
      <c r="M13" s="63">
        <f t="shared" si="6"/>
        <v>112233</v>
      </c>
    </row>
    <row r="14" spans="1:13" ht="15.75" customHeight="1" thickBot="1" x14ac:dyDescent="0.3">
      <c r="A14" s="109" t="s">
        <v>45</v>
      </c>
      <c r="B14" s="60">
        <v>638956</v>
      </c>
      <c r="C14" s="63">
        <v>239240101.81452245</v>
      </c>
      <c r="D14" s="106">
        <v>40054150.787686594</v>
      </c>
      <c r="E14" s="63">
        <f t="shared" si="0"/>
        <v>1256010</v>
      </c>
      <c r="F14" s="97">
        <f t="shared" si="0"/>
        <v>210284</v>
      </c>
      <c r="G14" s="92">
        <f t="shared" si="1"/>
        <v>1466294</v>
      </c>
      <c r="H14" s="63">
        <f t="shared" si="2"/>
        <v>733147</v>
      </c>
      <c r="I14" s="98">
        <f t="shared" si="3"/>
        <v>0.14741390643487187</v>
      </c>
      <c r="J14" s="16"/>
      <c r="K14" s="63">
        <f t="shared" si="4"/>
        <v>733147</v>
      </c>
      <c r="L14" s="98">
        <f t="shared" si="5"/>
        <v>0.14741390643487187</v>
      </c>
      <c r="M14" s="63">
        <f t="shared" si="6"/>
        <v>94191</v>
      </c>
    </row>
    <row r="15" spans="1:13" ht="15.75" customHeight="1" thickTop="1" x14ac:dyDescent="0.25">
      <c r="A15" s="110" t="s">
        <v>65</v>
      </c>
      <c r="B15" s="111">
        <v>18886280</v>
      </c>
      <c r="C15" s="112">
        <f t="shared" ref="C15:H15" si="7">SUM(C8:C14)</f>
        <v>7389180081.0131798</v>
      </c>
      <c r="D15" s="113">
        <f t="shared" si="7"/>
        <v>999890112.03862786</v>
      </c>
      <c r="E15" s="112">
        <f t="shared" si="7"/>
        <v>38793196</v>
      </c>
      <c r="F15" s="114">
        <f t="shared" si="7"/>
        <v>5249424</v>
      </c>
      <c r="G15" s="214">
        <f t="shared" si="7"/>
        <v>44042620</v>
      </c>
      <c r="H15" s="112">
        <f t="shared" si="7"/>
        <v>22021310</v>
      </c>
      <c r="I15" s="169">
        <f t="shared" si="3"/>
        <v>0.16599510332368259</v>
      </c>
      <c r="J15" s="16"/>
      <c r="K15" s="112">
        <f>SUM(K8:K14)</f>
        <v>22021310</v>
      </c>
      <c r="L15" s="169">
        <f t="shared" si="5"/>
        <v>0.16599510332368259</v>
      </c>
      <c r="M15" s="112">
        <f t="shared" si="6"/>
        <v>3135030</v>
      </c>
    </row>
    <row r="16" spans="1:13" x14ac:dyDescent="0.25">
      <c r="A16" s="118"/>
      <c r="B16" s="108"/>
      <c r="C16" s="119"/>
      <c r="D16" s="123"/>
      <c r="E16" s="119"/>
      <c r="F16" s="121"/>
      <c r="G16" s="120"/>
      <c r="H16" s="119"/>
      <c r="I16" s="143"/>
      <c r="J16" s="16"/>
      <c r="K16" s="119"/>
      <c r="L16" s="143"/>
      <c r="M16" s="119"/>
    </row>
    <row r="17" spans="1:13" x14ac:dyDescent="0.25">
      <c r="A17" s="109" t="s">
        <v>50</v>
      </c>
      <c r="B17" s="60">
        <v>12300894</v>
      </c>
      <c r="C17" s="63">
        <v>4914139923.5389891</v>
      </c>
      <c r="D17" s="106">
        <v>929098782.21812642</v>
      </c>
      <c r="E17" s="63">
        <f t="shared" ref="E17:F19" si="8">ROUND(E$7*C17 / 2, 0) * 2</f>
        <v>25799234</v>
      </c>
      <c r="F17" s="97">
        <f t="shared" si="8"/>
        <v>4877768</v>
      </c>
      <c r="G17" s="92">
        <f>SUM(E17,F17)</f>
        <v>30677002</v>
      </c>
      <c r="H17" s="63">
        <f>$G17/2</f>
        <v>15338501</v>
      </c>
      <c r="I17" s="98">
        <f>IF($B17 &gt; 0, (H17-$B17)/$B17, "")</f>
        <v>0.24694197023403339</v>
      </c>
      <c r="J17" s="16"/>
      <c r="K17" s="63">
        <f>$G17/2</f>
        <v>15338501</v>
      </c>
      <c r="L17" s="98">
        <f>IF($B17 &gt; 0, (K17-$B17)/$B17, "")</f>
        <v>0.24694197023403339</v>
      </c>
      <c r="M17" s="63">
        <f t="shared" si="6"/>
        <v>3037607</v>
      </c>
    </row>
    <row r="18" spans="1:13" x14ac:dyDescent="0.25">
      <c r="A18" s="109" t="s">
        <v>51</v>
      </c>
      <c r="B18" s="60">
        <v>1343219</v>
      </c>
      <c r="C18" s="63">
        <v>517741185</v>
      </c>
      <c r="D18" s="106">
        <v>78202741</v>
      </c>
      <c r="E18" s="63">
        <f t="shared" si="8"/>
        <v>2718142</v>
      </c>
      <c r="F18" s="97">
        <f t="shared" si="8"/>
        <v>410564</v>
      </c>
      <c r="G18" s="92">
        <f>SUM(E18,F18)</f>
        <v>3128706</v>
      </c>
      <c r="H18" s="63">
        <f>$G18/2</f>
        <v>1564353</v>
      </c>
      <c r="I18" s="98">
        <f>IF($B18 &gt; 0, (H18-$B18)/$B18, "")</f>
        <v>0.16462989281718021</v>
      </c>
      <c r="J18" s="16"/>
      <c r="K18" s="63">
        <f>$G18/2</f>
        <v>1564353</v>
      </c>
      <c r="L18" s="98">
        <f>IF($B18 &gt; 0, (K18-$B18)/$B18, "")</f>
        <v>0.16462989281718021</v>
      </c>
      <c r="M18" s="63">
        <f t="shared" si="6"/>
        <v>221134</v>
      </c>
    </row>
    <row r="19" spans="1:13" ht="15.75" customHeight="1" thickBot="1" x14ac:dyDescent="0.3">
      <c r="A19" s="109" t="s">
        <v>53</v>
      </c>
      <c r="B19" s="60">
        <v>1456998</v>
      </c>
      <c r="C19" s="63">
        <v>581185626.75763285</v>
      </c>
      <c r="D19" s="106">
        <v>67542698.227088735</v>
      </c>
      <c r="E19" s="63">
        <f t="shared" si="8"/>
        <v>3051224</v>
      </c>
      <c r="F19" s="97">
        <f t="shared" si="8"/>
        <v>354600</v>
      </c>
      <c r="G19" s="92">
        <f>SUM(E19,F19)</f>
        <v>3405824</v>
      </c>
      <c r="H19" s="63">
        <f>$G19/2</f>
        <v>1702912</v>
      </c>
      <c r="I19" s="98">
        <f>IF($B19 &gt; 0, (H19-$B19)/$B19, "")</f>
        <v>0.16878128864967556</v>
      </c>
      <c r="J19" s="16"/>
      <c r="K19" s="63">
        <f>$G19/2</f>
        <v>1702912</v>
      </c>
      <c r="L19" s="98">
        <f>IF($B19 &gt; 0, (K19-$B19)/$B19, "")</f>
        <v>0.16878128864967556</v>
      </c>
      <c r="M19" s="63">
        <f t="shared" si="6"/>
        <v>245914</v>
      </c>
    </row>
    <row r="20" spans="1:13" ht="15.75" customHeight="1" thickTop="1" x14ac:dyDescent="0.25">
      <c r="A20" s="110" t="s">
        <v>66</v>
      </c>
      <c r="B20" s="111">
        <v>15101111</v>
      </c>
      <c r="C20" s="112">
        <f t="shared" ref="C20:H20" si="9">SUM(C17:C19)</f>
        <v>6013066735.2966223</v>
      </c>
      <c r="D20" s="113">
        <f t="shared" si="9"/>
        <v>1074844221.4452152</v>
      </c>
      <c r="E20" s="112">
        <f t="shared" si="9"/>
        <v>31568600</v>
      </c>
      <c r="F20" s="114">
        <f t="shared" si="9"/>
        <v>5642932</v>
      </c>
      <c r="G20" s="214">
        <f t="shared" si="9"/>
        <v>37211532</v>
      </c>
      <c r="H20" s="112">
        <f t="shared" si="9"/>
        <v>18605766</v>
      </c>
      <c r="I20" s="169">
        <f>IF($B20 &gt; 0, (H20-$B20)/$B20, "")</f>
        <v>0.23207928211374645</v>
      </c>
      <c r="J20" s="16"/>
      <c r="K20" s="112">
        <f>SUM(K17:K19)</f>
        <v>18605766</v>
      </c>
      <c r="L20" s="169">
        <f>IF($B20 &gt; 0, (K20-$B20)/$B20, "")</f>
        <v>0.23207928211374645</v>
      </c>
      <c r="M20" s="112">
        <f t="shared" si="6"/>
        <v>3504655</v>
      </c>
    </row>
    <row r="21" spans="1:13" x14ac:dyDescent="0.25">
      <c r="A21" s="118"/>
      <c r="B21" s="108"/>
      <c r="C21" s="119"/>
      <c r="D21" s="123"/>
      <c r="E21" s="119"/>
      <c r="F21" s="121"/>
      <c r="G21" s="120"/>
      <c r="H21" s="119"/>
      <c r="I21" s="143"/>
      <c r="J21" s="16"/>
      <c r="K21" s="119"/>
      <c r="L21" s="143"/>
      <c r="M21" s="119"/>
    </row>
    <row r="22" spans="1:13" x14ac:dyDescent="0.25">
      <c r="A22" s="109" t="s">
        <v>55</v>
      </c>
      <c r="B22" s="60">
        <v>3921090</v>
      </c>
      <c r="C22" s="63">
        <v>1334330797.4869843</v>
      </c>
      <c r="D22" s="106">
        <v>388634176.99759638</v>
      </c>
      <c r="E22" s="63">
        <f t="shared" ref="E22:F26" si="10">ROUND(E$7*C22 / 2, 0) * 2</f>
        <v>7005236</v>
      </c>
      <c r="F22" s="97">
        <f t="shared" si="10"/>
        <v>2040330</v>
      </c>
      <c r="G22" s="92">
        <f>SUM(E22,F22)</f>
        <v>9045566</v>
      </c>
      <c r="H22" s="63">
        <f>$G22/2</f>
        <v>4522783</v>
      </c>
      <c r="I22" s="98">
        <f t="shared" ref="I22:I27" si="11">IF($B22 &gt; 0, (H22-$B22)/$B22, "")</f>
        <v>0.15345044362664464</v>
      </c>
      <c r="J22" s="16"/>
      <c r="K22" s="63">
        <f>$G22/2</f>
        <v>4522783</v>
      </c>
      <c r="L22" s="98">
        <f t="shared" ref="L22:L26" si="12">IF($B22 &gt; 0, (K22-$B22)/$B22, "")</f>
        <v>0.15345044362664464</v>
      </c>
      <c r="M22" s="63">
        <f t="shared" si="6"/>
        <v>601693</v>
      </c>
    </row>
    <row r="23" spans="1:13" x14ac:dyDescent="0.25">
      <c r="A23" s="109" t="s">
        <v>56</v>
      </c>
      <c r="B23" s="60">
        <v>1932790</v>
      </c>
      <c r="C23" s="63">
        <v>704570535.97186923</v>
      </c>
      <c r="D23" s="106">
        <v>109162902.7</v>
      </c>
      <c r="E23" s="63">
        <f t="shared" si="10"/>
        <v>3698996</v>
      </c>
      <c r="F23" s="97">
        <f t="shared" si="10"/>
        <v>573106</v>
      </c>
      <c r="G23" s="92">
        <f>SUM(E23,F23)</f>
        <v>4272102</v>
      </c>
      <c r="H23" s="63">
        <f>$G23/2</f>
        <v>2136051</v>
      </c>
      <c r="I23" s="98">
        <f t="shared" si="11"/>
        <v>0.10516455486628139</v>
      </c>
      <c r="J23" s="16"/>
      <c r="K23" s="63">
        <f>$G23/2</f>
        <v>2136051</v>
      </c>
      <c r="L23" s="98">
        <f t="shared" si="12"/>
        <v>0.10516455486628139</v>
      </c>
      <c r="M23" s="63">
        <f t="shared" si="6"/>
        <v>203261</v>
      </c>
    </row>
    <row r="24" spans="1:13" x14ac:dyDescent="0.25">
      <c r="A24" s="109" t="s">
        <v>57</v>
      </c>
      <c r="B24" s="60">
        <v>1483291</v>
      </c>
      <c r="C24" s="63">
        <v>561932009.26039565</v>
      </c>
      <c r="D24" s="106">
        <v>99753332</v>
      </c>
      <c r="E24" s="63">
        <f t="shared" si="10"/>
        <v>2950144</v>
      </c>
      <c r="F24" s="97">
        <f t="shared" si="10"/>
        <v>523704</v>
      </c>
      <c r="G24" s="92">
        <f>SUM(E24,F24)</f>
        <v>3473848</v>
      </c>
      <c r="H24" s="63">
        <f>$G24/2</f>
        <v>1736924</v>
      </c>
      <c r="I24" s="98">
        <f t="shared" si="11"/>
        <v>0.17099341936275483</v>
      </c>
      <c r="J24" s="16"/>
      <c r="K24" s="63">
        <f>$G24/2</f>
        <v>1736924</v>
      </c>
      <c r="L24" s="98">
        <f t="shared" si="12"/>
        <v>0.17099341936275483</v>
      </c>
      <c r="M24" s="63">
        <f t="shared" si="6"/>
        <v>253633</v>
      </c>
    </row>
    <row r="25" spans="1:13" x14ac:dyDescent="0.25">
      <c r="A25" s="109" t="s">
        <v>58</v>
      </c>
      <c r="B25" s="60">
        <v>1227440</v>
      </c>
      <c r="C25" s="63">
        <v>511885740.34387857</v>
      </c>
      <c r="D25" s="106">
        <v>49817604.768480472</v>
      </c>
      <c r="E25" s="63">
        <f t="shared" si="10"/>
        <v>2687400</v>
      </c>
      <c r="F25" s="97">
        <f t="shared" si="10"/>
        <v>261542</v>
      </c>
      <c r="G25" s="92">
        <f>SUM(E25,F25)</f>
        <v>2948942</v>
      </c>
      <c r="H25" s="63">
        <f>$G25/2</f>
        <v>1474471</v>
      </c>
      <c r="I25" s="98">
        <f t="shared" si="11"/>
        <v>0.20125708792283126</v>
      </c>
      <c r="J25" s="16"/>
      <c r="K25" s="63">
        <f>$G25/2</f>
        <v>1474471</v>
      </c>
      <c r="L25" s="98">
        <f t="shared" si="12"/>
        <v>0.20125708792283126</v>
      </c>
      <c r="M25" s="63">
        <f t="shared" si="6"/>
        <v>247031</v>
      </c>
    </row>
    <row r="26" spans="1:13" ht="15.75" customHeight="1" thickBot="1" x14ac:dyDescent="0.3">
      <c r="A26" s="109" t="s">
        <v>59</v>
      </c>
      <c r="B26" s="60">
        <v>4468850</v>
      </c>
      <c r="C26" s="63">
        <v>1748950247.9399736</v>
      </c>
      <c r="D26" s="106">
        <v>112165467.38994212</v>
      </c>
      <c r="E26" s="63">
        <f>ROUND(E$7*C26 / 2, 0) * 2</f>
        <v>9181988</v>
      </c>
      <c r="F26" s="97">
        <f t="shared" si="10"/>
        <v>588868</v>
      </c>
      <c r="G26" s="92">
        <f>SUM(E26,F26)</f>
        <v>9770856</v>
      </c>
      <c r="H26" s="63">
        <f>$G26/2</f>
        <v>4885428</v>
      </c>
      <c r="I26" s="98">
        <f t="shared" si="11"/>
        <v>9.3218165747339918E-2</v>
      </c>
      <c r="J26" s="16"/>
      <c r="K26" s="63">
        <f>$G26/2</f>
        <v>4885428</v>
      </c>
      <c r="L26" s="98">
        <f t="shared" si="12"/>
        <v>9.3218165747339918E-2</v>
      </c>
      <c r="M26" s="63">
        <f t="shared" si="6"/>
        <v>416578</v>
      </c>
    </row>
    <row r="27" spans="1:13" ht="15.75" customHeight="1" thickBot="1" x14ac:dyDescent="0.3">
      <c r="A27" s="171" t="s">
        <v>32</v>
      </c>
      <c r="B27" s="127">
        <v>47020852</v>
      </c>
      <c r="C27" s="88">
        <f t="shared" ref="C27:H27" si="13">SUM(C15,C20,C22:C26)</f>
        <v>18263916147.312901</v>
      </c>
      <c r="D27" s="128">
        <f t="shared" si="13"/>
        <v>2834267817.3398619</v>
      </c>
      <c r="E27" s="88">
        <f t="shared" si="13"/>
        <v>95885560</v>
      </c>
      <c r="F27" s="129">
        <f t="shared" si="13"/>
        <v>14879906</v>
      </c>
      <c r="G27" s="215">
        <f t="shared" si="13"/>
        <v>110765466</v>
      </c>
      <c r="H27" s="88">
        <f t="shared" si="13"/>
        <v>55382733</v>
      </c>
      <c r="I27" s="144">
        <f t="shared" si="11"/>
        <v>0.17783346418308202</v>
      </c>
      <c r="J27" s="85"/>
      <c r="K27" s="88">
        <f>SUM(K15,K20,K22:K26)</f>
        <v>55382733</v>
      </c>
      <c r="L27" s="144">
        <f>IF($B27 &gt; 0, (K27-$B27)/$B27, "")</f>
        <v>0.17783346418308202</v>
      </c>
      <c r="M27" s="88">
        <f t="shared" si="6"/>
        <v>8361881</v>
      </c>
    </row>
    <row r="28" spans="1:13" x14ac:dyDescent="0.25">
      <c r="H28" s="92">
        <f>H27-B27</f>
        <v>8361881</v>
      </c>
      <c r="I28" s="92"/>
      <c r="J28" s="92"/>
      <c r="K28" s="92">
        <f>K27-B27</f>
        <v>8361881</v>
      </c>
    </row>
    <row r="29" spans="1:13" x14ac:dyDescent="0.25">
      <c r="B29" s="92"/>
      <c r="I29" s="92"/>
      <c r="J29" s="92"/>
      <c r="K29" s="92"/>
    </row>
    <row r="30" spans="1:13" x14ac:dyDescent="0.25">
      <c r="B30" s="92"/>
      <c r="I30" s="92"/>
      <c r="J30" s="92"/>
      <c r="K30" s="92"/>
    </row>
    <row r="31" spans="1:13" x14ac:dyDescent="0.25">
      <c r="B31" s="92"/>
      <c r="I31" s="92"/>
      <c r="J31" s="92"/>
      <c r="K31" s="92"/>
    </row>
    <row r="32" spans="1:13" x14ac:dyDescent="0.25">
      <c r="B32" s="384"/>
    </row>
    <row r="43" spans="2:11" x14ac:dyDescent="0.25">
      <c r="H43"/>
    </row>
    <row r="46" spans="2:11" ht="15.75" customHeight="1" x14ac:dyDescent="0.25">
      <c r="B46"/>
      <c r="C46"/>
      <c r="D46"/>
      <c r="E46"/>
      <c r="F46"/>
      <c r="G46"/>
      <c r="I46"/>
      <c r="K46"/>
    </row>
  </sheetData>
  <mergeCells count="14">
    <mergeCell ref="M6:M7"/>
    <mergeCell ref="E2:F2"/>
    <mergeCell ref="C5:C7"/>
    <mergeCell ref="D5:D7"/>
    <mergeCell ref="A5:A7"/>
    <mergeCell ref="K5:L5"/>
    <mergeCell ref="K6:K7"/>
    <mergeCell ref="L6:L7"/>
    <mergeCell ref="H5:I5"/>
    <mergeCell ref="H6:H7"/>
    <mergeCell ref="I6:I7"/>
    <mergeCell ref="B5:B7"/>
    <mergeCell ref="E5:G5"/>
    <mergeCell ref="G6:G7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39997558519241921"/>
  </sheetPr>
  <dimension ref="A1:W220"/>
  <sheetViews>
    <sheetView zoomScale="80" zoomScaleNormal="80" workbookViewId="0">
      <pane ySplit="7" topLeftCell="A8" activePane="bottomLeft" state="frozenSplit"/>
      <selection pane="bottomLeft" activeCell="H86" sqref="H86"/>
    </sheetView>
  </sheetViews>
  <sheetFormatPr defaultColWidth="16.7109375" defaultRowHeight="15" x14ac:dyDescent="0.25"/>
  <cols>
    <col min="1" max="1" width="64.7109375" customWidth="1"/>
    <col min="2" max="2" width="11.5703125" style="216" bestFit="1" customWidth="1"/>
    <col min="3" max="10" width="16.7109375" customWidth="1"/>
    <col min="11" max="11" width="2" customWidth="1"/>
    <col min="12" max="23" width="16.7109375" customWidth="1"/>
  </cols>
  <sheetData>
    <row r="1" spans="1:23" ht="15.75" customHeight="1" x14ac:dyDescent="0.25">
      <c r="A1" s="9" t="s">
        <v>136</v>
      </c>
      <c r="B1" s="371"/>
      <c r="E1" s="265"/>
      <c r="F1" s="265"/>
      <c r="L1" s="265"/>
      <c r="M1" s="265"/>
    </row>
    <row r="2" spans="1:23" ht="15.75" customHeight="1" x14ac:dyDescent="0.25">
      <c r="A2" s="10"/>
      <c r="B2" s="372"/>
      <c r="E2" s="265"/>
      <c r="F2" s="265"/>
      <c r="G2" s="146"/>
      <c r="H2" s="146"/>
      <c r="I2" s="146"/>
      <c r="J2" s="146"/>
      <c r="K2" s="146"/>
      <c r="L2" s="265"/>
      <c r="M2" s="265"/>
    </row>
    <row r="3" spans="1:23" x14ac:dyDescent="0.25">
      <c r="A3" s="11" t="s">
        <v>137</v>
      </c>
      <c r="B3" s="373"/>
      <c r="D3" s="23"/>
      <c r="E3" s="216"/>
      <c r="F3" s="385"/>
      <c r="L3" s="216"/>
      <c r="M3" s="216"/>
    </row>
    <row r="4" spans="1:23" ht="15.75" customHeight="1" thickBot="1" x14ac:dyDescent="0.3">
      <c r="A4" s="218" t="s">
        <v>138</v>
      </c>
      <c r="B4" s="374"/>
    </row>
    <row r="5" spans="1:23" ht="15" customHeight="1" thickBot="1" x14ac:dyDescent="0.3">
      <c r="A5" s="553"/>
      <c r="B5" s="554" t="s">
        <v>351</v>
      </c>
      <c r="C5" s="560" t="s">
        <v>217</v>
      </c>
      <c r="D5" s="561"/>
      <c r="E5" s="470" t="s">
        <v>240</v>
      </c>
      <c r="F5" s="562"/>
      <c r="G5" s="562"/>
      <c r="H5" s="562"/>
      <c r="I5" s="562"/>
      <c r="J5" s="563"/>
      <c r="K5" s="181"/>
      <c r="L5" s="470" t="s">
        <v>241</v>
      </c>
      <c r="M5" s="562"/>
      <c r="N5" s="562"/>
      <c r="O5" s="562"/>
      <c r="P5" s="562"/>
      <c r="Q5" s="563"/>
    </row>
    <row r="6" spans="1:23" ht="15" customHeight="1" thickBot="1" x14ac:dyDescent="0.3">
      <c r="A6" s="554"/>
      <c r="B6" s="555"/>
      <c r="C6" s="556" t="s">
        <v>139</v>
      </c>
      <c r="D6" s="558" t="s">
        <v>30</v>
      </c>
      <c r="E6" s="564" t="s">
        <v>139</v>
      </c>
      <c r="F6" s="565"/>
      <c r="G6" s="566"/>
      <c r="H6" s="567" t="s">
        <v>30</v>
      </c>
      <c r="I6" s="568" t="s">
        <v>72</v>
      </c>
      <c r="J6" s="569"/>
      <c r="K6" s="182"/>
      <c r="L6" s="564" t="s">
        <v>139</v>
      </c>
      <c r="M6" s="565"/>
      <c r="N6" s="566"/>
      <c r="O6" s="567" t="s">
        <v>30</v>
      </c>
      <c r="P6" s="568"/>
      <c r="Q6" s="569"/>
      <c r="R6" s="458"/>
      <c r="S6" s="458"/>
      <c r="T6" s="458"/>
      <c r="U6" s="458"/>
      <c r="V6" s="458"/>
      <c r="W6" s="458"/>
    </row>
    <row r="7" spans="1:23" ht="49.5" customHeight="1" thickBot="1" x14ac:dyDescent="0.3">
      <c r="A7" s="555"/>
      <c r="B7" s="312">
        <f>COUNTIF(B8:B96, "yes")</f>
        <v>0</v>
      </c>
      <c r="C7" s="557"/>
      <c r="D7" s="559"/>
      <c r="E7" s="183" t="s">
        <v>140</v>
      </c>
      <c r="F7" s="184" t="s">
        <v>98</v>
      </c>
      <c r="G7" s="185"/>
      <c r="H7" s="186" t="s">
        <v>140</v>
      </c>
      <c r="I7" s="187" t="s">
        <v>98</v>
      </c>
      <c r="J7" s="221"/>
      <c r="K7" s="188"/>
      <c r="L7" s="183" t="s">
        <v>140</v>
      </c>
      <c r="M7" s="184" t="s">
        <v>98</v>
      </c>
      <c r="N7" s="185"/>
      <c r="O7" s="186" t="s">
        <v>140</v>
      </c>
      <c r="P7" s="187" t="s">
        <v>98</v>
      </c>
      <c r="Q7" s="221"/>
    </row>
    <row r="8" spans="1:23" ht="20.100000000000001" customHeight="1" x14ac:dyDescent="0.25">
      <c r="A8" s="150" t="s">
        <v>120</v>
      </c>
      <c r="B8" s="375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</row>
    <row r="9" spans="1:23" ht="20.100000000000001" customHeight="1" x14ac:dyDescent="0.25">
      <c r="A9" t="s">
        <v>220</v>
      </c>
      <c r="C9" s="152">
        <v>6695258</v>
      </c>
      <c r="D9" s="225"/>
      <c r="E9" s="225">
        <f>C9</f>
        <v>6695258</v>
      </c>
      <c r="F9" s="152">
        <f>C9</f>
        <v>6695258</v>
      </c>
      <c r="G9" s="189">
        <f>F9/C9-1</f>
        <v>0</v>
      </c>
      <c r="H9" s="152"/>
      <c r="I9" s="152"/>
      <c r="J9" s="189"/>
      <c r="L9" s="152">
        <f>E9</f>
        <v>6695258</v>
      </c>
      <c r="M9" s="152">
        <f>F9</f>
        <v>6695258</v>
      </c>
      <c r="N9" s="189">
        <f>M9/C9-1</f>
        <v>0</v>
      </c>
      <c r="O9" s="152"/>
      <c r="P9" s="152"/>
      <c r="Q9" s="189"/>
    </row>
    <row r="10" spans="1:23" ht="20.100000000000001" customHeight="1" x14ac:dyDescent="0.25">
      <c r="A10" t="s">
        <v>141</v>
      </c>
      <c r="C10" s="152">
        <v>522558</v>
      </c>
      <c r="D10" s="152"/>
      <c r="E10" s="152">
        <f>C10</f>
        <v>522558</v>
      </c>
      <c r="F10" s="152">
        <f>C10</f>
        <v>522558</v>
      </c>
      <c r="G10" s="189">
        <f t="shared" ref="G10:G14" si="0">F10/C10-1</f>
        <v>0</v>
      </c>
      <c r="H10" s="152"/>
      <c r="I10" s="152"/>
      <c r="J10" s="189"/>
      <c r="L10" s="152">
        <f t="shared" ref="L10:L15" si="1">E10</f>
        <v>522558</v>
      </c>
      <c r="M10" s="152">
        <v>522558</v>
      </c>
      <c r="N10" s="189">
        <f t="shared" ref="N10:N15" si="2">M10/C10-1</f>
        <v>0</v>
      </c>
      <c r="O10" s="152"/>
      <c r="P10" s="152"/>
      <c r="Q10" s="189"/>
    </row>
    <row r="11" spans="1:23" ht="20.100000000000001" customHeight="1" x14ac:dyDescent="0.25">
      <c r="A11" t="s">
        <v>142</v>
      </c>
      <c r="C11" s="152">
        <v>8000000</v>
      </c>
      <c r="D11" s="225"/>
      <c r="E11" s="225">
        <f>C11</f>
        <v>8000000</v>
      </c>
      <c r="F11" s="152">
        <f>C11</f>
        <v>8000000</v>
      </c>
      <c r="G11" s="189">
        <f t="shared" si="0"/>
        <v>0</v>
      </c>
      <c r="H11" s="152"/>
      <c r="I11" s="152"/>
      <c r="J11" s="189"/>
      <c r="L11" s="152">
        <f t="shared" si="1"/>
        <v>8000000</v>
      </c>
      <c r="M11" s="152">
        <v>8000000</v>
      </c>
      <c r="N11" s="189">
        <f t="shared" si="2"/>
        <v>0</v>
      </c>
      <c r="O11" s="152"/>
      <c r="P11" s="152"/>
      <c r="Q11" s="189"/>
    </row>
    <row r="12" spans="1:23" ht="20.100000000000001" customHeight="1" x14ac:dyDescent="0.25">
      <c r="A12" t="s">
        <v>143</v>
      </c>
      <c r="C12" s="152">
        <v>5000000</v>
      </c>
      <c r="D12" s="152"/>
      <c r="E12" s="225">
        <v>8274000</v>
      </c>
      <c r="F12" s="376">
        <v>0</v>
      </c>
      <c r="G12" s="189">
        <f t="shared" si="0"/>
        <v>-1</v>
      </c>
      <c r="H12" s="152"/>
      <c r="I12" s="152"/>
      <c r="J12" s="189"/>
      <c r="L12" s="152">
        <v>6637000</v>
      </c>
      <c r="M12" s="376">
        <v>0</v>
      </c>
      <c r="N12" s="189">
        <f t="shared" si="2"/>
        <v>-1</v>
      </c>
      <c r="O12" s="152"/>
      <c r="P12" s="152"/>
      <c r="Q12" s="189"/>
    </row>
    <row r="13" spans="1:23" ht="20.100000000000001" customHeight="1" x14ac:dyDescent="0.25">
      <c r="A13" t="s">
        <v>144</v>
      </c>
      <c r="C13" s="152">
        <v>9000000</v>
      </c>
      <c r="D13" s="152"/>
      <c r="E13" s="225">
        <f>C13</f>
        <v>9000000</v>
      </c>
      <c r="F13" s="152">
        <f>C13</f>
        <v>9000000</v>
      </c>
      <c r="G13" s="189">
        <f t="shared" si="0"/>
        <v>0</v>
      </c>
      <c r="H13" s="152"/>
      <c r="I13" s="152"/>
      <c r="J13" s="189"/>
      <c r="L13" s="152">
        <f t="shared" si="1"/>
        <v>9000000</v>
      </c>
      <c r="M13" s="152">
        <v>9000000</v>
      </c>
      <c r="N13" s="189">
        <f t="shared" si="2"/>
        <v>0</v>
      </c>
      <c r="O13" s="152"/>
      <c r="P13" s="152"/>
      <c r="Q13" s="189"/>
    </row>
    <row r="14" spans="1:23" ht="20.100000000000001" customHeight="1" x14ac:dyDescent="0.25">
      <c r="A14" t="s">
        <v>145</v>
      </c>
      <c r="C14" s="152">
        <v>4430212</v>
      </c>
      <c r="D14" s="225"/>
      <c r="E14" s="225">
        <f>C14</f>
        <v>4430212</v>
      </c>
      <c r="F14" s="152">
        <f>C14</f>
        <v>4430212</v>
      </c>
      <c r="G14" s="189">
        <f t="shared" si="0"/>
        <v>0</v>
      </c>
      <c r="H14" s="152"/>
      <c r="I14" s="152"/>
      <c r="J14" s="189"/>
      <c r="L14" s="152">
        <f t="shared" si="1"/>
        <v>4430212</v>
      </c>
      <c r="M14" s="152">
        <f>F14</f>
        <v>4430212</v>
      </c>
      <c r="N14" s="189">
        <f t="shared" si="2"/>
        <v>0</v>
      </c>
      <c r="O14" s="152"/>
      <c r="P14" s="152"/>
      <c r="Q14" s="189"/>
    </row>
    <row r="15" spans="1:23" ht="20.100000000000001" customHeight="1" thickBot="1" x14ac:dyDescent="0.3">
      <c r="A15" t="s">
        <v>146</v>
      </c>
      <c r="C15" s="152">
        <v>1059650</v>
      </c>
      <c r="D15" s="152"/>
      <c r="E15" s="152">
        <f>'LINE ITEM Dual Credit'!D20</f>
        <v>1320650</v>
      </c>
      <c r="F15" s="152">
        <f>'LINE ITEM Dual Credit'!E20</f>
        <v>1188585</v>
      </c>
      <c r="G15" s="189">
        <f>F15/C15-1</f>
        <v>0.1216769688104562</v>
      </c>
      <c r="H15" s="152"/>
      <c r="I15" s="152"/>
      <c r="J15" s="189"/>
      <c r="L15" s="152">
        <f t="shared" si="1"/>
        <v>1320650</v>
      </c>
      <c r="M15" s="152">
        <f>F15</f>
        <v>1188585</v>
      </c>
      <c r="N15" s="189">
        <f t="shared" si="2"/>
        <v>0.1216769688104562</v>
      </c>
      <c r="O15" s="152"/>
      <c r="P15" s="152"/>
      <c r="Q15" s="189"/>
    </row>
    <row r="16" spans="1:23" ht="20.100000000000001" customHeight="1" thickBot="1" x14ac:dyDescent="0.3">
      <c r="A16" s="153" t="s">
        <v>121</v>
      </c>
      <c r="B16" s="233"/>
      <c r="C16" s="154">
        <f>SUM(C8:C15)</f>
        <v>34707678</v>
      </c>
      <c r="D16" s="154">
        <f>SUM(D8:D15)</f>
        <v>0</v>
      </c>
      <c r="E16" s="154">
        <f>SUM(E8:E15)</f>
        <v>38242678</v>
      </c>
      <c r="F16" s="154">
        <f>SUM(F8:F15)</f>
        <v>29836613</v>
      </c>
      <c r="G16" s="190">
        <f>IF(C16&gt;0, (F16-C16)/C16,)</f>
        <v>-0.14034545900765819</v>
      </c>
      <c r="H16" s="154">
        <f>SUM(H8:H15)</f>
        <v>0</v>
      </c>
      <c r="I16" s="154">
        <f>SUM(I8:I15)</f>
        <v>0</v>
      </c>
      <c r="J16" s="190">
        <f>IF(F16&gt;0, (I16-F16)/F16,)</f>
        <v>-1</v>
      </c>
      <c r="K16" s="153"/>
      <c r="L16" s="154">
        <f>SUM(L8:L15)</f>
        <v>36605678</v>
      </c>
      <c r="M16" s="154">
        <f>SUM(M8:M15)</f>
        <v>29836613</v>
      </c>
      <c r="N16" s="190">
        <f>IF(J16&gt;0, (M16-J16)/J16,)</f>
        <v>0</v>
      </c>
      <c r="O16" s="154">
        <f>SUM(O8:O15)</f>
        <v>0</v>
      </c>
      <c r="P16" s="154">
        <f>SUM(P8:P15)</f>
        <v>0</v>
      </c>
      <c r="Q16" s="190">
        <f>IF(M16&gt;0, (P16-M16)/M16,)</f>
        <v>-1</v>
      </c>
    </row>
    <row r="17" spans="1:17" ht="20.100000000000001" customHeight="1" thickTop="1" x14ac:dyDescent="0.25">
      <c r="A17" s="150" t="s">
        <v>113</v>
      </c>
      <c r="B17" s="375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</row>
    <row r="18" spans="1:17" ht="20.100000000000001" customHeight="1" x14ac:dyDescent="0.25">
      <c r="A18" t="s">
        <v>147</v>
      </c>
      <c r="C18" s="152">
        <v>721861</v>
      </c>
      <c r="D18" s="152"/>
      <c r="E18" s="152">
        <v>743516.83000000007</v>
      </c>
      <c r="F18" s="152">
        <f t="shared" ref="F18:F24" si="3">C18</f>
        <v>721861</v>
      </c>
      <c r="G18" s="189">
        <f t="shared" ref="G18:G25" si="4">F18/C18-1</f>
        <v>0</v>
      </c>
      <c r="H18" s="152"/>
      <c r="I18" s="152"/>
      <c r="J18" s="189"/>
      <c r="L18" s="152">
        <v>743516.83000000007</v>
      </c>
      <c r="M18" s="152">
        <f>C18</f>
        <v>721861</v>
      </c>
      <c r="N18" s="189">
        <f>M18/C18-1</f>
        <v>0</v>
      </c>
      <c r="O18" s="152"/>
      <c r="P18" s="152"/>
      <c r="Q18" s="189"/>
    </row>
    <row r="19" spans="1:17" ht="20.100000000000001" customHeight="1" x14ac:dyDescent="0.25">
      <c r="A19" t="s">
        <v>148</v>
      </c>
      <c r="C19" s="152">
        <v>2105824</v>
      </c>
      <c r="D19" s="152"/>
      <c r="E19" s="152">
        <v>2168998.7200000002</v>
      </c>
      <c r="F19" s="152">
        <f t="shared" si="3"/>
        <v>2105824</v>
      </c>
      <c r="G19" s="189">
        <f t="shared" si="4"/>
        <v>0</v>
      </c>
      <c r="H19" s="152"/>
      <c r="I19" s="152"/>
      <c r="J19" s="189"/>
      <c r="L19" s="152">
        <v>2168998.7200000002</v>
      </c>
      <c r="M19" s="152">
        <v>2105824</v>
      </c>
      <c r="N19" s="189">
        <f t="shared" ref="N19:N25" si="5">M19/C19-1</f>
        <v>0</v>
      </c>
      <c r="O19" s="152"/>
      <c r="P19" s="152"/>
      <c r="Q19" s="189"/>
    </row>
    <row r="20" spans="1:17" ht="20.100000000000001" customHeight="1" x14ac:dyDescent="0.25">
      <c r="A20" t="s">
        <v>149</v>
      </c>
      <c r="C20" s="152">
        <v>2783782</v>
      </c>
      <c r="D20" s="152"/>
      <c r="E20" s="152">
        <v>5900000</v>
      </c>
      <c r="F20" s="152">
        <f t="shared" si="3"/>
        <v>2783782</v>
      </c>
      <c r="G20" s="189">
        <f t="shared" si="4"/>
        <v>0</v>
      </c>
      <c r="H20" s="152"/>
      <c r="I20" s="152"/>
      <c r="J20" s="189"/>
      <c r="L20" s="152">
        <v>5900000</v>
      </c>
      <c r="M20" s="152">
        <v>2783782</v>
      </c>
      <c r="N20" s="189">
        <f t="shared" si="5"/>
        <v>0</v>
      </c>
      <c r="O20" s="152"/>
      <c r="P20" s="152"/>
      <c r="Q20" s="189"/>
    </row>
    <row r="21" spans="1:17" ht="20.100000000000001" customHeight="1" x14ac:dyDescent="0.25">
      <c r="A21" t="s">
        <v>150</v>
      </c>
      <c r="C21" s="152">
        <v>553429</v>
      </c>
      <c r="D21" s="152"/>
      <c r="E21" s="152">
        <v>570031.87</v>
      </c>
      <c r="F21" s="152">
        <f t="shared" si="3"/>
        <v>553429</v>
      </c>
      <c r="G21" s="189">
        <f t="shared" si="4"/>
        <v>0</v>
      </c>
      <c r="H21" s="152"/>
      <c r="I21" s="152"/>
      <c r="J21" s="189"/>
      <c r="L21" s="152">
        <v>570031.87</v>
      </c>
      <c r="M21" s="152">
        <v>553429</v>
      </c>
      <c r="N21" s="189">
        <f t="shared" si="5"/>
        <v>0</v>
      </c>
      <c r="O21" s="152"/>
      <c r="P21" s="152"/>
      <c r="Q21" s="189"/>
    </row>
    <row r="22" spans="1:17" ht="20.100000000000001" customHeight="1" x14ac:dyDescent="0.25">
      <c r="A22" t="s">
        <v>151</v>
      </c>
      <c r="C22" s="152">
        <v>1508628</v>
      </c>
      <c r="D22" s="152"/>
      <c r="E22" s="152">
        <v>1553886.84</v>
      </c>
      <c r="F22" s="152">
        <f t="shared" si="3"/>
        <v>1508628</v>
      </c>
      <c r="G22" s="189">
        <f t="shared" si="4"/>
        <v>0</v>
      </c>
      <c r="H22" s="152"/>
      <c r="I22" s="152"/>
      <c r="J22" s="189"/>
      <c r="L22" s="152">
        <v>1553886.84</v>
      </c>
      <c r="M22" s="152">
        <v>1508628</v>
      </c>
      <c r="N22" s="189">
        <f t="shared" si="5"/>
        <v>0</v>
      </c>
      <c r="O22" s="152"/>
      <c r="P22" s="152"/>
      <c r="Q22" s="189"/>
    </row>
    <row r="23" spans="1:17" ht="20.100000000000001" customHeight="1" x14ac:dyDescent="0.25">
      <c r="A23" t="s">
        <v>152</v>
      </c>
      <c r="C23" s="152">
        <v>672562</v>
      </c>
      <c r="D23" s="152"/>
      <c r="E23" s="152">
        <v>692738.86</v>
      </c>
      <c r="F23" s="152">
        <f t="shared" si="3"/>
        <v>672562</v>
      </c>
      <c r="G23" s="189">
        <f t="shared" si="4"/>
        <v>0</v>
      </c>
      <c r="H23" s="152"/>
      <c r="I23" s="152"/>
      <c r="J23" s="189"/>
      <c r="L23" s="152">
        <v>692738.86</v>
      </c>
      <c r="M23" s="152">
        <v>672562</v>
      </c>
      <c r="N23" s="189">
        <f t="shared" si="5"/>
        <v>0</v>
      </c>
      <c r="O23" s="152"/>
      <c r="P23" s="152"/>
      <c r="Q23" s="189"/>
    </row>
    <row r="24" spans="1:17" ht="20.100000000000001" customHeight="1" x14ac:dyDescent="0.25">
      <c r="A24" t="s">
        <v>153</v>
      </c>
      <c r="C24" s="152">
        <v>2500000</v>
      </c>
      <c r="D24" s="152"/>
      <c r="E24" s="152">
        <v>2575000</v>
      </c>
      <c r="F24" s="152">
        <f t="shared" si="3"/>
        <v>2500000</v>
      </c>
      <c r="G24" s="189">
        <f t="shared" si="4"/>
        <v>0</v>
      </c>
      <c r="H24" s="152"/>
      <c r="I24" s="152"/>
      <c r="J24" s="189"/>
      <c r="L24" s="152">
        <v>2575000</v>
      </c>
      <c r="M24" s="152">
        <f>C24</f>
        <v>2500000</v>
      </c>
      <c r="N24" s="189">
        <f t="shared" si="5"/>
        <v>0</v>
      </c>
      <c r="O24" s="152"/>
      <c r="P24" s="152"/>
      <c r="Q24" s="189"/>
    </row>
    <row r="25" spans="1:17" ht="20.100000000000001" customHeight="1" x14ac:dyDescent="0.25">
      <c r="A25" t="s">
        <v>154</v>
      </c>
      <c r="C25" s="152">
        <v>4824800</v>
      </c>
      <c r="D25" s="152"/>
      <c r="E25" s="152">
        <f>'LINE ITEM Dual Credit'!D15</f>
        <v>4934450</v>
      </c>
      <c r="F25" s="152">
        <f>'LINE ITEM Dual Credit'!E15</f>
        <v>4441005</v>
      </c>
      <c r="G25" s="189">
        <f t="shared" si="4"/>
        <v>-7.954630243740668E-2</v>
      </c>
      <c r="H25" s="152"/>
      <c r="I25" s="152"/>
      <c r="J25" s="189"/>
      <c r="L25" s="152">
        <f>E25</f>
        <v>4934450</v>
      </c>
      <c r="M25" s="152">
        <f>F25</f>
        <v>4441005</v>
      </c>
      <c r="N25" s="189">
        <f t="shared" si="5"/>
        <v>-7.954630243740668E-2</v>
      </c>
      <c r="O25" s="152"/>
      <c r="P25" s="152"/>
      <c r="Q25" s="189"/>
    </row>
    <row r="26" spans="1:17" ht="20.100000000000001" customHeight="1" x14ac:dyDescent="0.25">
      <c r="A26" t="s">
        <v>303</v>
      </c>
      <c r="C26" s="152">
        <v>0</v>
      </c>
      <c r="D26" s="152"/>
      <c r="E26" s="152">
        <v>1253250</v>
      </c>
      <c r="F26" s="152">
        <v>1000000</v>
      </c>
      <c r="G26" s="189"/>
      <c r="H26" s="152"/>
      <c r="I26" s="152"/>
      <c r="J26" s="189"/>
      <c r="L26" s="152">
        <v>1253250</v>
      </c>
      <c r="M26" s="152">
        <v>1000000</v>
      </c>
      <c r="N26" s="189"/>
      <c r="O26" s="152"/>
      <c r="P26" s="152"/>
      <c r="Q26" s="189"/>
    </row>
    <row r="27" spans="1:17" ht="20.100000000000001" customHeight="1" thickBot="1" x14ac:dyDescent="0.3">
      <c r="A27" t="s">
        <v>304</v>
      </c>
      <c r="C27" s="152">
        <v>0</v>
      </c>
      <c r="D27" s="152"/>
      <c r="E27" s="152">
        <v>5000000</v>
      </c>
      <c r="F27" s="152">
        <v>0</v>
      </c>
      <c r="G27" s="189"/>
      <c r="H27" s="152"/>
      <c r="I27" s="152"/>
      <c r="J27" s="189"/>
      <c r="L27" s="152">
        <v>5000000</v>
      </c>
      <c r="M27" s="152">
        <v>0</v>
      </c>
      <c r="N27" s="189"/>
      <c r="O27" s="152"/>
      <c r="P27" s="152"/>
      <c r="Q27" s="189"/>
    </row>
    <row r="28" spans="1:17" ht="20.100000000000001" customHeight="1" thickBot="1" x14ac:dyDescent="0.3">
      <c r="A28" s="153" t="s">
        <v>114</v>
      </c>
      <c r="B28" s="233"/>
      <c r="C28" s="154">
        <f>SUM(C17:C27)</f>
        <v>15670886</v>
      </c>
      <c r="D28" s="154">
        <f>SUM(D17:D25)</f>
        <v>0</v>
      </c>
      <c r="E28" s="154">
        <f>SUM(E17:E27)</f>
        <v>25391873.119999997</v>
      </c>
      <c r="F28" s="154">
        <f>SUM(F17:F27)</f>
        <v>16287091</v>
      </c>
      <c r="G28" s="190">
        <f>IF(C28&gt;0, (F28-C28)/C28,)</f>
        <v>3.9321643970864184E-2</v>
      </c>
      <c r="H28" s="154">
        <f>SUM(H17:H25)</f>
        <v>0</v>
      </c>
      <c r="I28" s="154">
        <f>SUM(I17:I25)</f>
        <v>0</v>
      </c>
      <c r="J28" s="190">
        <f>IF(F28&gt;0, (I28-F28)/F28,)</f>
        <v>-1</v>
      </c>
      <c r="K28" s="153"/>
      <c r="L28" s="154">
        <f>SUM(L17:L27)</f>
        <v>25391873.119999997</v>
      </c>
      <c r="M28" s="154">
        <f>SUM(M17:M27)</f>
        <v>16287091</v>
      </c>
      <c r="N28" s="190">
        <f>IF(J28&gt;0, (M28-J28)/J28,)</f>
        <v>0</v>
      </c>
      <c r="O28" s="154">
        <f>SUM(O17:O25)</f>
        <v>0</v>
      </c>
      <c r="P28" s="154">
        <f>SUM(P17:P25)</f>
        <v>0</v>
      </c>
      <c r="Q28" s="190">
        <f>IF(M28&gt;0, (P28-M28)/M28,)</f>
        <v>-1</v>
      </c>
    </row>
    <row r="29" spans="1:17" ht="20.100000000000001" customHeight="1" thickTop="1" x14ac:dyDescent="0.25">
      <c r="A29" s="150" t="s">
        <v>107</v>
      </c>
      <c r="B29" s="375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</row>
    <row r="30" spans="1:17" ht="20.100000000000001" customHeight="1" x14ac:dyDescent="0.25">
      <c r="A30" t="s">
        <v>155</v>
      </c>
      <c r="C30" s="152">
        <v>4384956</v>
      </c>
      <c r="D30" s="152"/>
      <c r="E30" s="152">
        <v>4473000</v>
      </c>
      <c r="F30" s="152">
        <f>C30</f>
        <v>4384956</v>
      </c>
      <c r="G30" s="189">
        <f t="shared" ref="G30:G31" si="6">F30/C30-1</f>
        <v>0</v>
      </c>
      <c r="H30" s="152"/>
      <c r="I30" s="152"/>
      <c r="J30" s="189"/>
      <c r="L30" s="152">
        <v>4562000</v>
      </c>
      <c r="M30" s="152">
        <f>C30</f>
        <v>4384956</v>
      </c>
      <c r="N30" s="189">
        <f>M30/C30-1</f>
        <v>0</v>
      </c>
      <c r="O30" s="152"/>
      <c r="P30" s="152"/>
      <c r="Q30" s="189"/>
    </row>
    <row r="31" spans="1:17" ht="20.100000000000001" customHeight="1" x14ac:dyDescent="0.25">
      <c r="A31" t="s">
        <v>156</v>
      </c>
      <c r="C31" s="152">
        <v>2500000</v>
      </c>
      <c r="D31" s="152"/>
      <c r="E31" s="152">
        <v>2550000</v>
      </c>
      <c r="F31" s="152">
        <f>C31</f>
        <v>2500000</v>
      </c>
      <c r="G31" s="189">
        <f t="shared" si="6"/>
        <v>0</v>
      </c>
      <c r="H31" s="152"/>
      <c r="I31" s="152"/>
      <c r="J31" s="189"/>
      <c r="L31" s="152">
        <v>2600000</v>
      </c>
      <c r="M31" s="152">
        <f>F31</f>
        <v>2500000</v>
      </c>
      <c r="N31" s="189">
        <f>M31/C31-1</f>
        <v>0</v>
      </c>
      <c r="O31" s="152"/>
      <c r="P31" s="152"/>
      <c r="Q31" s="189"/>
    </row>
    <row r="32" spans="1:17" ht="20.100000000000001" customHeight="1" x14ac:dyDescent="0.25">
      <c r="A32" t="s">
        <v>300</v>
      </c>
      <c r="C32" s="152">
        <v>0</v>
      </c>
      <c r="D32" s="152"/>
      <c r="E32" s="152">
        <v>1500000</v>
      </c>
      <c r="F32" s="152">
        <v>0</v>
      </c>
      <c r="G32" s="189"/>
      <c r="H32" s="152"/>
      <c r="I32" s="152"/>
      <c r="J32" s="189"/>
      <c r="L32" s="152">
        <v>1500000</v>
      </c>
      <c r="M32" s="152">
        <f>F32</f>
        <v>0</v>
      </c>
      <c r="N32" s="189"/>
      <c r="O32" s="152"/>
      <c r="P32" s="152"/>
      <c r="Q32" s="189"/>
    </row>
    <row r="33" spans="1:17" ht="20.100000000000001" customHeight="1" thickBot="1" x14ac:dyDescent="0.3">
      <c r="A33" t="s">
        <v>157</v>
      </c>
      <c r="C33" s="152">
        <v>290050</v>
      </c>
      <c r="D33" s="152"/>
      <c r="E33" s="152">
        <f>'LINE ITEM Dual Credit'!D22</f>
        <v>261600</v>
      </c>
      <c r="F33" s="152">
        <f>'LINE ITEM Dual Credit'!E22</f>
        <v>235440</v>
      </c>
      <c r="G33" s="189">
        <f>F33/C33-1</f>
        <v>-0.18827788312359939</v>
      </c>
      <c r="H33" s="152"/>
      <c r="I33" s="152"/>
      <c r="J33" s="189"/>
      <c r="L33" s="152">
        <v>261600</v>
      </c>
      <c r="M33" s="152">
        <f>F33</f>
        <v>235440</v>
      </c>
      <c r="N33" s="189">
        <f>M33/C33-1</f>
        <v>-0.18827788312359939</v>
      </c>
      <c r="O33" s="152"/>
      <c r="P33" s="152"/>
      <c r="Q33" s="189"/>
    </row>
    <row r="34" spans="1:17" ht="20.100000000000001" customHeight="1" thickBot="1" x14ac:dyDescent="0.3">
      <c r="A34" s="153" t="s">
        <v>108</v>
      </c>
      <c r="B34" s="233"/>
      <c r="C34" s="154">
        <f>SUM(C29:C33)</f>
        <v>7175006</v>
      </c>
      <c r="D34" s="154">
        <f>SUM(D29:D33)</f>
        <v>0</v>
      </c>
      <c r="E34" s="154">
        <f>SUM(E29:E33)</f>
        <v>8784600</v>
      </c>
      <c r="F34" s="154">
        <f>SUM(F29:F33)</f>
        <v>7120396</v>
      </c>
      <c r="G34" s="190">
        <f>IF(C34&gt;0, (F34-C34)/C34,)</f>
        <v>-7.6111434610647019E-3</v>
      </c>
      <c r="H34" s="154">
        <f>SUM(H29:H33)</f>
        <v>0</v>
      </c>
      <c r="I34" s="154">
        <f>SUM(I29:I33)</f>
        <v>0</v>
      </c>
      <c r="J34" s="190">
        <f>IF(D34&gt;0, (I34-D34)/D34,)</f>
        <v>0</v>
      </c>
      <c r="K34" s="153"/>
      <c r="L34" s="154">
        <f>SUM(L29:L33)</f>
        <v>8923600</v>
      </c>
      <c r="M34" s="154">
        <f>SUM(M29:M33)</f>
        <v>7120396</v>
      </c>
      <c r="N34" s="190">
        <f>IF(C34&gt;0,(M34-C34)/C34,)</f>
        <v>-7.6111434610647019E-3</v>
      </c>
      <c r="O34" s="154">
        <f>SUM(O29:O33)</f>
        <v>0</v>
      </c>
      <c r="P34" s="154">
        <f>SUM(P29:P33)</f>
        <v>0</v>
      </c>
      <c r="Q34" s="190">
        <f>IF(D34&gt;0,(P34-D34)/D34,)</f>
        <v>0</v>
      </c>
    </row>
    <row r="35" spans="1:17" ht="20.100000000000001" customHeight="1" thickTop="1" x14ac:dyDescent="0.25">
      <c r="A35" s="150" t="s">
        <v>111</v>
      </c>
      <c r="B35" s="375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</row>
    <row r="36" spans="1:17" ht="20.100000000000001" customHeight="1" x14ac:dyDescent="0.25">
      <c r="A36" t="s">
        <v>158</v>
      </c>
      <c r="C36" s="152">
        <v>204000</v>
      </c>
      <c r="D36" s="152"/>
      <c r="E36" s="152">
        <f>C36</f>
        <v>204000</v>
      </c>
      <c r="F36" s="152">
        <f>C36</f>
        <v>204000</v>
      </c>
      <c r="G36" s="189">
        <f t="shared" ref="G36:G39" si="7">F36/C36-1</f>
        <v>0</v>
      </c>
      <c r="H36" s="152"/>
      <c r="I36" s="152"/>
      <c r="J36" s="189"/>
      <c r="L36" s="152">
        <f>C36</f>
        <v>204000</v>
      </c>
      <c r="M36" s="152">
        <f>F36</f>
        <v>204000</v>
      </c>
      <c r="N36" s="189">
        <f>M36/C36-1</f>
        <v>0</v>
      </c>
      <c r="O36" s="152"/>
      <c r="P36" s="152"/>
      <c r="Q36" s="189"/>
    </row>
    <row r="37" spans="1:17" ht="20.100000000000001" customHeight="1" x14ac:dyDescent="0.25">
      <c r="A37" t="s">
        <v>159</v>
      </c>
      <c r="C37" s="152">
        <v>600000</v>
      </c>
      <c r="D37" s="152"/>
      <c r="E37" s="152">
        <f>C37</f>
        <v>600000</v>
      </c>
      <c r="F37" s="152">
        <f>C37</f>
        <v>600000</v>
      </c>
      <c r="G37" s="189">
        <f t="shared" si="7"/>
        <v>0</v>
      </c>
      <c r="H37" s="152"/>
      <c r="I37" s="152"/>
      <c r="J37" s="189"/>
      <c r="L37" s="152">
        <f>C37</f>
        <v>600000</v>
      </c>
      <c r="M37" s="152">
        <f>F37</f>
        <v>600000</v>
      </c>
      <c r="N37" s="189">
        <f>M37/C37-1</f>
        <v>0</v>
      </c>
      <c r="O37" s="152"/>
      <c r="P37" s="152"/>
      <c r="Q37" s="189"/>
    </row>
    <row r="38" spans="1:17" ht="20.100000000000001" customHeight="1" x14ac:dyDescent="0.25">
      <c r="A38" t="s">
        <v>160</v>
      </c>
      <c r="C38" s="152">
        <v>446438</v>
      </c>
      <c r="D38" s="152"/>
      <c r="E38" s="152">
        <f>C38</f>
        <v>446438</v>
      </c>
      <c r="F38" s="152">
        <f>C38</f>
        <v>446438</v>
      </c>
      <c r="G38" s="189">
        <f t="shared" si="7"/>
        <v>0</v>
      </c>
      <c r="H38" s="152"/>
      <c r="I38" s="152"/>
      <c r="J38" s="189"/>
      <c r="L38" s="152">
        <f>C38</f>
        <v>446438</v>
      </c>
      <c r="M38" s="152">
        <f>F38</f>
        <v>446438</v>
      </c>
      <c r="N38" s="189">
        <f>M38/C38-1</f>
        <v>0</v>
      </c>
      <c r="O38" s="152"/>
      <c r="P38" s="152"/>
      <c r="Q38" s="189"/>
    </row>
    <row r="39" spans="1:17" ht="20.100000000000001" customHeight="1" thickBot="1" x14ac:dyDescent="0.3">
      <c r="A39" t="s">
        <v>161</v>
      </c>
      <c r="C39" s="152">
        <v>202950</v>
      </c>
      <c r="D39" s="152"/>
      <c r="E39" s="152">
        <f>'LINE ITEM Dual Credit'!D23</f>
        <v>166150</v>
      </c>
      <c r="F39" s="152">
        <f>'LINE ITEM Dual Credit'!E23</f>
        <v>149535</v>
      </c>
      <c r="G39" s="189">
        <f t="shared" si="7"/>
        <v>-0.26319290465631928</v>
      </c>
      <c r="H39" s="152"/>
      <c r="I39" s="152"/>
      <c r="J39" s="189"/>
      <c r="L39" s="152">
        <v>166150</v>
      </c>
      <c r="M39" s="152">
        <f>F39</f>
        <v>149535</v>
      </c>
      <c r="N39" s="189">
        <f>M39/C39-1</f>
        <v>-0.26319290465631928</v>
      </c>
      <c r="O39" s="152"/>
      <c r="P39" s="152"/>
      <c r="Q39" s="189"/>
    </row>
    <row r="40" spans="1:17" ht="20.100000000000001" customHeight="1" thickBot="1" x14ac:dyDescent="0.3">
      <c r="A40" s="153" t="s">
        <v>112</v>
      </c>
      <c r="B40" s="233"/>
      <c r="C40" s="154">
        <f>SUM(C36:C39)</f>
        <v>1453388</v>
      </c>
      <c r="D40" s="154">
        <f>SUM(D35:D39)</f>
        <v>0</v>
      </c>
      <c r="E40" s="154">
        <f>SUM(E36:E39)</f>
        <v>1416588</v>
      </c>
      <c r="F40" s="154">
        <f>SUM(F36:F39)</f>
        <v>1399973</v>
      </c>
      <c r="G40" s="190">
        <f>IF(C40&gt;0, (F40-C40)/C40,)</f>
        <v>-3.6752057950113805E-2</v>
      </c>
      <c r="H40" s="154">
        <f>SUM(H35:H39)</f>
        <v>0</v>
      </c>
      <c r="I40" s="154">
        <f>SUM(I35:I39)</f>
        <v>0</v>
      </c>
      <c r="J40" s="190">
        <f>IF(D40&gt;0, (I40-D40)/D40,)</f>
        <v>0</v>
      </c>
      <c r="K40" s="153"/>
      <c r="L40" s="154">
        <f>SUM(L36:L39)</f>
        <v>1416588</v>
      </c>
      <c r="M40" s="154">
        <f>SUM(M36:M39)</f>
        <v>1399973</v>
      </c>
      <c r="N40" s="190">
        <f>IF(C40&gt;0,(M40-C40)/C40,)</f>
        <v>-3.6752057950113805E-2</v>
      </c>
      <c r="O40" s="154">
        <f>SUM(O35:O39)</f>
        <v>0</v>
      </c>
      <c r="P40" s="154">
        <f>SUM(P35:P39)</f>
        <v>0</v>
      </c>
      <c r="Q40" s="190">
        <f>IF(D40&gt;0,(P40-D40)/D40,)</f>
        <v>0</v>
      </c>
    </row>
    <row r="41" spans="1:17" ht="20.100000000000001" customHeight="1" thickTop="1" x14ac:dyDescent="0.25">
      <c r="A41" s="150" t="s">
        <v>109</v>
      </c>
      <c r="B41" s="375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</row>
    <row r="42" spans="1:17" ht="20.100000000000001" customHeight="1" x14ac:dyDescent="0.25">
      <c r="A42" t="s">
        <v>162</v>
      </c>
      <c r="C42" s="152">
        <v>486878</v>
      </c>
      <c r="D42" s="152"/>
      <c r="E42" s="152">
        <v>535566</v>
      </c>
      <c r="F42" s="152">
        <f>C42</f>
        <v>486878</v>
      </c>
      <c r="G42" s="189">
        <f t="shared" ref="G42:G45" si="8">F42/C42-1</f>
        <v>0</v>
      </c>
      <c r="H42" s="152"/>
      <c r="I42" s="152"/>
      <c r="J42" s="189"/>
      <c r="L42" s="152">
        <v>589123</v>
      </c>
      <c r="M42" s="152">
        <f>C42</f>
        <v>486878</v>
      </c>
      <c r="N42" s="189">
        <f>M42/C42-1</f>
        <v>0</v>
      </c>
      <c r="O42" s="152"/>
      <c r="P42" s="152"/>
      <c r="Q42" s="189"/>
    </row>
    <row r="43" spans="1:17" ht="20.100000000000001" customHeight="1" x14ac:dyDescent="0.25">
      <c r="A43" t="s">
        <v>230</v>
      </c>
      <c r="C43" s="152">
        <v>600000</v>
      </c>
      <c r="D43" s="152"/>
      <c r="E43" s="152">
        <f>C43</f>
        <v>600000</v>
      </c>
      <c r="F43" s="152">
        <f>C43</f>
        <v>600000</v>
      </c>
      <c r="G43" s="189">
        <f t="shared" si="8"/>
        <v>0</v>
      </c>
      <c r="H43" s="152"/>
      <c r="I43" s="152"/>
      <c r="J43" s="189"/>
      <c r="L43" s="152">
        <f>C43</f>
        <v>600000</v>
      </c>
      <c r="M43" s="152">
        <f>F43</f>
        <v>600000</v>
      </c>
      <c r="N43" s="189">
        <f>M43/C43-1</f>
        <v>0</v>
      </c>
      <c r="O43" s="152"/>
      <c r="P43" s="152"/>
      <c r="Q43" s="189"/>
    </row>
    <row r="44" spans="1:17" ht="20.100000000000001" customHeight="1" x14ac:dyDescent="0.25">
      <c r="A44" t="s">
        <v>301</v>
      </c>
      <c r="C44" s="152">
        <v>0</v>
      </c>
      <c r="D44" s="152"/>
      <c r="E44" s="152">
        <v>410000</v>
      </c>
      <c r="F44" s="152">
        <v>0</v>
      </c>
      <c r="G44" s="189"/>
      <c r="H44" s="152"/>
      <c r="I44" s="152"/>
      <c r="J44" s="189"/>
      <c r="L44" s="152">
        <v>410000</v>
      </c>
      <c r="M44" s="152">
        <v>0</v>
      </c>
      <c r="N44" s="189"/>
      <c r="O44" s="152"/>
      <c r="P44" s="152"/>
      <c r="Q44" s="189"/>
    </row>
    <row r="45" spans="1:17" ht="20.100000000000001" customHeight="1" thickBot="1" x14ac:dyDescent="0.3">
      <c r="A45" t="s">
        <v>163</v>
      </c>
      <c r="C45" s="152">
        <v>510900</v>
      </c>
      <c r="D45" s="152"/>
      <c r="E45" s="152">
        <f>'LINE ITEM Dual Credit'!D24</f>
        <v>548150</v>
      </c>
      <c r="F45" s="152">
        <f>'LINE ITEM Dual Credit'!E24</f>
        <v>493335</v>
      </c>
      <c r="G45" s="189">
        <f t="shared" si="8"/>
        <v>-3.4380504991192051E-2</v>
      </c>
      <c r="H45" s="152"/>
      <c r="I45" s="152"/>
      <c r="J45" s="189"/>
      <c r="L45" s="152">
        <f>E45</f>
        <v>548150</v>
      </c>
      <c r="M45" s="152">
        <f>F45</f>
        <v>493335</v>
      </c>
      <c r="N45" s="189">
        <f>M45/C45-1</f>
        <v>-3.4380504991192051E-2</v>
      </c>
      <c r="O45" s="152"/>
      <c r="P45" s="152"/>
      <c r="Q45" s="189"/>
    </row>
    <row r="46" spans="1:17" ht="20.100000000000001" customHeight="1" thickBot="1" x14ac:dyDescent="0.3">
      <c r="A46" s="153" t="s">
        <v>110</v>
      </c>
      <c r="B46" s="233"/>
      <c r="C46" s="154">
        <f>SUM(C42:C45)</f>
        <v>1597778</v>
      </c>
      <c r="D46" s="154">
        <f>SUM(D41:D45)</f>
        <v>0</v>
      </c>
      <c r="E46" s="154">
        <f>SUM(E42:E45)</f>
        <v>2093716</v>
      </c>
      <c r="F46" s="154">
        <f>SUM(F42:F45)</f>
        <v>1580213</v>
      </c>
      <c r="G46" s="190">
        <f>IF(C46&gt;0, (F46-C46)/C46,)</f>
        <v>-1.0993392073241714E-2</v>
      </c>
      <c r="H46" s="154">
        <f>SUM(H41:H45)</f>
        <v>0</v>
      </c>
      <c r="I46" s="154">
        <f>SUM(I41:I45)</f>
        <v>0</v>
      </c>
      <c r="J46" s="190">
        <f>IF(D46&gt;0, (I46-D46)/D46,)</f>
        <v>0</v>
      </c>
      <c r="K46" s="153"/>
      <c r="L46" s="154">
        <f>SUM(L42:L45)</f>
        <v>2147273</v>
      </c>
      <c r="M46" s="154">
        <f>SUM(M42:M45)</f>
        <v>1580213</v>
      </c>
      <c r="N46" s="190">
        <f>IF(C46&gt;0,(M46-C46)/C46,)</f>
        <v>-1.0993392073241714E-2</v>
      </c>
      <c r="O46" s="154">
        <f>SUM(O41:O45)</f>
        <v>0</v>
      </c>
      <c r="P46" s="154">
        <f>SUM(P41:P45)</f>
        <v>0</v>
      </c>
      <c r="Q46" s="190">
        <f>IF(D46&gt;0,(P46-D46)/D46,)</f>
        <v>0</v>
      </c>
    </row>
    <row r="47" spans="1:17" ht="20.100000000000001" customHeight="1" thickTop="1" x14ac:dyDescent="0.25">
      <c r="A47" s="150" t="s">
        <v>122</v>
      </c>
      <c r="B47" s="375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</row>
    <row r="48" spans="1:17" ht="20.100000000000001" customHeight="1" x14ac:dyDescent="0.25">
      <c r="A48" t="s">
        <v>164</v>
      </c>
      <c r="C48" s="152">
        <v>710810</v>
      </c>
      <c r="D48" s="152"/>
      <c r="E48" s="152">
        <f>C48</f>
        <v>710810</v>
      </c>
      <c r="F48" s="152">
        <f>C48</f>
        <v>710810</v>
      </c>
      <c r="G48" s="189">
        <f t="shared" ref="G48:G52" si="9">F48/C48-1</f>
        <v>0</v>
      </c>
      <c r="H48" s="152"/>
      <c r="I48" s="152"/>
      <c r="J48" s="189"/>
      <c r="L48" s="152">
        <f>C48</f>
        <v>710810</v>
      </c>
      <c r="M48" s="152">
        <f>F48</f>
        <v>710810</v>
      </c>
      <c r="N48" s="189">
        <f>M48/C48-1</f>
        <v>0</v>
      </c>
      <c r="O48" s="152"/>
      <c r="P48" s="152"/>
      <c r="Q48" s="189"/>
    </row>
    <row r="49" spans="1:17" ht="20.100000000000001" customHeight="1" x14ac:dyDescent="0.25">
      <c r="A49" t="s">
        <v>165</v>
      </c>
      <c r="C49" s="152">
        <v>9000000</v>
      </c>
      <c r="D49" s="152"/>
      <c r="E49" s="152">
        <f>C49</f>
        <v>9000000</v>
      </c>
      <c r="F49" s="152">
        <f>C49</f>
        <v>9000000</v>
      </c>
      <c r="G49" s="189">
        <f t="shared" si="9"/>
        <v>0</v>
      </c>
      <c r="H49" s="152"/>
      <c r="I49" s="152"/>
      <c r="J49" s="189"/>
      <c r="L49" s="152">
        <f>C49</f>
        <v>9000000</v>
      </c>
      <c r="M49" s="152">
        <f>C49</f>
        <v>9000000</v>
      </c>
      <c r="N49" s="189">
        <f>M49/C49-1</f>
        <v>0</v>
      </c>
      <c r="O49" s="152"/>
      <c r="P49" s="152"/>
      <c r="Q49" s="189"/>
    </row>
    <row r="50" spans="1:17" ht="20.100000000000001" customHeight="1" x14ac:dyDescent="0.25">
      <c r="A50" t="s">
        <v>166</v>
      </c>
      <c r="C50" s="152">
        <v>1057738</v>
      </c>
      <c r="D50" s="152"/>
      <c r="E50" s="152">
        <f>C50</f>
        <v>1057738</v>
      </c>
      <c r="F50" s="152">
        <f>C50</f>
        <v>1057738</v>
      </c>
      <c r="G50" s="189">
        <f t="shared" si="9"/>
        <v>0</v>
      </c>
      <c r="H50" s="152"/>
      <c r="I50" s="152"/>
      <c r="J50" s="189"/>
      <c r="L50" s="152">
        <f>C50</f>
        <v>1057738</v>
      </c>
      <c r="M50" s="152">
        <f>F50</f>
        <v>1057738</v>
      </c>
      <c r="N50" s="189">
        <f>M50/C50-1</f>
        <v>0</v>
      </c>
      <c r="O50" s="152"/>
      <c r="P50" s="152"/>
      <c r="Q50" s="189"/>
    </row>
    <row r="51" spans="1:17" ht="20.100000000000001" customHeight="1" x14ac:dyDescent="0.25">
      <c r="A51" t="s">
        <v>302</v>
      </c>
      <c r="C51" s="152">
        <v>0</v>
      </c>
      <c r="D51" s="152"/>
      <c r="E51" s="152">
        <v>5000000</v>
      </c>
      <c r="F51" s="152">
        <v>0</v>
      </c>
      <c r="G51" s="189"/>
      <c r="H51" s="152"/>
      <c r="I51" s="152"/>
      <c r="J51" s="189"/>
      <c r="L51" s="152">
        <v>5000000</v>
      </c>
      <c r="M51" s="152">
        <v>0</v>
      </c>
      <c r="N51" s="189"/>
      <c r="O51" s="152"/>
      <c r="P51" s="152"/>
      <c r="Q51" s="189"/>
    </row>
    <row r="52" spans="1:17" ht="20.100000000000001" customHeight="1" thickBot="1" x14ac:dyDescent="0.3">
      <c r="A52" t="s">
        <v>167</v>
      </c>
      <c r="C52" s="152">
        <v>18676150</v>
      </c>
      <c r="D52" s="152"/>
      <c r="E52" s="152">
        <f>'LINE ITEM Dual Credit'!D26</f>
        <v>24371950</v>
      </c>
      <c r="F52" s="152">
        <f>'LINE ITEM Dual Credit'!E26</f>
        <v>21934755</v>
      </c>
      <c r="G52" s="189">
        <f t="shared" si="9"/>
        <v>0.17447948319112871</v>
      </c>
      <c r="H52" s="152"/>
      <c r="I52" s="152"/>
      <c r="J52" s="189"/>
      <c r="L52" s="152">
        <f>E52</f>
        <v>24371950</v>
      </c>
      <c r="M52" s="152">
        <f>F52</f>
        <v>21934755</v>
      </c>
      <c r="N52" s="189">
        <f>M52/C52-1</f>
        <v>0.17447948319112871</v>
      </c>
      <c r="O52" s="152"/>
      <c r="P52" s="152"/>
      <c r="Q52" s="189"/>
    </row>
    <row r="53" spans="1:17" ht="20.100000000000001" customHeight="1" thickBot="1" x14ac:dyDescent="0.3">
      <c r="A53" s="153" t="s">
        <v>123</v>
      </c>
      <c r="B53" s="233"/>
      <c r="C53" s="154">
        <f>SUM(C48:C52)</f>
        <v>29444698</v>
      </c>
      <c r="D53" s="154">
        <f>SUM(D47:D52)</f>
        <v>0</v>
      </c>
      <c r="E53" s="154">
        <f>SUM(E48:E52)</f>
        <v>40140498</v>
      </c>
      <c r="F53" s="154">
        <f>SUM(F48:F52)</f>
        <v>32703303</v>
      </c>
      <c r="G53" s="190">
        <f>IF(C53&gt;0, (F53-C53)/C53,)</f>
        <v>0.11066865077033564</v>
      </c>
      <c r="H53" s="154">
        <f>SUM(H47:H52)</f>
        <v>0</v>
      </c>
      <c r="I53" s="154">
        <f>SUM(I47:I52)</f>
        <v>0</v>
      </c>
      <c r="J53" s="190">
        <f>IF(D53&gt;0, (I53-D53)/D53,)</f>
        <v>0</v>
      </c>
      <c r="K53" s="153"/>
      <c r="L53" s="154">
        <f>SUM(L48:L52)</f>
        <v>40140498</v>
      </c>
      <c r="M53" s="154">
        <f>SUM(M48:M52)</f>
        <v>32703303</v>
      </c>
      <c r="N53" s="190">
        <f>IF(C53&gt;0,(M53-C53)/C53,)</f>
        <v>0.11066865077033564</v>
      </c>
      <c r="O53" s="154">
        <f>SUM(O47:O52)</f>
        <v>0</v>
      </c>
      <c r="P53" s="154">
        <f>SUM(P47:P52)</f>
        <v>0</v>
      </c>
      <c r="Q53" s="190">
        <f>IF(D53&gt;0,(P53-D53)/D53,)</f>
        <v>0</v>
      </c>
    </row>
    <row r="54" spans="1:17" ht="20.100000000000001" customHeight="1" thickTop="1" x14ac:dyDescent="0.25">
      <c r="A54" s="150" t="s">
        <v>115</v>
      </c>
      <c r="B54" s="375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</row>
    <row r="55" spans="1:17" ht="20.100000000000001" customHeight="1" x14ac:dyDescent="0.25">
      <c r="A55" t="s">
        <v>168</v>
      </c>
      <c r="C55" s="152">
        <v>3000000</v>
      </c>
      <c r="D55" s="152"/>
      <c r="E55" s="152">
        <v>5000000</v>
      </c>
      <c r="F55" s="152">
        <f>C55</f>
        <v>3000000</v>
      </c>
      <c r="G55" s="189">
        <f t="shared" ref="G55:G56" si="10">F55/C55-1</f>
        <v>0</v>
      </c>
      <c r="H55" s="152"/>
      <c r="I55" s="152"/>
      <c r="J55" s="189"/>
      <c r="L55" s="152">
        <v>5000000</v>
      </c>
      <c r="M55" s="152">
        <f>C55</f>
        <v>3000000</v>
      </c>
      <c r="N55" s="189">
        <f>M55/C55-1</f>
        <v>0</v>
      </c>
      <c r="O55" s="152"/>
      <c r="P55" s="152"/>
      <c r="Q55" s="189"/>
    </row>
    <row r="56" spans="1:17" ht="20.100000000000001" customHeight="1" thickBot="1" x14ac:dyDescent="0.3">
      <c r="A56" t="s">
        <v>169</v>
      </c>
      <c r="C56" s="152">
        <v>4882450</v>
      </c>
      <c r="D56" s="152"/>
      <c r="E56" s="152">
        <f>'LINE ITEM Dual Credit'!D25</f>
        <v>5240350</v>
      </c>
      <c r="F56" s="152">
        <f>'LINE ITEM Dual Credit'!E25</f>
        <v>4716315</v>
      </c>
      <c r="G56" s="189">
        <f t="shared" si="10"/>
        <v>-3.402697416256184E-2</v>
      </c>
      <c r="H56" s="152"/>
      <c r="I56" s="152"/>
      <c r="J56" s="189"/>
      <c r="L56" s="152">
        <f>E56</f>
        <v>5240350</v>
      </c>
      <c r="M56" s="152">
        <f>F56</f>
        <v>4716315</v>
      </c>
      <c r="N56" s="189">
        <f>M56/C56-1</f>
        <v>-3.402697416256184E-2</v>
      </c>
      <c r="O56" s="152"/>
      <c r="P56" s="152"/>
      <c r="Q56" s="189"/>
    </row>
    <row r="57" spans="1:17" ht="20.100000000000001" customHeight="1" thickBot="1" x14ac:dyDescent="0.3">
      <c r="A57" s="153" t="s">
        <v>119</v>
      </c>
      <c r="B57" s="233"/>
      <c r="C57" s="154">
        <f>SUM(C55:C56)</f>
        <v>7882450</v>
      </c>
      <c r="D57" s="154">
        <f>SUM(D54:D56)</f>
        <v>0</v>
      </c>
      <c r="E57" s="154">
        <f>SUM(E55:E56)</f>
        <v>10240350</v>
      </c>
      <c r="F57" s="154">
        <f>SUM(F55:F56)</f>
        <v>7716315</v>
      </c>
      <c r="G57" s="190">
        <f>IF(C57&gt;0, (F57-C57)/C57,)</f>
        <v>-2.1076568833294215E-2</v>
      </c>
      <c r="H57" s="154">
        <f>SUM(H54:H56)</f>
        <v>0</v>
      </c>
      <c r="I57" s="154">
        <f>SUM(I54:I56)</f>
        <v>0</v>
      </c>
      <c r="J57" s="190">
        <f>IF(D57&gt;0, (I57-D57)/D57,)</f>
        <v>0</v>
      </c>
      <c r="K57" s="153"/>
      <c r="L57" s="154">
        <f>SUM(L55:L56)</f>
        <v>10240350</v>
      </c>
      <c r="M57" s="154">
        <f>SUM(M55:M56)</f>
        <v>7716315</v>
      </c>
      <c r="N57" s="190">
        <f>IF(C57&gt;0,(M57-C57)/C57,)</f>
        <v>-2.1076568833294215E-2</v>
      </c>
      <c r="O57" s="154">
        <f>SUM(O54:O56)</f>
        <v>0</v>
      </c>
      <c r="P57" s="154">
        <f>SUM(P54:P56)</f>
        <v>0</v>
      </c>
      <c r="Q57" s="190">
        <f>IF(D57&gt;0,(P57-D57)/D57,)</f>
        <v>0</v>
      </c>
    </row>
    <row r="58" spans="1:17" ht="20.100000000000001" customHeight="1" thickTop="1" x14ac:dyDescent="0.25">
      <c r="A58" s="150" t="s">
        <v>170</v>
      </c>
      <c r="B58" s="375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</row>
    <row r="59" spans="1:17" ht="20.100000000000001" customHeight="1" x14ac:dyDescent="0.25">
      <c r="A59" t="s">
        <v>171</v>
      </c>
      <c r="C59" s="152">
        <v>31773696</v>
      </c>
      <c r="D59" s="152"/>
      <c r="E59" s="152">
        <v>36000000</v>
      </c>
      <c r="F59" s="152">
        <f>C59</f>
        <v>31773696</v>
      </c>
      <c r="G59" s="189">
        <f t="shared" ref="G59:G74" si="11">F59/C59-1</f>
        <v>0</v>
      </c>
      <c r="H59" s="152"/>
      <c r="I59" s="152"/>
      <c r="J59" s="189"/>
      <c r="L59" s="152">
        <v>36000000</v>
      </c>
      <c r="M59" s="152">
        <f>F59</f>
        <v>31773696</v>
      </c>
      <c r="N59" s="189">
        <f t="shared" ref="N59:N63" si="12">M59/C59-1</f>
        <v>0</v>
      </c>
      <c r="O59" s="152"/>
      <c r="P59" s="152"/>
      <c r="Q59" s="189"/>
    </row>
    <row r="60" spans="1:17" ht="20.100000000000001" customHeight="1" x14ac:dyDescent="0.25">
      <c r="A60" t="s">
        <v>172</v>
      </c>
      <c r="C60" s="152">
        <v>450000</v>
      </c>
      <c r="D60" s="152"/>
      <c r="E60" s="152">
        <v>450000</v>
      </c>
      <c r="F60" s="152">
        <v>450000</v>
      </c>
      <c r="G60" s="189">
        <f t="shared" si="11"/>
        <v>0</v>
      </c>
      <c r="H60" s="152"/>
      <c r="I60" s="152"/>
      <c r="J60" s="189"/>
      <c r="L60" s="152">
        <v>450000</v>
      </c>
      <c r="M60" s="152">
        <v>450000</v>
      </c>
      <c r="N60" s="189">
        <f t="shared" si="12"/>
        <v>0</v>
      </c>
      <c r="O60" s="152"/>
      <c r="P60" s="152"/>
      <c r="Q60" s="189"/>
    </row>
    <row r="61" spans="1:17" ht="20.100000000000001" customHeight="1" x14ac:dyDescent="0.25">
      <c r="A61" t="s">
        <v>173</v>
      </c>
      <c r="C61" s="152">
        <v>3676240</v>
      </c>
      <c r="D61" s="152"/>
      <c r="E61" s="152">
        <v>3676240</v>
      </c>
      <c r="F61" s="152">
        <v>3676240</v>
      </c>
      <c r="G61" s="189">
        <f t="shared" si="11"/>
        <v>0</v>
      </c>
      <c r="H61" s="152"/>
      <c r="I61" s="152"/>
      <c r="J61" s="189"/>
      <c r="L61" s="152">
        <v>3676240</v>
      </c>
      <c r="M61" s="152">
        <v>3676240</v>
      </c>
      <c r="N61" s="189">
        <f t="shared" si="12"/>
        <v>0</v>
      </c>
      <c r="O61" s="152"/>
      <c r="P61" s="152"/>
      <c r="Q61" s="189"/>
    </row>
    <row r="62" spans="1:17" ht="20.100000000000001" customHeight="1" x14ac:dyDescent="0.25">
      <c r="A62" t="s">
        <v>174</v>
      </c>
      <c r="C62" s="152">
        <v>400000</v>
      </c>
      <c r="D62" s="152"/>
      <c r="E62" s="152">
        <v>400000</v>
      </c>
      <c r="F62" s="152">
        <v>400000</v>
      </c>
      <c r="G62" s="189">
        <f t="shared" si="11"/>
        <v>0</v>
      </c>
      <c r="H62" s="152"/>
      <c r="I62" s="152"/>
      <c r="J62" s="189"/>
      <c r="L62" s="152">
        <v>400000</v>
      </c>
      <c r="M62" s="152">
        <v>400000</v>
      </c>
      <c r="N62" s="189">
        <f t="shared" si="12"/>
        <v>0</v>
      </c>
      <c r="O62" s="152"/>
      <c r="P62" s="152"/>
      <c r="Q62" s="189"/>
    </row>
    <row r="63" spans="1:17" ht="20.100000000000001" customHeight="1" x14ac:dyDescent="0.25">
      <c r="A63" t="s">
        <v>175</v>
      </c>
      <c r="C63" s="152">
        <v>100000</v>
      </c>
      <c r="D63" s="152"/>
      <c r="E63" s="152">
        <v>100000</v>
      </c>
      <c r="F63" s="152">
        <v>100000</v>
      </c>
      <c r="G63" s="189">
        <f t="shared" si="11"/>
        <v>0</v>
      </c>
      <c r="H63" s="152"/>
      <c r="I63" s="152"/>
      <c r="J63" s="189"/>
      <c r="L63" s="152">
        <v>100000</v>
      </c>
      <c r="M63" s="152">
        <v>100000</v>
      </c>
      <c r="N63" s="189">
        <f t="shared" si="12"/>
        <v>0</v>
      </c>
      <c r="O63" s="152"/>
      <c r="P63" s="152"/>
      <c r="Q63" s="189"/>
    </row>
    <row r="64" spans="1:17" ht="20.100000000000001" customHeight="1" x14ac:dyDescent="0.25">
      <c r="A64" t="s">
        <v>176</v>
      </c>
      <c r="C64" s="152"/>
      <c r="D64" s="152">
        <v>2000000</v>
      </c>
      <c r="E64" s="152"/>
      <c r="F64" s="152"/>
      <c r="G64" s="189"/>
      <c r="H64" s="152">
        <v>2000000</v>
      </c>
      <c r="I64" s="152">
        <f>H64</f>
        <v>2000000</v>
      </c>
      <c r="J64" s="189">
        <f>I64/D64-1</f>
        <v>0</v>
      </c>
      <c r="L64" s="152"/>
      <c r="M64" s="152"/>
      <c r="N64" s="189"/>
      <c r="O64" s="152">
        <v>2000000</v>
      </c>
      <c r="P64" s="152">
        <f>O64</f>
        <v>2000000</v>
      </c>
      <c r="Q64" s="189">
        <f>P64/D64-1</f>
        <v>0</v>
      </c>
    </row>
    <row r="65" spans="1:22" ht="20.100000000000001" customHeight="1" x14ac:dyDescent="0.25">
      <c r="A65" t="s">
        <v>177</v>
      </c>
      <c r="C65" s="152">
        <v>2606099</v>
      </c>
      <c r="D65" s="152"/>
      <c r="E65" s="152">
        <v>2606099</v>
      </c>
      <c r="F65" s="152">
        <v>2606099</v>
      </c>
      <c r="G65" s="189">
        <f t="shared" si="11"/>
        <v>0</v>
      </c>
      <c r="H65" s="152"/>
      <c r="I65" s="152"/>
      <c r="J65" s="189"/>
      <c r="L65" s="152">
        <v>2606099</v>
      </c>
      <c r="M65" s="152">
        <v>2606099</v>
      </c>
      <c r="N65" s="189">
        <f t="shared" ref="N65:N74" si="13">M65/C65-1</f>
        <v>0</v>
      </c>
      <c r="O65" s="152"/>
      <c r="P65" s="152"/>
      <c r="Q65" s="189"/>
    </row>
    <row r="66" spans="1:22" ht="20.100000000000001" customHeight="1" x14ac:dyDescent="0.25">
      <c r="A66" t="s">
        <v>178</v>
      </c>
      <c r="C66" s="152">
        <v>7579858</v>
      </c>
      <c r="D66" s="152"/>
      <c r="E66" s="152">
        <v>7579858</v>
      </c>
      <c r="F66" s="152">
        <v>7579858</v>
      </c>
      <c r="G66" s="189">
        <f>F66/C66-1</f>
        <v>0</v>
      </c>
      <c r="H66" s="152"/>
      <c r="I66" s="152"/>
      <c r="J66" s="189"/>
      <c r="L66" s="152">
        <v>7579858</v>
      </c>
      <c r="M66" s="152">
        <v>7579858</v>
      </c>
      <c r="N66" s="189">
        <f t="shared" si="13"/>
        <v>0</v>
      </c>
      <c r="O66" s="152"/>
      <c r="P66" s="152"/>
      <c r="Q66" s="189"/>
    </row>
    <row r="67" spans="1:22" ht="20.100000000000001" customHeight="1" x14ac:dyDescent="0.25">
      <c r="A67" t="s">
        <v>179</v>
      </c>
      <c r="C67" s="152">
        <v>66225902</v>
      </c>
      <c r="D67" s="152"/>
      <c r="E67" s="152">
        <v>66225902</v>
      </c>
      <c r="F67" s="152">
        <v>66225902</v>
      </c>
      <c r="G67" s="189">
        <f t="shared" si="11"/>
        <v>0</v>
      </c>
      <c r="H67" s="152"/>
      <c r="I67" s="152"/>
      <c r="J67" s="189"/>
      <c r="L67" s="152">
        <v>66225902</v>
      </c>
      <c r="M67" s="152">
        <v>66225902</v>
      </c>
      <c r="N67" s="189">
        <f t="shared" si="13"/>
        <v>0</v>
      </c>
      <c r="O67" s="152"/>
      <c r="P67" s="152"/>
      <c r="Q67" s="189"/>
    </row>
    <row r="68" spans="1:22" ht="20.100000000000001" customHeight="1" x14ac:dyDescent="0.25">
      <c r="A68" t="s">
        <v>180</v>
      </c>
      <c r="C68" s="152">
        <v>101425081</v>
      </c>
      <c r="D68" s="152"/>
      <c r="E68" s="152">
        <v>101425081</v>
      </c>
      <c r="F68" s="152">
        <v>101425081</v>
      </c>
      <c r="G68" s="189">
        <f t="shared" si="11"/>
        <v>0</v>
      </c>
      <c r="H68" s="152"/>
      <c r="I68" s="152"/>
      <c r="J68" s="189"/>
      <c r="L68" s="152">
        <v>101425081</v>
      </c>
      <c r="M68" s="152">
        <v>101425081</v>
      </c>
      <c r="N68" s="189">
        <f t="shared" si="13"/>
        <v>0</v>
      </c>
      <c r="O68" s="152"/>
      <c r="P68" s="152"/>
      <c r="Q68" s="189"/>
    </row>
    <row r="69" spans="1:22" ht="20.100000000000001" customHeight="1" x14ac:dyDescent="0.25">
      <c r="A69" t="s">
        <v>181</v>
      </c>
      <c r="C69" s="152">
        <v>166270623</v>
      </c>
      <c r="D69" s="152"/>
      <c r="E69" s="152">
        <v>166270623</v>
      </c>
      <c r="F69" s="152">
        <v>166270623</v>
      </c>
      <c r="G69" s="189">
        <f t="shared" si="11"/>
        <v>0</v>
      </c>
      <c r="H69" s="152"/>
      <c r="I69" s="152"/>
      <c r="J69" s="189"/>
      <c r="L69" s="152">
        <v>166270623</v>
      </c>
      <c r="M69" s="152">
        <v>166270623</v>
      </c>
      <c r="N69" s="189">
        <f t="shared" si="13"/>
        <v>0</v>
      </c>
      <c r="O69" s="152"/>
      <c r="P69" s="152"/>
      <c r="Q69" s="189"/>
    </row>
    <row r="70" spans="1:22" ht="20.100000000000001" customHeight="1" x14ac:dyDescent="0.25">
      <c r="A70" t="s">
        <v>365</v>
      </c>
      <c r="C70" s="152">
        <v>400000</v>
      </c>
      <c r="D70" s="152"/>
      <c r="E70" s="152">
        <v>400000</v>
      </c>
      <c r="F70" s="152">
        <v>400000</v>
      </c>
      <c r="G70" s="189">
        <f t="shared" si="11"/>
        <v>0</v>
      </c>
      <c r="H70" s="152"/>
      <c r="I70" s="152"/>
      <c r="J70" s="189"/>
      <c r="L70" s="152">
        <v>400000</v>
      </c>
      <c r="M70" s="152">
        <v>400000</v>
      </c>
      <c r="N70" s="189"/>
      <c r="O70" s="152"/>
      <c r="P70" s="152"/>
      <c r="Q70" s="189"/>
      <c r="U70" s="23"/>
    </row>
    <row r="71" spans="1:22" ht="20.100000000000001" customHeight="1" x14ac:dyDescent="0.25">
      <c r="A71" t="s">
        <v>182</v>
      </c>
      <c r="C71" s="152">
        <v>12000000</v>
      </c>
      <c r="D71" s="152"/>
      <c r="E71" s="152">
        <v>12000000</v>
      </c>
      <c r="F71" s="152">
        <v>12000000</v>
      </c>
      <c r="G71" s="189">
        <f t="shared" si="11"/>
        <v>0</v>
      </c>
      <c r="H71" s="152"/>
      <c r="I71" s="152"/>
      <c r="J71" s="189"/>
      <c r="L71" s="152">
        <v>12000000</v>
      </c>
      <c r="M71" s="152">
        <v>12000000</v>
      </c>
      <c r="N71" s="189">
        <f t="shared" si="13"/>
        <v>0</v>
      </c>
      <c r="O71" s="152"/>
      <c r="P71" s="152"/>
      <c r="Q71" s="189"/>
    </row>
    <row r="72" spans="1:22" ht="20.100000000000001" customHeight="1" x14ac:dyDescent="0.25">
      <c r="A72" t="s">
        <v>231</v>
      </c>
      <c r="C72" s="152">
        <v>600000</v>
      </c>
      <c r="D72" s="152"/>
      <c r="E72" s="152">
        <v>600000</v>
      </c>
      <c r="F72" s="152">
        <v>600000</v>
      </c>
      <c r="G72" s="189">
        <f t="shared" si="11"/>
        <v>0</v>
      </c>
      <c r="H72" s="152"/>
      <c r="I72" s="152"/>
      <c r="J72" s="189"/>
      <c r="L72" s="152">
        <v>600000</v>
      </c>
      <c r="M72" s="152">
        <v>600000</v>
      </c>
      <c r="N72" s="189"/>
      <c r="O72" s="152"/>
      <c r="P72" s="152"/>
      <c r="Q72" s="189"/>
    </row>
    <row r="73" spans="1:22" ht="20.100000000000001" customHeight="1" x14ac:dyDescent="0.25">
      <c r="A73" t="s">
        <v>228</v>
      </c>
      <c r="C73" s="152">
        <v>1000000</v>
      </c>
      <c r="D73" s="152"/>
      <c r="E73" s="152">
        <v>1000000</v>
      </c>
      <c r="F73" s="152">
        <v>1000000</v>
      </c>
      <c r="G73" s="189">
        <f>F73/C73-1</f>
        <v>0</v>
      </c>
      <c r="H73" s="152"/>
      <c r="I73" s="152"/>
      <c r="J73" s="189"/>
      <c r="L73" s="152">
        <v>1000000</v>
      </c>
      <c r="M73" s="152">
        <v>1000000</v>
      </c>
      <c r="N73" s="189">
        <f>M73/C73-1</f>
        <v>0</v>
      </c>
      <c r="O73" s="152"/>
      <c r="P73" s="152"/>
      <c r="Q73" s="189"/>
      <c r="U73" s="23"/>
    </row>
    <row r="74" spans="1:22" ht="20.100000000000001" customHeight="1" x14ac:dyDescent="0.25">
      <c r="A74" t="s">
        <v>183</v>
      </c>
      <c r="C74" s="152">
        <v>6036567</v>
      </c>
      <c r="D74" s="152"/>
      <c r="E74" s="152">
        <f>C74-3000000</f>
        <v>3036567</v>
      </c>
      <c r="F74" s="152">
        <f>C74</f>
        <v>6036567</v>
      </c>
      <c r="G74" s="189">
        <f t="shared" si="11"/>
        <v>0</v>
      </c>
      <c r="H74" s="152"/>
      <c r="I74" s="152"/>
      <c r="J74" s="189"/>
      <c r="L74" s="152">
        <f>E74</f>
        <v>3036567</v>
      </c>
      <c r="M74" s="152">
        <f>F74</f>
        <v>6036567</v>
      </c>
      <c r="N74" s="189">
        <f t="shared" si="13"/>
        <v>0</v>
      </c>
      <c r="O74" s="152"/>
      <c r="P74" s="152"/>
      <c r="Q74" s="189"/>
    </row>
    <row r="75" spans="1:22" ht="20.100000000000001" customHeight="1" thickBot="1" x14ac:dyDescent="0.3">
      <c r="A75" t="s">
        <v>366</v>
      </c>
      <c r="C75" s="152">
        <v>0</v>
      </c>
      <c r="D75" s="152"/>
      <c r="E75" s="152">
        <v>0</v>
      </c>
      <c r="F75" s="152">
        <v>1000000</v>
      </c>
      <c r="G75" s="189"/>
      <c r="H75" s="152"/>
      <c r="I75" s="152"/>
      <c r="J75" s="189"/>
      <c r="L75" s="152">
        <v>0</v>
      </c>
      <c r="M75" s="152">
        <v>1000000</v>
      </c>
      <c r="N75" s="189"/>
      <c r="O75" s="152"/>
      <c r="P75" s="152"/>
      <c r="Q75" s="189"/>
    </row>
    <row r="76" spans="1:22" ht="20.100000000000001" customHeight="1" thickBot="1" x14ac:dyDescent="0.3">
      <c r="A76" s="153" t="s">
        <v>184</v>
      </c>
      <c r="B76" s="233"/>
      <c r="C76" s="154">
        <f>SUM(C59:C75)</f>
        <v>400544066</v>
      </c>
      <c r="D76" s="154">
        <f>SUM(D59:D75)</f>
        <v>2000000</v>
      </c>
      <c r="E76" s="154">
        <f>SUM(E59:E75)</f>
        <v>401770370</v>
      </c>
      <c r="F76" s="154">
        <f>SUM(F59:F75)</f>
        <v>401544066</v>
      </c>
      <c r="G76" s="190">
        <f>IF(C76&gt;0, (F76-C76)/C76,)</f>
        <v>2.496604206339684E-3</v>
      </c>
      <c r="H76" s="154">
        <f>SUM(H59:H75)</f>
        <v>2000000</v>
      </c>
      <c r="I76" s="154">
        <f>SUM(I59:I75)</f>
        <v>2000000</v>
      </c>
      <c r="J76" s="190">
        <f>IF(D76&gt;0, (I76-D76)/D76,)</f>
        <v>0</v>
      </c>
      <c r="K76" s="153"/>
      <c r="L76" s="154">
        <f>SUM(L59:L75)</f>
        <v>401770370</v>
      </c>
      <c r="M76" s="154">
        <f>SUM(M59:M75)</f>
        <v>401544066</v>
      </c>
      <c r="N76" s="190">
        <f>IF(C76&gt;0,(M76-C76)/C76,)</f>
        <v>2.496604206339684E-3</v>
      </c>
      <c r="O76" s="154">
        <f>SUM(O59:O75)</f>
        <v>2000000</v>
      </c>
      <c r="P76" s="154">
        <f>SUM(P59:P75)</f>
        <v>2000000</v>
      </c>
      <c r="Q76" s="190">
        <f>IF(D76&gt;0,(P76-D76)/D76,)</f>
        <v>0</v>
      </c>
    </row>
    <row r="77" spans="1:22" ht="20.100000000000001" customHeight="1" thickTop="1" x14ac:dyDescent="0.25">
      <c r="A77" s="150" t="s">
        <v>185</v>
      </c>
      <c r="B77" s="375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</row>
    <row r="78" spans="1:22" ht="20.100000000000001" customHeight="1" thickBot="1" x14ac:dyDescent="0.3">
      <c r="A78" t="s">
        <v>186</v>
      </c>
      <c r="C78" s="152">
        <v>5106000</v>
      </c>
      <c r="D78" s="152"/>
      <c r="E78" s="152">
        <v>2523500</v>
      </c>
      <c r="F78" s="152">
        <v>2500000</v>
      </c>
      <c r="G78" s="189"/>
      <c r="H78" s="152"/>
      <c r="I78" s="152"/>
      <c r="J78" s="189"/>
      <c r="L78" s="152">
        <v>2523500</v>
      </c>
      <c r="M78" s="152">
        <v>2500000</v>
      </c>
      <c r="N78" s="189">
        <f>M78/C78-1</f>
        <v>-0.51037994516255392</v>
      </c>
      <c r="O78" s="152"/>
      <c r="P78" s="152"/>
      <c r="Q78" s="189"/>
      <c r="T78" s="23"/>
      <c r="U78" s="23"/>
      <c r="V78" s="23"/>
    </row>
    <row r="79" spans="1:22" ht="20.100000000000001" customHeight="1" thickBot="1" x14ac:dyDescent="0.3">
      <c r="A79" s="153" t="s">
        <v>187</v>
      </c>
      <c r="B79" s="233"/>
      <c r="C79" s="154">
        <f>SUM(C78)</f>
        <v>5106000</v>
      </c>
      <c r="D79" s="154">
        <f>SUM(D78)</f>
        <v>0</v>
      </c>
      <c r="E79" s="154">
        <f>SUM(E78)</f>
        <v>2523500</v>
      </c>
      <c r="F79" s="154">
        <f>SUM(F78)</f>
        <v>2500000</v>
      </c>
      <c r="G79" s="190">
        <f>IF(C79&gt;0, (F79-C79)/C79,)</f>
        <v>-0.51037994516255381</v>
      </c>
      <c r="H79" s="154">
        <f>SUM(H78)</f>
        <v>0</v>
      </c>
      <c r="I79" s="154">
        <f>SUM(I78)</f>
        <v>0</v>
      </c>
      <c r="J79" s="190">
        <f>IF(D79&gt;0, (I79-D79)/D79,)</f>
        <v>0</v>
      </c>
      <c r="K79" s="153"/>
      <c r="L79" s="154">
        <f>SUM(L78)</f>
        <v>2523500</v>
      </c>
      <c r="M79" s="154">
        <f>SUM(M78)</f>
        <v>2500000</v>
      </c>
      <c r="N79" s="190">
        <f>IF(C79&gt;0,(M79-C79)/C79,)</f>
        <v>-0.51037994516255381</v>
      </c>
      <c r="O79" s="154">
        <f>SUM(O78)</f>
        <v>0</v>
      </c>
      <c r="P79" s="154">
        <f>SUM(P78)</f>
        <v>0</v>
      </c>
      <c r="Q79" s="190">
        <f>IF(D79&gt;0,(P79-D79)/D79,)</f>
        <v>0</v>
      </c>
    </row>
    <row r="80" spans="1:22" ht="20.100000000000001" customHeight="1" thickTop="1" x14ac:dyDescent="0.25">
      <c r="A80" s="150" t="s">
        <v>188</v>
      </c>
      <c r="B80" s="375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T80" s="23"/>
      <c r="U80" s="23"/>
    </row>
    <row r="81" spans="1:22" ht="20.100000000000001" customHeight="1" thickBot="1" x14ac:dyDescent="0.3">
      <c r="A81" t="s">
        <v>189</v>
      </c>
      <c r="C81" s="152"/>
      <c r="D81" s="152">
        <v>2382197</v>
      </c>
      <c r="E81" s="152"/>
      <c r="F81" s="152"/>
      <c r="G81" s="189"/>
      <c r="H81" s="152">
        <v>2382197</v>
      </c>
      <c r="I81" s="152">
        <f>H81</f>
        <v>2382197</v>
      </c>
      <c r="J81" s="189">
        <f>I81/D81-1</f>
        <v>0</v>
      </c>
      <c r="L81" s="152"/>
      <c r="M81" s="152"/>
      <c r="N81" s="189"/>
      <c r="O81" s="152">
        <v>2382197</v>
      </c>
      <c r="P81" s="152">
        <f>O81</f>
        <v>2382197</v>
      </c>
      <c r="Q81" s="189">
        <f>P81/D81-1</f>
        <v>0</v>
      </c>
    </row>
    <row r="82" spans="1:22" ht="20.100000000000001" customHeight="1" thickBot="1" x14ac:dyDescent="0.3">
      <c r="A82" s="153" t="s">
        <v>190</v>
      </c>
      <c r="B82" s="233"/>
      <c r="C82" s="154">
        <f>SUM(C81)</f>
        <v>0</v>
      </c>
      <c r="D82" s="154">
        <f>SUM(D81)</f>
        <v>2382197</v>
      </c>
      <c r="E82" s="154">
        <f>SUM(E81)</f>
        <v>0</v>
      </c>
      <c r="F82" s="154">
        <f>SUM(F81)</f>
        <v>0</v>
      </c>
      <c r="G82" s="190">
        <f>IF(C82&gt;0, (F82-C82)/C82,)</f>
        <v>0</v>
      </c>
      <c r="H82" s="154">
        <f>SUM(H81)</f>
        <v>2382197</v>
      </c>
      <c r="I82" s="154">
        <f>SUM(I81)</f>
        <v>2382197</v>
      </c>
      <c r="J82" s="190">
        <f>IF(D82&gt;0, (I82-D82)/D82,)</f>
        <v>0</v>
      </c>
      <c r="K82" s="153"/>
      <c r="L82" s="154">
        <f>SUM(L81)</f>
        <v>0</v>
      </c>
      <c r="M82" s="154">
        <f>SUM(M81)</f>
        <v>0</v>
      </c>
      <c r="N82" s="190">
        <f>IF(C82&gt;0,(M82-C82)/C82,)</f>
        <v>0</v>
      </c>
      <c r="O82" s="154">
        <f>SUM(O81)</f>
        <v>2382197</v>
      </c>
      <c r="P82" s="154">
        <f>SUM(P81)</f>
        <v>2382197</v>
      </c>
      <c r="Q82" s="190">
        <f>IF(D82&gt;0,(P82-D82)/D82,)</f>
        <v>0</v>
      </c>
      <c r="T82" s="23"/>
      <c r="U82" s="23"/>
    </row>
    <row r="83" spans="1:22" ht="20.100000000000001" customHeight="1" thickTop="1" x14ac:dyDescent="0.25">
      <c r="A83" s="150" t="s">
        <v>191</v>
      </c>
      <c r="B83" s="375"/>
      <c r="C83" s="151"/>
      <c r="D83" s="151"/>
      <c r="E83" s="255"/>
      <c r="F83" s="255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T83" s="23"/>
      <c r="U83" s="23"/>
      <c r="V83" s="23"/>
    </row>
    <row r="84" spans="1:22" ht="20.100000000000001" customHeight="1" x14ac:dyDescent="0.25">
      <c r="A84" t="s">
        <v>192</v>
      </c>
      <c r="C84" s="152">
        <v>7758893</v>
      </c>
      <c r="D84" s="152"/>
      <c r="E84" s="152">
        <f>C84+54557+500000</f>
        <v>8313450</v>
      </c>
      <c r="F84" s="152">
        <f>C84*0.95</f>
        <v>7370948.3499999996</v>
      </c>
      <c r="G84" s="189">
        <f t="shared" ref="G84:G89" si="14">F84/C84-1</f>
        <v>-5.0000000000000044E-2</v>
      </c>
      <c r="H84" s="152"/>
      <c r="I84" s="152"/>
      <c r="J84" s="189"/>
      <c r="L84" s="152">
        <f>C84+57830+220603+500000</f>
        <v>8537326</v>
      </c>
      <c r="M84" s="152">
        <f>F84</f>
        <v>7370948.3499999996</v>
      </c>
      <c r="N84" s="189">
        <f t="shared" ref="N84:N89" si="15">M84/C84-1</f>
        <v>-5.0000000000000044E-2</v>
      </c>
      <c r="O84" s="152"/>
      <c r="P84" s="152"/>
      <c r="Q84" s="189"/>
      <c r="S84" s="23"/>
      <c r="T84" s="23"/>
      <c r="U84" s="23"/>
      <c r="V84" s="23"/>
    </row>
    <row r="85" spans="1:22" ht="20.100000000000001" customHeight="1" x14ac:dyDescent="0.25">
      <c r="A85" t="s">
        <v>360</v>
      </c>
      <c r="C85" s="152">
        <v>744000</v>
      </c>
      <c r="D85" s="152"/>
      <c r="E85" s="152">
        <f>C85</f>
        <v>744000</v>
      </c>
      <c r="F85" s="152">
        <v>500000</v>
      </c>
      <c r="G85" s="189">
        <f t="shared" si="14"/>
        <v>-0.32795698924731187</v>
      </c>
      <c r="H85" s="152"/>
      <c r="I85" s="152"/>
      <c r="J85" s="189"/>
      <c r="L85" s="152">
        <f>E85</f>
        <v>744000</v>
      </c>
      <c r="M85" s="152">
        <f>F85</f>
        <v>500000</v>
      </c>
      <c r="N85" s="189">
        <f t="shared" si="15"/>
        <v>-0.32795698924731187</v>
      </c>
      <c r="O85" s="152"/>
      <c r="P85" s="152"/>
      <c r="Q85" s="189"/>
      <c r="S85" s="23"/>
      <c r="T85" s="23"/>
      <c r="U85" s="23"/>
      <c r="V85" s="23"/>
    </row>
    <row r="86" spans="1:22" ht="20.100000000000001" customHeight="1" x14ac:dyDescent="0.25">
      <c r="A86" t="s">
        <v>193</v>
      </c>
      <c r="C86" s="152">
        <v>115000</v>
      </c>
      <c r="D86" s="152"/>
      <c r="E86" s="152">
        <f>C86</f>
        <v>115000</v>
      </c>
      <c r="F86" s="152">
        <f>E86</f>
        <v>115000</v>
      </c>
      <c r="G86" s="189">
        <f t="shared" si="14"/>
        <v>0</v>
      </c>
      <c r="H86" s="152"/>
      <c r="I86" s="152"/>
      <c r="J86" s="189"/>
      <c r="L86" s="152">
        <v>115000</v>
      </c>
      <c r="M86" s="152">
        <v>115000</v>
      </c>
      <c r="N86" s="189">
        <f t="shared" si="15"/>
        <v>0</v>
      </c>
      <c r="O86" s="152"/>
      <c r="P86" s="152"/>
      <c r="Q86" s="189"/>
      <c r="U86" s="23"/>
    </row>
    <row r="87" spans="1:22" ht="20.100000000000001" customHeight="1" x14ac:dyDescent="0.25">
      <c r="A87" t="s">
        <v>194</v>
      </c>
      <c r="C87" s="152">
        <v>5000000</v>
      </c>
      <c r="D87" s="152"/>
      <c r="E87" s="152">
        <f>C87</f>
        <v>5000000</v>
      </c>
      <c r="F87" s="152">
        <v>0</v>
      </c>
      <c r="G87" s="189">
        <f t="shared" si="14"/>
        <v>-1</v>
      </c>
      <c r="H87" s="152"/>
      <c r="I87" s="152"/>
      <c r="J87" s="189"/>
      <c r="L87" s="152">
        <v>5000000</v>
      </c>
      <c r="M87" s="152">
        <v>0</v>
      </c>
      <c r="N87" s="189">
        <f t="shared" si="15"/>
        <v>-1</v>
      </c>
      <c r="O87" s="152"/>
      <c r="P87" s="152"/>
      <c r="Q87" s="189"/>
    </row>
    <row r="88" spans="1:22" ht="20.100000000000001" customHeight="1" x14ac:dyDescent="0.25">
      <c r="A88" t="s">
        <v>362</v>
      </c>
      <c r="C88" s="152">
        <v>15000000</v>
      </c>
      <c r="D88" s="152"/>
      <c r="E88" s="152">
        <v>15000000</v>
      </c>
      <c r="F88" s="152">
        <f>E88</f>
        <v>15000000</v>
      </c>
      <c r="G88" s="189">
        <f t="shared" si="14"/>
        <v>0</v>
      </c>
      <c r="H88" s="152"/>
      <c r="I88" s="152"/>
      <c r="J88" s="189"/>
      <c r="L88" s="152">
        <f>E88</f>
        <v>15000000</v>
      </c>
      <c r="M88" s="152">
        <f>F88</f>
        <v>15000000</v>
      </c>
      <c r="N88" s="189">
        <f t="shared" si="15"/>
        <v>0</v>
      </c>
      <c r="O88" s="152"/>
      <c r="P88" s="152"/>
      <c r="Q88" s="189"/>
    </row>
    <row r="89" spans="1:22" ht="20.100000000000001" customHeight="1" x14ac:dyDescent="0.25">
      <c r="A89" t="s">
        <v>363</v>
      </c>
      <c r="C89" s="152">
        <v>2000000</v>
      </c>
      <c r="D89" s="152"/>
      <c r="E89" s="152">
        <f>C89</f>
        <v>2000000</v>
      </c>
      <c r="F89" s="152">
        <f>E89</f>
        <v>2000000</v>
      </c>
      <c r="G89" s="189">
        <f t="shared" si="14"/>
        <v>0</v>
      </c>
      <c r="H89" s="152"/>
      <c r="I89" s="152"/>
      <c r="J89" s="189"/>
      <c r="L89" s="152">
        <f>E89</f>
        <v>2000000</v>
      </c>
      <c r="M89" s="152">
        <f>F89</f>
        <v>2000000</v>
      </c>
      <c r="N89" s="189">
        <f t="shared" si="15"/>
        <v>0</v>
      </c>
      <c r="O89" s="152"/>
      <c r="P89" s="152"/>
      <c r="Q89" s="189"/>
    </row>
    <row r="90" spans="1:22" ht="20.100000000000001" customHeight="1" x14ac:dyDescent="0.25">
      <c r="A90" t="s">
        <v>195</v>
      </c>
      <c r="C90" s="152"/>
      <c r="D90" s="152">
        <v>7000000</v>
      </c>
      <c r="E90" s="152"/>
      <c r="F90" s="152"/>
      <c r="G90" s="189"/>
      <c r="H90" s="152">
        <v>10000000</v>
      </c>
      <c r="I90" s="152">
        <f>D90</f>
        <v>7000000</v>
      </c>
      <c r="J90" s="189">
        <f>I90/D90-1</f>
        <v>0</v>
      </c>
      <c r="L90" s="152"/>
      <c r="M90" s="152"/>
      <c r="N90" s="189"/>
      <c r="O90" s="152">
        <v>10000000</v>
      </c>
      <c r="P90" s="152">
        <f>I90</f>
        <v>7000000</v>
      </c>
      <c r="Q90" s="189">
        <f>P90/D90-1</f>
        <v>0</v>
      </c>
    </row>
    <row r="91" spans="1:22" ht="20.100000000000001" customHeight="1" x14ac:dyDescent="0.25">
      <c r="A91" t="s">
        <v>237</v>
      </c>
      <c r="C91" s="152">
        <v>2500000</v>
      </c>
      <c r="D91" s="152"/>
      <c r="E91" s="152">
        <v>0</v>
      </c>
      <c r="F91" s="152">
        <v>0</v>
      </c>
      <c r="G91" s="189">
        <f t="shared" ref="G91:G92" si="16">F91/C91-1</f>
        <v>-1</v>
      </c>
      <c r="H91" s="152"/>
      <c r="I91" s="152"/>
      <c r="J91" s="189"/>
      <c r="L91" s="152">
        <v>0</v>
      </c>
      <c r="M91" s="152">
        <v>0</v>
      </c>
      <c r="N91" s="189"/>
      <c r="O91" s="152"/>
      <c r="P91" s="152"/>
      <c r="Q91" s="189"/>
    </row>
    <row r="92" spans="1:22" ht="15.75" thickBot="1" x14ac:dyDescent="0.3">
      <c r="A92" t="s">
        <v>236</v>
      </c>
      <c r="C92" s="152">
        <v>2500000</v>
      </c>
      <c r="D92" s="152"/>
      <c r="E92" s="152">
        <v>0</v>
      </c>
      <c r="F92" s="152">
        <v>0</v>
      </c>
      <c r="G92" s="189">
        <f t="shared" si="16"/>
        <v>-1</v>
      </c>
      <c r="H92" s="152"/>
      <c r="I92" s="152"/>
      <c r="L92" s="152">
        <v>0</v>
      </c>
      <c r="M92" s="152">
        <v>0</v>
      </c>
    </row>
    <row r="93" spans="1:22" ht="20.100000000000001" customHeight="1" thickBot="1" x14ac:dyDescent="0.3">
      <c r="A93" s="153" t="s">
        <v>196</v>
      </c>
      <c r="B93" s="233"/>
      <c r="C93" s="154">
        <f>SUM(C84:C92)</f>
        <v>35617893</v>
      </c>
      <c r="D93" s="154">
        <f>SUM(D84:D92)</f>
        <v>7000000</v>
      </c>
      <c r="E93" s="154">
        <f>SUM(E84:E92)</f>
        <v>31172450</v>
      </c>
      <c r="F93" s="154">
        <f>SUM(F84:F92)</f>
        <v>24985948.350000001</v>
      </c>
      <c r="G93" s="190">
        <f>IF(C93&gt;0, (F93-C93)/C93,)</f>
        <v>-0.29850010077799938</v>
      </c>
      <c r="H93" s="154">
        <f>SUM(H84:H92)</f>
        <v>10000000</v>
      </c>
      <c r="I93" s="154">
        <f>SUM(I84:I92)</f>
        <v>7000000</v>
      </c>
      <c r="J93" s="190">
        <f>IF(D93&gt;0, (I93-D93)/D93,)</f>
        <v>0</v>
      </c>
      <c r="K93" s="153"/>
      <c r="L93" s="154">
        <f>SUM(L84:L92)</f>
        <v>31396326</v>
      </c>
      <c r="M93" s="154">
        <f>SUM(M84:M92)</f>
        <v>24985948.350000001</v>
      </c>
      <c r="N93" s="190">
        <f>IF(C93&gt;0,(M93-C93)/C93,)</f>
        <v>-0.29850010077799938</v>
      </c>
      <c r="O93" s="154">
        <f>SUM(O84:O92)</f>
        <v>10000000</v>
      </c>
      <c r="P93" s="154">
        <f>SUM(P84:P92)</f>
        <v>7000000</v>
      </c>
      <c r="Q93" s="190">
        <f>IF(D93&gt;0,(P93-D93)/D93,)</f>
        <v>0</v>
      </c>
    </row>
    <row r="94" spans="1:22" ht="20.100000000000001" customHeight="1" thickTop="1" thickBot="1" x14ac:dyDescent="0.3">
      <c r="A94" s="155" t="s">
        <v>197</v>
      </c>
      <c r="B94" s="234"/>
      <c r="C94" s="192">
        <f>SUM( C16,C28,C34,C40,C46,C53,C57)</f>
        <v>97931884</v>
      </c>
      <c r="D94" s="192">
        <f>SUM( D16,D28,D34,D40,D46,D53,D57)</f>
        <v>0</v>
      </c>
      <c r="E94" s="192">
        <f>SUM( E16,E28,E34,E40,E46,E53,E57)</f>
        <v>126310303.12</v>
      </c>
      <c r="F94" s="192">
        <f>SUM( F16,F28,F34,F40,F46,F53,F57)</f>
        <v>96643904</v>
      </c>
      <c r="G94" s="192"/>
      <c r="H94" s="192">
        <f>SUM( H16,H28,H34,H40,H46,H53,H57)</f>
        <v>0</v>
      </c>
      <c r="I94" s="192">
        <f>SUM( I16,I28,I34,I40,I46,I53,I57)</f>
        <v>0</v>
      </c>
      <c r="J94" s="192"/>
      <c r="K94" s="192"/>
      <c r="L94" s="192">
        <f>SUM( L16,L28,L34,L40,L46,L53,L57)</f>
        <v>124865860.12</v>
      </c>
      <c r="M94" s="192">
        <f>SUM( M16,M28,M34,M40,M46,M53,M57)</f>
        <v>96643904</v>
      </c>
      <c r="N94" s="192"/>
      <c r="O94" s="192">
        <f>SUM( O16,O28,O34,O40,O46,O53,O57)</f>
        <v>0</v>
      </c>
      <c r="P94" s="192">
        <f>SUM( P16,P28,P34,P40,P46,P53,P57)</f>
        <v>0</v>
      </c>
      <c r="Q94" s="192"/>
    </row>
    <row r="95" spans="1:22" ht="20.100000000000001" customHeight="1" thickTop="1" thickBot="1" x14ac:dyDescent="0.3">
      <c r="A95" s="155" t="s">
        <v>198</v>
      </c>
      <c r="B95" s="234"/>
      <c r="C95" s="192">
        <f>SUM( C76,C79,C82,C93)</f>
        <v>441267959</v>
      </c>
      <c r="D95" s="192">
        <f>SUM( D76,D79,D82,D93)</f>
        <v>11382197</v>
      </c>
      <c r="E95" s="192">
        <f>SUM( E76,E79,E82,E93)</f>
        <v>435466320</v>
      </c>
      <c r="F95" s="192">
        <f>SUM( F76,F79,F82,F93)</f>
        <v>429030014.35000002</v>
      </c>
      <c r="G95" s="192"/>
      <c r="H95" s="192">
        <f>SUM( H76,H79,H82,H93)</f>
        <v>14382197</v>
      </c>
      <c r="I95" s="192">
        <f>SUM( I76,I79,I82,I93)</f>
        <v>11382197</v>
      </c>
      <c r="J95" s="192"/>
      <c r="K95" s="192"/>
      <c r="L95" s="192">
        <f>SUM( L76,L79,L82,L93)</f>
        <v>435690196</v>
      </c>
      <c r="M95" s="192">
        <f>SUM( M76,M79,M82,M93)</f>
        <v>429030014.35000002</v>
      </c>
      <c r="N95" s="192"/>
      <c r="O95" s="192">
        <f>SUM( O76,O79,O82,O93)</f>
        <v>14382197</v>
      </c>
      <c r="P95" s="192">
        <f>SUM( P76,P79,P82,P93)</f>
        <v>11382197</v>
      </c>
      <c r="Q95" s="192"/>
    </row>
    <row r="96" spans="1:22" ht="20.100000000000001" customHeight="1" thickTop="1" thickBot="1" x14ac:dyDescent="0.3">
      <c r="A96" s="155" t="s">
        <v>199</v>
      </c>
      <c r="B96" s="234"/>
      <c r="C96" s="192">
        <f>SUM( C94,C95)</f>
        <v>539199843</v>
      </c>
      <c r="D96" s="192">
        <f>SUM( D94,D95)</f>
        <v>11382197</v>
      </c>
      <c r="E96" s="192">
        <f>SUM( E94,E95)</f>
        <v>561776623.12</v>
      </c>
      <c r="F96" s="192">
        <f>SUM( F94,F95)</f>
        <v>525673918.35000002</v>
      </c>
      <c r="G96" s="192"/>
      <c r="H96" s="192">
        <f>SUM( H94,H95)</f>
        <v>14382197</v>
      </c>
      <c r="I96" s="192">
        <f>SUM( I94,I95)</f>
        <v>11382197</v>
      </c>
      <c r="J96" s="192"/>
      <c r="K96" s="192"/>
      <c r="L96" s="192">
        <f>SUM( L94,L95)</f>
        <v>560556056.12</v>
      </c>
      <c r="M96" s="192">
        <f>SUM( M94,M95)</f>
        <v>525673918.35000002</v>
      </c>
      <c r="N96" s="192"/>
      <c r="O96" s="192">
        <f>SUM( O94,O95)</f>
        <v>14382197</v>
      </c>
      <c r="P96" s="192">
        <f>SUM( P94,P95)</f>
        <v>11382197</v>
      </c>
      <c r="Q96" s="192"/>
    </row>
    <row r="97" spans="3:16" ht="20.100000000000001" customHeight="1" thickTop="1" x14ac:dyDescent="0.25">
      <c r="C97" s="152"/>
      <c r="E97" s="152"/>
      <c r="F97" s="152">
        <f>F96-C96</f>
        <v>-13525924.649999976</v>
      </c>
      <c r="I97" s="152">
        <f>I96-D96</f>
        <v>0</v>
      </c>
      <c r="L97" s="152"/>
      <c r="M97" s="152">
        <f>M96-C96</f>
        <v>-13525924.649999976</v>
      </c>
      <c r="P97" s="152">
        <f>P96-D96</f>
        <v>0</v>
      </c>
    </row>
    <row r="98" spans="3:16" ht="20.100000000000001" customHeight="1" x14ac:dyDescent="0.25">
      <c r="F98" s="152"/>
      <c r="M98" s="152"/>
    </row>
    <row r="99" spans="3:16" ht="20.100000000000001" customHeight="1" x14ac:dyDescent="0.25">
      <c r="C99" s="152"/>
      <c r="E99" s="152"/>
      <c r="F99" s="152"/>
      <c r="I99" s="152"/>
      <c r="M99" s="152"/>
    </row>
    <row r="100" spans="3:16" ht="20.100000000000001" customHeight="1" x14ac:dyDescent="0.25"/>
    <row r="101" spans="3:16" ht="20.100000000000001" customHeight="1" x14ac:dyDescent="0.25"/>
    <row r="102" spans="3:16" ht="20.100000000000001" customHeight="1" x14ac:dyDescent="0.25"/>
    <row r="103" spans="3:16" ht="20.100000000000001" customHeight="1" x14ac:dyDescent="0.25"/>
    <row r="104" spans="3:16" ht="20.100000000000001" customHeight="1" x14ac:dyDescent="0.25"/>
    <row r="105" spans="3:16" ht="20.100000000000001" customHeight="1" x14ac:dyDescent="0.25"/>
    <row r="106" spans="3:16" ht="20.100000000000001" customHeight="1" x14ac:dyDescent="0.25"/>
    <row r="107" spans="3:16" ht="20.100000000000001" customHeight="1" x14ac:dyDescent="0.25"/>
    <row r="108" spans="3:16" ht="20.100000000000001" customHeight="1" x14ac:dyDescent="0.25"/>
    <row r="109" spans="3:16" ht="20.100000000000001" customHeight="1" x14ac:dyDescent="0.25"/>
    <row r="110" spans="3:16" ht="15" customHeight="1" x14ac:dyDescent="0.25"/>
    <row r="135" ht="15.75" customHeight="1" x14ac:dyDescent="0.25"/>
    <row r="136" ht="16.5" customHeight="1" x14ac:dyDescent="0.25"/>
    <row r="162" ht="15.75" customHeight="1" x14ac:dyDescent="0.25"/>
    <row r="163" ht="16.5" customHeight="1" x14ac:dyDescent="0.25"/>
    <row r="189" ht="15.75" customHeight="1" x14ac:dyDescent="0.25"/>
    <row r="190" ht="16.5" customHeight="1" x14ac:dyDescent="0.25"/>
    <row r="216" ht="15.75" customHeight="1" x14ac:dyDescent="0.25"/>
    <row r="217" ht="16.5" customHeight="1" x14ac:dyDescent="0.25"/>
    <row r="218" ht="21" customHeight="1" x14ac:dyDescent="0.25"/>
    <row r="219" ht="15.75" customHeight="1" x14ac:dyDescent="0.25"/>
    <row r="220" ht="16.5" customHeight="1" x14ac:dyDescent="0.25"/>
  </sheetData>
  <mergeCells count="13">
    <mergeCell ref="A5:A7"/>
    <mergeCell ref="C6:C7"/>
    <mergeCell ref="D6:D7"/>
    <mergeCell ref="R6:U6"/>
    <mergeCell ref="V6:W6"/>
    <mergeCell ref="C5:D5"/>
    <mergeCell ref="E5:J5"/>
    <mergeCell ref="L5:Q5"/>
    <mergeCell ref="E6:G6"/>
    <mergeCell ref="H6:J6"/>
    <mergeCell ref="L6:N6"/>
    <mergeCell ref="O6:Q6"/>
    <mergeCell ref="B5:B6"/>
  </mergeCells>
  <pageMargins left="0.7" right="0.7" top="0.75" bottom="0.75" header="0.3" footer="0.3"/>
  <pageSetup scale="50" orientation="landscape" r:id="rId1"/>
  <headerFooter>
    <oddFooter>Page &amp;P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39997558519241921"/>
  </sheetPr>
  <dimension ref="A1:L31"/>
  <sheetViews>
    <sheetView zoomScaleNormal="100" workbookViewId="0">
      <selection activeCell="H30" sqref="H30"/>
    </sheetView>
  </sheetViews>
  <sheetFormatPr defaultRowHeight="15" x14ac:dyDescent="0.25"/>
  <cols>
    <col min="1" max="1" width="12.7109375" customWidth="1"/>
    <col min="2" max="2" width="15.28515625" style="7" customWidth="1"/>
    <col min="3" max="3" width="13.5703125" style="7" customWidth="1"/>
    <col min="4" max="4" width="15.5703125" style="7" bestFit="1" customWidth="1"/>
    <col min="5" max="5" width="16" style="7" customWidth="1"/>
    <col min="6" max="6" width="10.7109375" style="8" customWidth="1"/>
    <col min="7" max="7" width="1.5703125" customWidth="1"/>
    <col min="8" max="8" width="15.5703125" style="7" bestFit="1" customWidth="1"/>
    <col min="9" max="9" width="15.28515625" style="7" customWidth="1"/>
    <col min="10" max="10" width="12" style="95" customWidth="1"/>
    <col min="11" max="11" width="11.28515625" hidden="1" customWidth="1"/>
    <col min="12" max="12" width="10.7109375" customWidth="1"/>
  </cols>
  <sheetData>
    <row r="1" spans="1:12" ht="15.75" customHeight="1" x14ac:dyDescent="0.25">
      <c r="A1" s="9" t="s">
        <v>200</v>
      </c>
    </row>
    <row r="2" spans="1:12" ht="15.75" customHeight="1" x14ac:dyDescent="0.25">
      <c r="A2" s="10"/>
    </row>
    <row r="3" spans="1:12" ht="15.75" thickBot="1" x14ac:dyDescent="0.3">
      <c r="A3" s="11" t="s">
        <v>201</v>
      </c>
    </row>
    <row r="4" spans="1:12" ht="15.75" customHeight="1" thickBot="1" x14ac:dyDescent="0.3">
      <c r="D4" s="412" t="s">
        <v>240</v>
      </c>
      <c r="E4" s="413"/>
      <c r="F4" s="572"/>
      <c r="H4" s="417" t="s">
        <v>241</v>
      </c>
      <c r="I4" s="417"/>
      <c r="J4" s="573"/>
    </row>
    <row r="5" spans="1:12" ht="15.6" customHeight="1" thickBot="1" x14ac:dyDescent="0.3">
      <c r="A5" s="415"/>
      <c r="B5" s="410" t="s">
        <v>299</v>
      </c>
      <c r="C5" s="493" t="s">
        <v>238</v>
      </c>
      <c r="D5" s="269" t="s">
        <v>140</v>
      </c>
      <c r="E5" s="577" t="s">
        <v>355</v>
      </c>
      <c r="F5" s="574" t="s">
        <v>239</v>
      </c>
      <c r="G5" s="270"/>
      <c r="H5" s="269" t="s">
        <v>140</v>
      </c>
      <c r="I5" s="578" t="s">
        <v>355</v>
      </c>
      <c r="J5" s="574" t="s">
        <v>242</v>
      </c>
      <c r="L5" s="571" t="s">
        <v>354</v>
      </c>
    </row>
    <row r="6" spans="1:12" ht="25.15" customHeight="1" x14ac:dyDescent="0.25">
      <c r="A6" s="427"/>
      <c r="B6" s="547"/>
      <c r="C6" s="570"/>
      <c r="D6" s="269" t="s">
        <v>202</v>
      </c>
      <c r="E6" s="577"/>
      <c r="F6" s="575"/>
      <c r="G6" s="193"/>
      <c r="H6" s="269" t="s">
        <v>202</v>
      </c>
      <c r="I6" s="577"/>
      <c r="J6" s="575"/>
      <c r="L6" s="571"/>
    </row>
    <row r="7" spans="1:12" ht="25.15" customHeight="1" thickBot="1" x14ac:dyDescent="0.3">
      <c r="A7" s="427"/>
      <c r="B7" s="411"/>
      <c r="C7" s="494"/>
      <c r="D7" s="268">
        <v>50</v>
      </c>
      <c r="E7" s="201">
        <f>'RUN Overview'!H43</f>
        <v>45</v>
      </c>
      <c r="F7" s="576"/>
      <c r="G7" s="194"/>
      <c r="H7" s="268">
        <v>50</v>
      </c>
      <c r="I7" s="201">
        <f>'RUN Overview'!K43</f>
        <v>45</v>
      </c>
      <c r="J7" s="576"/>
      <c r="L7" s="571"/>
    </row>
    <row r="8" spans="1:12" x14ac:dyDescent="0.25">
      <c r="A8" s="104" t="s">
        <v>36</v>
      </c>
      <c r="B8" s="60">
        <v>2543850</v>
      </c>
      <c r="C8" s="195">
        <v>58275</v>
      </c>
      <c r="D8" s="266">
        <f>$C8*$D$7</f>
        <v>2913750</v>
      </c>
      <c r="E8" s="63">
        <f>$E$7*$C8</f>
        <v>2622375</v>
      </c>
      <c r="F8" s="98">
        <f t="shared" ref="F8:F15" si="0">IF($B8 &gt; 0, (E8-$B8)/$B8, "")</f>
        <v>3.0868565363523792E-2</v>
      </c>
      <c r="G8" s="139"/>
      <c r="H8" s="266">
        <f t="shared" ref="H8:H14" si="1">$C8*$D$7</f>
        <v>2913750</v>
      </c>
      <c r="I8" s="63">
        <f>$I$7*$C8</f>
        <v>2622375</v>
      </c>
      <c r="J8" s="98">
        <f t="shared" ref="J8:J15" si="2">IF($B8 &gt; 0, (I8-$B8)/$B8, "")</f>
        <v>3.0868565363523792E-2</v>
      </c>
      <c r="K8" s="230"/>
      <c r="L8" s="380">
        <f>I8/C8</f>
        <v>45</v>
      </c>
    </row>
    <row r="9" spans="1:12" x14ac:dyDescent="0.25">
      <c r="A9" s="109" t="s">
        <v>40</v>
      </c>
      <c r="B9" s="60">
        <v>284450</v>
      </c>
      <c r="C9" s="195">
        <v>4382</v>
      </c>
      <c r="D9" s="266">
        <f t="shared" ref="D9:D14" si="3">C9*$D$7</f>
        <v>219100</v>
      </c>
      <c r="E9" s="63">
        <f t="shared" ref="E9:E14" si="4">$E$7*$C9</f>
        <v>197190</v>
      </c>
      <c r="F9" s="98">
        <f t="shared" si="0"/>
        <v>-0.30676744594832134</v>
      </c>
      <c r="G9" s="139"/>
      <c r="H9" s="266">
        <f t="shared" si="1"/>
        <v>219100</v>
      </c>
      <c r="I9" s="63">
        <f t="shared" ref="I9:I14" si="5">$I$7*$C9</f>
        <v>197190</v>
      </c>
      <c r="J9" s="98">
        <f t="shared" si="2"/>
        <v>-0.30676744594832134</v>
      </c>
      <c r="K9" s="230"/>
      <c r="L9" s="380">
        <f t="shared" ref="L9:L27" si="6">I9/C9</f>
        <v>45</v>
      </c>
    </row>
    <row r="10" spans="1:12" x14ac:dyDescent="0.25">
      <c r="A10" s="109" t="s">
        <v>41</v>
      </c>
      <c r="B10" s="60">
        <v>525450</v>
      </c>
      <c r="C10" s="195">
        <v>10276</v>
      </c>
      <c r="D10" s="266">
        <f t="shared" si="3"/>
        <v>513800</v>
      </c>
      <c r="E10" s="63">
        <f t="shared" si="4"/>
        <v>462420</v>
      </c>
      <c r="F10" s="98">
        <f t="shared" si="0"/>
        <v>-0.11995432486440194</v>
      </c>
      <c r="G10" s="139"/>
      <c r="H10" s="266">
        <f t="shared" si="1"/>
        <v>513800</v>
      </c>
      <c r="I10" s="63">
        <f t="shared" si="5"/>
        <v>462420</v>
      </c>
      <c r="J10" s="98">
        <f t="shared" si="2"/>
        <v>-0.11995432486440194</v>
      </c>
      <c r="K10" s="230"/>
      <c r="L10" s="380">
        <f t="shared" si="6"/>
        <v>45</v>
      </c>
    </row>
    <row r="11" spans="1:12" x14ac:dyDescent="0.25">
      <c r="A11" s="109" t="s">
        <v>42</v>
      </c>
      <c r="B11" s="60">
        <v>505750</v>
      </c>
      <c r="C11" s="195">
        <v>7961</v>
      </c>
      <c r="D11" s="266">
        <f t="shared" si="3"/>
        <v>398050</v>
      </c>
      <c r="E11" s="63">
        <f t="shared" si="4"/>
        <v>358245</v>
      </c>
      <c r="F11" s="98">
        <f t="shared" si="0"/>
        <v>-0.29165595650024717</v>
      </c>
      <c r="G11" s="139"/>
      <c r="H11" s="266">
        <f t="shared" si="1"/>
        <v>398050</v>
      </c>
      <c r="I11" s="63">
        <f t="shared" si="5"/>
        <v>358245</v>
      </c>
      <c r="J11" s="98">
        <f t="shared" si="2"/>
        <v>-0.29165595650024717</v>
      </c>
      <c r="K11" s="230"/>
      <c r="L11" s="380">
        <f t="shared" si="6"/>
        <v>45</v>
      </c>
    </row>
    <row r="12" spans="1:12" x14ac:dyDescent="0.25">
      <c r="A12" s="109" t="s">
        <v>43</v>
      </c>
      <c r="B12" s="60">
        <v>0</v>
      </c>
      <c r="C12" s="195">
        <v>0</v>
      </c>
      <c r="D12" s="266">
        <f t="shared" si="3"/>
        <v>0</v>
      </c>
      <c r="E12" s="63">
        <f t="shared" si="4"/>
        <v>0</v>
      </c>
      <c r="F12" s="98" t="str">
        <f t="shared" si="0"/>
        <v/>
      </c>
      <c r="G12" s="139"/>
      <c r="H12" s="266">
        <f t="shared" si="1"/>
        <v>0</v>
      </c>
      <c r="I12" s="63">
        <f t="shared" si="5"/>
        <v>0</v>
      </c>
      <c r="J12" s="98" t="str">
        <f t="shared" si="2"/>
        <v/>
      </c>
      <c r="K12" s="230"/>
      <c r="L12" s="380"/>
    </row>
    <row r="13" spans="1:12" x14ac:dyDescent="0.25">
      <c r="A13" s="109" t="s">
        <v>44</v>
      </c>
      <c r="B13" s="60">
        <v>768000</v>
      </c>
      <c r="C13" s="195">
        <v>14248</v>
      </c>
      <c r="D13" s="266">
        <f t="shared" si="3"/>
        <v>712400</v>
      </c>
      <c r="E13" s="63">
        <f t="shared" si="4"/>
        <v>641160</v>
      </c>
      <c r="F13" s="98">
        <f t="shared" si="0"/>
        <v>-0.16515625</v>
      </c>
      <c r="G13" s="139"/>
      <c r="H13" s="266">
        <f t="shared" si="1"/>
        <v>712400</v>
      </c>
      <c r="I13" s="63">
        <f t="shared" si="5"/>
        <v>641160</v>
      </c>
      <c r="J13" s="98">
        <f t="shared" si="2"/>
        <v>-0.16515625</v>
      </c>
      <c r="K13" s="230"/>
      <c r="L13" s="380">
        <f t="shared" si="6"/>
        <v>45</v>
      </c>
    </row>
    <row r="14" spans="1:12" ht="15.75" customHeight="1" thickBot="1" x14ac:dyDescent="0.3">
      <c r="A14" s="109" t="s">
        <v>45</v>
      </c>
      <c r="B14" s="60">
        <v>197300</v>
      </c>
      <c r="C14" s="195">
        <v>3547</v>
      </c>
      <c r="D14" s="266">
        <f t="shared" si="3"/>
        <v>177350</v>
      </c>
      <c r="E14" s="63">
        <f t="shared" si="4"/>
        <v>159615</v>
      </c>
      <c r="F14" s="98">
        <f t="shared" si="0"/>
        <v>-0.19100354789660415</v>
      </c>
      <c r="G14" s="139"/>
      <c r="H14" s="266">
        <f t="shared" si="1"/>
        <v>177350</v>
      </c>
      <c r="I14" s="63">
        <f t="shared" si="5"/>
        <v>159615</v>
      </c>
      <c r="J14" s="98">
        <f t="shared" si="2"/>
        <v>-0.19100354789660415</v>
      </c>
      <c r="K14" s="230"/>
      <c r="L14" s="380">
        <f t="shared" si="6"/>
        <v>45</v>
      </c>
    </row>
    <row r="15" spans="1:12" ht="15.75" customHeight="1" thickTop="1" x14ac:dyDescent="0.25">
      <c r="A15" s="110" t="s">
        <v>65</v>
      </c>
      <c r="B15" s="111">
        <v>4824800</v>
      </c>
      <c r="C15" s="196">
        <f>SUM(C8:C14)</f>
        <v>98689</v>
      </c>
      <c r="D15" s="196">
        <f>SUM(D8:D14)</f>
        <v>4934450</v>
      </c>
      <c r="E15" s="112">
        <f>SUM(E8:E14)</f>
        <v>4441005</v>
      </c>
      <c r="F15" s="169">
        <f t="shared" si="0"/>
        <v>-7.9546302437406735E-2</v>
      </c>
      <c r="G15" s="141"/>
      <c r="H15" s="196">
        <f>SUM(H8:H14)</f>
        <v>4934450</v>
      </c>
      <c r="I15" s="112">
        <f>SUM(I8:I14)</f>
        <v>4441005</v>
      </c>
      <c r="J15" s="169">
        <f t="shared" si="2"/>
        <v>-7.9546302437406735E-2</v>
      </c>
      <c r="K15" s="230">
        <f>I15-B15</f>
        <v>-383795</v>
      </c>
      <c r="L15" s="381">
        <f t="shared" si="6"/>
        <v>45</v>
      </c>
    </row>
    <row r="16" spans="1:12" x14ac:dyDescent="0.25">
      <c r="A16" s="118"/>
      <c r="B16" s="108"/>
      <c r="C16" s="197"/>
      <c r="D16" s="267"/>
      <c r="E16" s="119"/>
      <c r="F16" s="143"/>
      <c r="G16" s="139"/>
      <c r="H16" s="267"/>
      <c r="I16" s="119"/>
      <c r="J16" s="143"/>
      <c r="K16" s="230">
        <f t="shared" ref="K16:K26" si="7">I16-B16</f>
        <v>0</v>
      </c>
      <c r="L16" s="382"/>
    </row>
    <row r="17" spans="1:12" x14ac:dyDescent="0.25">
      <c r="A17" s="109" t="s">
        <v>50</v>
      </c>
      <c r="B17" s="60">
        <v>5700</v>
      </c>
      <c r="C17" s="195">
        <v>159</v>
      </c>
      <c r="D17" s="266">
        <f>C17*$D$7</f>
        <v>7950</v>
      </c>
      <c r="E17" s="63">
        <f>$E$7*$C17</f>
        <v>7155</v>
      </c>
      <c r="F17" s="98">
        <f>IF($B17 &gt; 0, (E17-$B17)/$B17, "")</f>
        <v>0.25526315789473686</v>
      </c>
      <c r="G17" s="139"/>
      <c r="H17" s="266">
        <f>$C17*$D$7</f>
        <v>7950</v>
      </c>
      <c r="I17" s="63">
        <f>$I$7*$C17</f>
        <v>7155</v>
      </c>
      <c r="J17" s="98">
        <f>IF($B17 &gt; 0, (I17-$B17)/$B17, "")</f>
        <v>0.25526315789473686</v>
      </c>
      <c r="K17" s="230"/>
      <c r="L17" s="380">
        <f t="shared" si="6"/>
        <v>45</v>
      </c>
    </row>
    <row r="18" spans="1:12" x14ac:dyDescent="0.25">
      <c r="A18" s="109" t="s">
        <v>51</v>
      </c>
      <c r="B18" s="60">
        <v>457750</v>
      </c>
      <c r="C18" s="195">
        <v>13137</v>
      </c>
      <c r="D18" s="266">
        <f>C18*$D$7</f>
        <v>656850</v>
      </c>
      <c r="E18" s="63">
        <f t="shared" ref="E18:E19" si="8">$E$7*$C18</f>
        <v>591165</v>
      </c>
      <c r="F18" s="98">
        <f>IF($B18 &gt; 0, (E18-$B18)/$B18, "")</f>
        <v>0.29145821955215728</v>
      </c>
      <c r="G18" s="139"/>
      <c r="H18" s="266">
        <f>$C18*$D$7</f>
        <v>656850</v>
      </c>
      <c r="I18" s="63">
        <f t="shared" ref="I18:I19" si="9">$I$7*$C18</f>
        <v>591165</v>
      </c>
      <c r="J18" s="98">
        <f>IF($B18 &gt; 0, (I18-$B18)/$B18, "")</f>
        <v>0.29145821955215728</v>
      </c>
      <c r="K18" s="230"/>
      <c r="L18" s="380">
        <f t="shared" si="6"/>
        <v>45</v>
      </c>
    </row>
    <row r="19" spans="1:12" ht="15.75" customHeight="1" thickBot="1" x14ac:dyDescent="0.3">
      <c r="A19" s="109" t="s">
        <v>53</v>
      </c>
      <c r="B19" s="60">
        <v>596200</v>
      </c>
      <c r="C19" s="195">
        <v>13117</v>
      </c>
      <c r="D19" s="266">
        <f>C19*$D$7</f>
        <v>655850</v>
      </c>
      <c r="E19" s="63">
        <f t="shared" si="8"/>
        <v>590265</v>
      </c>
      <c r="F19" s="98">
        <f>IF($B19 &gt; 0, (E19-$B19)/$B19, "")</f>
        <v>-9.954713183495471E-3</v>
      </c>
      <c r="G19" s="139"/>
      <c r="H19" s="266">
        <f>$C19*$D$7</f>
        <v>655850</v>
      </c>
      <c r="I19" s="63">
        <f t="shared" si="9"/>
        <v>590265</v>
      </c>
      <c r="J19" s="98">
        <f>IF($B19 &gt; 0, (I19-$B19)/$B19, "")</f>
        <v>-9.954713183495471E-3</v>
      </c>
      <c r="K19" s="230"/>
      <c r="L19" s="380">
        <f t="shared" si="6"/>
        <v>45</v>
      </c>
    </row>
    <row r="20" spans="1:12" ht="15.75" customHeight="1" thickTop="1" x14ac:dyDescent="0.25">
      <c r="A20" s="110" t="s">
        <v>66</v>
      </c>
      <c r="B20" s="111">
        <v>1059650</v>
      </c>
      <c r="C20" s="196">
        <f>SUM(C17:C19)</f>
        <v>26413</v>
      </c>
      <c r="D20" s="196">
        <f>SUM(D17:D19)</f>
        <v>1320650</v>
      </c>
      <c r="E20" s="112">
        <f>SUM(E17:E19)</f>
        <v>1188585</v>
      </c>
      <c r="F20" s="169">
        <f>IF($B20 &gt; 0, (E20-$B20)/$B20, "")</f>
        <v>0.12167696881045628</v>
      </c>
      <c r="G20" s="141"/>
      <c r="H20" s="196">
        <f>SUM(H17:H19)</f>
        <v>1320650</v>
      </c>
      <c r="I20" s="112">
        <f>SUM(I17:I19)</f>
        <v>1188585</v>
      </c>
      <c r="J20" s="169">
        <f>IF($B20 &gt; 0, (I20-$B20)/$B20, "")</f>
        <v>0.12167696881045628</v>
      </c>
      <c r="K20" s="230">
        <f t="shared" si="7"/>
        <v>128935</v>
      </c>
      <c r="L20" s="381">
        <f t="shared" si="6"/>
        <v>45</v>
      </c>
    </row>
    <row r="21" spans="1:12" x14ac:dyDescent="0.25">
      <c r="A21" s="118"/>
      <c r="B21" s="108"/>
      <c r="C21" s="197"/>
      <c r="D21" s="267"/>
      <c r="E21" s="119"/>
      <c r="F21" s="143"/>
      <c r="G21" s="139"/>
      <c r="H21" s="267"/>
      <c r="I21" s="119"/>
      <c r="J21" s="143"/>
      <c r="K21" s="230">
        <f t="shared" si="7"/>
        <v>0</v>
      </c>
      <c r="L21" s="382"/>
    </row>
    <row r="22" spans="1:12" x14ac:dyDescent="0.25">
      <c r="A22" s="109" t="s">
        <v>55</v>
      </c>
      <c r="B22" s="60">
        <v>290050</v>
      </c>
      <c r="C22" s="195">
        <v>5232</v>
      </c>
      <c r="D22" s="266">
        <f>C22*$D$7</f>
        <v>261600</v>
      </c>
      <c r="E22" s="63">
        <f>$E$7*$C22</f>
        <v>235440</v>
      </c>
      <c r="F22" s="98">
        <f t="shared" ref="F22:F27" si="10">IF($B22 &gt; 0, (E22-$B22)/$B22, "")</f>
        <v>-0.18827788312359939</v>
      </c>
      <c r="G22" s="139"/>
      <c r="H22" s="266">
        <f>$C22*$D$7</f>
        <v>261600</v>
      </c>
      <c r="I22" s="63">
        <f>$I$7*$C22</f>
        <v>235440</v>
      </c>
      <c r="J22" s="98">
        <f t="shared" ref="J22:J27" si="11">IF($B22 &gt; 0, (I22-$B22)/$B22, "")</f>
        <v>-0.18827788312359939</v>
      </c>
      <c r="K22" s="230">
        <f t="shared" si="7"/>
        <v>-54610</v>
      </c>
      <c r="L22" s="380">
        <f t="shared" si="6"/>
        <v>45</v>
      </c>
    </row>
    <row r="23" spans="1:12" x14ac:dyDescent="0.25">
      <c r="A23" s="109" t="s">
        <v>56</v>
      </c>
      <c r="B23" s="60">
        <v>202950</v>
      </c>
      <c r="C23" s="195">
        <v>3323</v>
      </c>
      <c r="D23" s="266">
        <f>C23*$D$7</f>
        <v>166150</v>
      </c>
      <c r="E23" s="63">
        <f t="shared" ref="E23:E26" si="12">$E$7*$C23</f>
        <v>149535</v>
      </c>
      <c r="F23" s="98">
        <f t="shared" si="10"/>
        <v>-0.26319290465631928</v>
      </c>
      <c r="G23" s="139"/>
      <c r="H23" s="266">
        <f>$C23*$D$7</f>
        <v>166150</v>
      </c>
      <c r="I23" s="63">
        <f t="shared" ref="I23:I26" si="13">$I$7*$C23</f>
        <v>149535</v>
      </c>
      <c r="J23" s="98">
        <f t="shared" si="11"/>
        <v>-0.26319290465631928</v>
      </c>
      <c r="K23" s="230">
        <f t="shared" si="7"/>
        <v>-53415</v>
      </c>
      <c r="L23" s="380">
        <f t="shared" si="6"/>
        <v>45</v>
      </c>
    </row>
    <row r="24" spans="1:12" x14ac:dyDescent="0.25">
      <c r="A24" s="109" t="s">
        <v>57</v>
      </c>
      <c r="B24" s="60">
        <v>510900</v>
      </c>
      <c r="C24" s="195">
        <v>10963</v>
      </c>
      <c r="D24" s="266">
        <f>C24*$D$7</f>
        <v>548150</v>
      </c>
      <c r="E24" s="63">
        <f t="shared" si="12"/>
        <v>493335</v>
      </c>
      <c r="F24" s="98">
        <f t="shared" si="10"/>
        <v>-3.4380504991192017E-2</v>
      </c>
      <c r="G24" s="139"/>
      <c r="H24" s="266">
        <f>$C24*$D$7</f>
        <v>548150</v>
      </c>
      <c r="I24" s="63">
        <f t="shared" si="13"/>
        <v>493335</v>
      </c>
      <c r="J24" s="98">
        <f t="shared" si="11"/>
        <v>-3.4380504991192017E-2</v>
      </c>
      <c r="K24" s="230">
        <f t="shared" si="7"/>
        <v>-17565</v>
      </c>
      <c r="L24" s="380">
        <f t="shared" si="6"/>
        <v>45</v>
      </c>
    </row>
    <row r="25" spans="1:12" x14ac:dyDescent="0.25">
      <c r="A25" s="109" t="s">
        <v>58</v>
      </c>
      <c r="B25" s="60">
        <v>4882450</v>
      </c>
      <c r="C25" s="195">
        <v>104807</v>
      </c>
      <c r="D25" s="266">
        <f>C25*$D$7</f>
        <v>5240350</v>
      </c>
      <c r="E25" s="63">
        <f t="shared" si="12"/>
        <v>4716315</v>
      </c>
      <c r="F25" s="98">
        <f t="shared" si="10"/>
        <v>-3.4026974162561827E-2</v>
      </c>
      <c r="G25" s="139"/>
      <c r="H25" s="266">
        <f>$C25*$D$7</f>
        <v>5240350</v>
      </c>
      <c r="I25" s="63">
        <f t="shared" si="13"/>
        <v>4716315</v>
      </c>
      <c r="J25" s="98">
        <f t="shared" si="11"/>
        <v>-3.4026974162561827E-2</v>
      </c>
      <c r="K25" s="230">
        <f t="shared" si="7"/>
        <v>-166135</v>
      </c>
      <c r="L25" s="380">
        <f t="shared" si="6"/>
        <v>45</v>
      </c>
    </row>
    <row r="26" spans="1:12" ht="15.75" customHeight="1" thickBot="1" x14ac:dyDescent="0.3">
      <c r="A26" s="109" t="s">
        <v>59</v>
      </c>
      <c r="B26" s="60">
        <v>18676150</v>
      </c>
      <c r="C26" s="195">
        <v>487439</v>
      </c>
      <c r="D26" s="266">
        <f>C26*$D$7</f>
        <v>24371950</v>
      </c>
      <c r="E26" s="63">
        <f t="shared" si="12"/>
        <v>21934755</v>
      </c>
      <c r="F26" s="98">
        <f t="shared" si="10"/>
        <v>0.1744794831911288</v>
      </c>
      <c r="G26" s="139"/>
      <c r="H26" s="266">
        <f>$C26*$D$7</f>
        <v>24371950</v>
      </c>
      <c r="I26" s="63">
        <f t="shared" si="13"/>
        <v>21934755</v>
      </c>
      <c r="J26" s="98">
        <f t="shared" si="11"/>
        <v>0.1744794831911288</v>
      </c>
      <c r="K26" s="230">
        <f t="shared" si="7"/>
        <v>3258605</v>
      </c>
      <c r="L26" s="380">
        <f t="shared" si="6"/>
        <v>45</v>
      </c>
    </row>
    <row r="27" spans="1:12" ht="15.75" customHeight="1" thickBot="1" x14ac:dyDescent="0.3">
      <c r="A27" s="171" t="s">
        <v>32</v>
      </c>
      <c r="B27" s="127">
        <v>30446950</v>
      </c>
      <c r="C27" s="198">
        <f>SUM(C15,C20,C22:C26)</f>
        <v>736866</v>
      </c>
      <c r="D27" s="198">
        <f>SUM(D15,D20,D22:D26)</f>
        <v>36843300</v>
      </c>
      <c r="E27" s="88">
        <f>SUM(E15,E20,E22:E26)</f>
        <v>33158970</v>
      </c>
      <c r="F27" s="144">
        <f t="shared" si="10"/>
        <v>8.9073618211347932E-2</v>
      </c>
      <c r="G27" s="145"/>
      <c r="H27" s="198">
        <f>SUM(H15,H20,H22:H26)</f>
        <v>36843300</v>
      </c>
      <c r="I27" s="88">
        <f>SUM(I15,I20,I22:I26)</f>
        <v>33158970</v>
      </c>
      <c r="J27" s="144">
        <f t="shared" si="11"/>
        <v>8.9073618211347932E-2</v>
      </c>
      <c r="L27" s="383">
        <f t="shared" si="6"/>
        <v>45</v>
      </c>
    </row>
    <row r="28" spans="1:12" x14ac:dyDescent="0.25">
      <c r="D28" s="7">
        <f>D27-B27</f>
        <v>6396350</v>
      </c>
      <c r="E28" s="7">
        <f>E27-B27</f>
        <v>2712020</v>
      </c>
      <c r="H28" s="7">
        <f>H27-B27</f>
        <v>6396350</v>
      </c>
      <c r="I28" s="7">
        <f>I27-B27</f>
        <v>2712020</v>
      </c>
    </row>
    <row r="30" spans="1:12" x14ac:dyDescent="0.25">
      <c r="A30" s="94" t="s">
        <v>64</v>
      </c>
    </row>
    <row r="31" spans="1:12" x14ac:dyDescent="0.25">
      <c r="A31" t="s">
        <v>203</v>
      </c>
    </row>
  </sheetData>
  <mergeCells count="10">
    <mergeCell ref="A5:A7"/>
    <mergeCell ref="B5:B7"/>
    <mergeCell ref="C5:C7"/>
    <mergeCell ref="L5:L7"/>
    <mergeCell ref="D4:F4"/>
    <mergeCell ref="H4:J4"/>
    <mergeCell ref="F5:F7"/>
    <mergeCell ref="J5:J7"/>
    <mergeCell ref="E5:E6"/>
    <mergeCell ref="I5:I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5" tint="0.39997558519241921"/>
  </sheetPr>
  <dimension ref="A1:Q22"/>
  <sheetViews>
    <sheetView zoomScale="80" zoomScaleNormal="80" workbookViewId="0">
      <selection activeCell="H44" sqref="H44"/>
    </sheetView>
  </sheetViews>
  <sheetFormatPr defaultColWidth="9.28515625" defaultRowHeight="15" x14ac:dyDescent="0.25"/>
  <cols>
    <col min="1" max="1" width="24" customWidth="1"/>
    <col min="2" max="2" width="16.42578125" style="7" bestFit="1" customWidth="1"/>
    <col min="3" max="3" width="21.42578125" style="7" bestFit="1" customWidth="1"/>
    <col min="4" max="4" width="16.42578125" style="7" bestFit="1" customWidth="1"/>
    <col min="5" max="5" width="10" style="8" bestFit="1" customWidth="1"/>
    <col min="6" max="6" width="15.28515625" style="7" bestFit="1" customWidth="1"/>
    <col min="7" max="7" width="10" style="8" bestFit="1" customWidth="1"/>
    <col min="8" max="8" width="9.28515625" customWidth="1"/>
    <col min="9" max="9" width="16.42578125" style="7" bestFit="1" customWidth="1"/>
    <col min="10" max="10" width="10" style="8" bestFit="1" customWidth="1"/>
    <col min="11" max="11" width="15.28515625" style="7" bestFit="1" customWidth="1"/>
    <col min="12" max="12" width="10" style="8" bestFit="1" customWidth="1"/>
    <col min="13" max="13" width="9.28515625" customWidth="1"/>
  </cols>
  <sheetData>
    <row r="1" spans="1:17" ht="15.75" customHeight="1" x14ac:dyDescent="0.25">
      <c r="A1" s="9" t="s">
        <v>204</v>
      </c>
      <c r="B1"/>
      <c r="C1"/>
      <c r="D1"/>
      <c r="E1"/>
      <c r="F1"/>
      <c r="G1"/>
      <c r="I1"/>
      <c r="J1"/>
      <c r="K1"/>
      <c r="L1"/>
    </row>
    <row r="2" spans="1:17" ht="15.75" customHeight="1" x14ac:dyDescent="0.25">
      <c r="A2" s="10"/>
      <c r="B2"/>
      <c r="C2"/>
      <c r="D2"/>
      <c r="E2"/>
      <c r="F2"/>
      <c r="G2"/>
      <c r="I2"/>
      <c r="J2"/>
      <c r="K2"/>
      <c r="L2"/>
    </row>
    <row r="3" spans="1:17" x14ac:dyDescent="0.25">
      <c r="A3" s="11" t="s">
        <v>205</v>
      </c>
    </row>
    <row r="4" spans="1:17" ht="15.75" customHeight="1" thickBot="1" x14ac:dyDescent="0.3">
      <c r="C4"/>
      <c r="D4"/>
      <c r="E4"/>
      <c r="F4"/>
      <c r="G4"/>
      <c r="I4"/>
      <c r="J4"/>
      <c r="K4"/>
      <c r="L4"/>
    </row>
    <row r="5" spans="1:17" ht="15.75" customHeight="1" thickBot="1" x14ac:dyDescent="0.3">
      <c r="A5" s="415"/>
      <c r="B5" s="583" t="s">
        <v>217</v>
      </c>
      <c r="C5" s="584"/>
      <c r="D5" s="443" t="s">
        <v>240</v>
      </c>
      <c r="E5" s="585"/>
      <c r="F5" s="417"/>
      <c r="G5" s="418"/>
      <c r="H5" s="199"/>
      <c r="I5" s="443" t="s">
        <v>241</v>
      </c>
      <c r="J5" s="585"/>
      <c r="K5" s="417"/>
      <c r="L5" s="418"/>
    </row>
    <row r="6" spans="1:17" x14ac:dyDescent="0.25">
      <c r="A6" s="427"/>
      <c r="B6" s="579" t="s">
        <v>139</v>
      </c>
      <c r="C6" s="581" t="s">
        <v>30</v>
      </c>
      <c r="D6" s="586" t="s">
        <v>139</v>
      </c>
      <c r="E6" s="587"/>
      <c r="F6" s="588" t="s">
        <v>30</v>
      </c>
      <c r="G6" s="589"/>
      <c r="H6" s="200"/>
      <c r="I6" s="586" t="s">
        <v>139</v>
      </c>
      <c r="J6" s="587"/>
      <c r="K6" s="588" t="s">
        <v>30</v>
      </c>
      <c r="L6" s="589"/>
      <c r="N6" s="458"/>
      <c r="O6" s="458"/>
      <c r="P6" s="458"/>
      <c r="Q6" s="458"/>
    </row>
    <row r="7" spans="1:17" ht="45.75" customHeight="1" thickBot="1" x14ac:dyDescent="0.3">
      <c r="A7" s="427"/>
      <c r="B7" s="580"/>
      <c r="C7" s="582"/>
      <c r="D7" s="201" t="s">
        <v>124</v>
      </c>
      <c r="E7" s="202" t="s">
        <v>239</v>
      </c>
      <c r="F7" s="203" t="s">
        <v>124</v>
      </c>
      <c r="G7" s="204" t="s">
        <v>239</v>
      </c>
      <c r="H7" s="205"/>
      <c r="I7" s="201" t="s">
        <v>124</v>
      </c>
      <c r="J7" s="202" t="s">
        <v>242</v>
      </c>
      <c r="K7" s="203" t="s">
        <v>124</v>
      </c>
      <c r="L7" s="204" t="s">
        <v>242</v>
      </c>
    </row>
    <row r="8" spans="1:17" x14ac:dyDescent="0.25">
      <c r="A8" s="104" t="s">
        <v>206</v>
      </c>
      <c r="B8" s="60">
        <f>'LINE ITEM Requests'!C28</f>
        <v>15670886</v>
      </c>
      <c r="C8" s="60"/>
      <c r="D8" s="60">
        <f>'LINE ITEM Requests'!F28</f>
        <v>16287091</v>
      </c>
      <c r="E8" s="98">
        <f t="shared" ref="E8:E14" si="0">IF($B8 &gt; 0, (D8-$B8)/$B8, "")</f>
        <v>3.9321643970864184E-2</v>
      </c>
      <c r="F8" s="164"/>
      <c r="G8" s="98" t="str">
        <f t="shared" ref="G8:G15" si="1">IF($C8 &gt;0, (F8-$C8)/$C8, "")</f>
        <v/>
      </c>
      <c r="H8" s="12"/>
      <c r="I8" s="60">
        <f>'LINE ITEM Requests'!M28</f>
        <v>16287091</v>
      </c>
      <c r="J8" s="98">
        <f t="shared" ref="J8:J15" si="2">IF($B8 &gt; 0, (I8-$B8)/$B8, "")</f>
        <v>3.9321643970864184E-2</v>
      </c>
      <c r="K8" s="164"/>
      <c r="L8" s="98" t="str">
        <f t="shared" ref="L8:L15" si="3">IF($C8 &gt;0, (K8-$C8)/$C8, "")</f>
        <v/>
      </c>
    </row>
    <row r="9" spans="1:17" x14ac:dyDescent="0.25">
      <c r="A9" s="109" t="s">
        <v>207</v>
      </c>
      <c r="B9" s="60">
        <f>'LINE ITEM Requests'!C16</f>
        <v>34707678</v>
      </c>
      <c r="C9" s="60">
        <f>'LINE ITEM Requests'!D16</f>
        <v>0</v>
      </c>
      <c r="D9" s="60">
        <f>'LINE ITEM Requests'!F16</f>
        <v>29836613</v>
      </c>
      <c r="E9" s="98">
        <f t="shared" si="0"/>
        <v>-0.14034545900765819</v>
      </c>
      <c r="F9" s="60">
        <f>'LINE ITEM Requests'!I16</f>
        <v>0</v>
      </c>
      <c r="G9" s="98" t="str">
        <f t="shared" si="1"/>
        <v/>
      </c>
      <c r="H9" s="16"/>
      <c r="I9" s="60">
        <f>'LINE ITEM Requests'!M16</f>
        <v>29836613</v>
      </c>
      <c r="J9" s="98">
        <f t="shared" si="2"/>
        <v>-0.14034545900765819</v>
      </c>
      <c r="K9" s="60">
        <f>'LINE ITEM Requests'!P16</f>
        <v>0</v>
      </c>
      <c r="L9" s="98" t="str">
        <f t="shared" si="3"/>
        <v/>
      </c>
    </row>
    <row r="10" spans="1:17" x14ac:dyDescent="0.25">
      <c r="A10" s="109" t="s">
        <v>55</v>
      </c>
      <c r="B10" s="60">
        <f>'LINE ITEM Requests'!C34</f>
        <v>7175006</v>
      </c>
      <c r="C10" s="60"/>
      <c r="D10" s="60">
        <f>'LINE ITEM Requests'!F34</f>
        <v>7120396</v>
      </c>
      <c r="E10" s="98">
        <f t="shared" si="0"/>
        <v>-7.6111434610647019E-3</v>
      </c>
      <c r="F10" s="63"/>
      <c r="G10" s="98" t="str">
        <f t="shared" si="1"/>
        <v/>
      </c>
      <c r="H10" s="16"/>
      <c r="I10" s="60">
        <f>'LINE ITEM Requests'!M34</f>
        <v>7120396</v>
      </c>
      <c r="J10" s="98">
        <f t="shared" si="2"/>
        <v>-7.6111434610647019E-3</v>
      </c>
      <c r="K10" s="63"/>
      <c r="L10" s="98" t="str">
        <f t="shared" si="3"/>
        <v/>
      </c>
    </row>
    <row r="11" spans="1:17" x14ac:dyDescent="0.25">
      <c r="A11" s="109" t="s">
        <v>56</v>
      </c>
      <c r="B11" s="60">
        <f>'LINE ITEM Requests'!C40</f>
        <v>1453388</v>
      </c>
      <c r="C11" s="60"/>
      <c r="D11" s="60">
        <f>'LINE ITEM Requests'!F40</f>
        <v>1399973</v>
      </c>
      <c r="E11" s="98">
        <f t="shared" si="0"/>
        <v>-3.6752057950113805E-2</v>
      </c>
      <c r="F11" s="63"/>
      <c r="G11" s="98" t="str">
        <f t="shared" si="1"/>
        <v/>
      </c>
      <c r="H11" s="16"/>
      <c r="I11" s="60">
        <f>'LINE ITEM Requests'!M40</f>
        <v>1399973</v>
      </c>
      <c r="J11" s="98">
        <f t="shared" si="2"/>
        <v>-3.6752057950113805E-2</v>
      </c>
      <c r="K11" s="63"/>
      <c r="L11" s="98" t="str">
        <f t="shared" si="3"/>
        <v/>
      </c>
    </row>
    <row r="12" spans="1:17" x14ac:dyDescent="0.25">
      <c r="A12" s="109" t="s">
        <v>57</v>
      </c>
      <c r="B12" s="60">
        <f>'LINE ITEM Requests'!C46</f>
        <v>1597778</v>
      </c>
      <c r="C12" s="60"/>
      <c r="D12" s="60">
        <f>'LINE ITEM Requests'!F46</f>
        <v>1580213</v>
      </c>
      <c r="E12" s="98">
        <f t="shared" si="0"/>
        <v>-1.0993392073241714E-2</v>
      </c>
      <c r="F12" s="63"/>
      <c r="G12" s="98" t="str">
        <f t="shared" si="1"/>
        <v/>
      </c>
      <c r="H12" s="16"/>
      <c r="I12" s="60">
        <f>'LINE ITEM Requests'!M46</f>
        <v>1580213</v>
      </c>
      <c r="J12" s="98">
        <f t="shared" si="2"/>
        <v>-1.0993392073241714E-2</v>
      </c>
      <c r="K12" s="63"/>
      <c r="L12" s="98" t="str">
        <f t="shared" si="3"/>
        <v/>
      </c>
    </row>
    <row r="13" spans="1:17" x14ac:dyDescent="0.25">
      <c r="A13" s="109" t="s">
        <v>58</v>
      </c>
      <c r="B13" s="60">
        <f>'LINE ITEM Requests'!C57</f>
        <v>7882450</v>
      </c>
      <c r="C13" s="60"/>
      <c r="D13" s="60">
        <f>'LINE ITEM Requests'!F57</f>
        <v>7716315</v>
      </c>
      <c r="E13" s="98">
        <f t="shared" si="0"/>
        <v>-2.1076568833294215E-2</v>
      </c>
      <c r="F13" s="63"/>
      <c r="G13" s="98" t="str">
        <f t="shared" si="1"/>
        <v/>
      </c>
      <c r="H13" s="16"/>
      <c r="I13" s="60">
        <f>'LINE ITEM Requests'!M57</f>
        <v>7716315</v>
      </c>
      <c r="J13" s="98">
        <f t="shared" si="2"/>
        <v>-2.1076568833294215E-2</v>
      </c>
      <c r="K13" s="63"/>
      <c r="L13" s="98" t="str">
        <f t="shared" si="3"/>
        <v/>
      </c>
    </row>
    <row r="14" spans="1:17" ht="15.75" customHeight="1" thickBot="1" x14ac:dyDescent="0.3">
      <c r="A14" s="109" t="s">
        <v>59</v>
      </c>
      <c r="B14" s="60">
        <f>'LINE ITEM Requests'!C53</f>
        <v>29444698</v>
      </c>
      <c r="C14" s="60"/>
      <c r="D14" s="60">
        <f>'LINE ITEM Requests'!F53</f>
        <v>32703303</v>
      </c>
      <c r="E14" s="98">
        <f t="shared" si="0"/>
        <v>0.11066865077033564</v>
      </c>
      <c r="F14" s="63"/>
      <c r="G14" s="98" t="str">
        <f t="shared" si="1"/>
        <v/>
      </c>
      <c r="H14" s="16"/>
      <c r="I14" s="60">
        <f>'LINE ITEM Requests'!M53</f>
        <v>32703303</v>
      </c>
      <c r="J14" s="98">
        <f t="shared" si="2"/>
        <v>0.11066865077033564</v>
      </c>
      <c r="K14" s="63"/>
      <c r="L14" s="98" t="str">
        <f t="shared" si="3"/>
        <v/>
      </c>
    </row>
    <row r="15" spans="1:17" ht="15.75" customHeight="1" thickTop="1" x14ac:dyDescent="0.25">
      <c r="A15" s="110" t="s">
        <v>208</v>
      </c>
      <c r="B15" s="111">
        <f>SUM(B8:B14)</f>
        <v>97931884</v>
      </c>
      <c r="C15" s="111">
        <f>SUM(C8:C14)</f>
        <v>0</v>
      </c>
      <c r="D15" s="112">
        <f>SUM(D8:D14)</f>
        <v>96643904</v>
      </c>
      <c r="E15" s="169">
        <f>IF($B15 &gt; 0, (D15-$B15)/$B15, "")</f>
        <v>-1.3151794363519036E-2</v>
      </c>
      <c r="F15" s="112">
        <f>SUM(F8:F14)</f>
        <v>0</v>
      </c>
      <c r="G15" s="169" t="str">
        <f t="shared" si="1"/>
        <v/>
      </c>
      <c r="H15" s="16"/>
      <c r="I15" s="112">
        <f>SUM(I8:I14)</f>
        <v>96643904</v>
      </c>
      <c r="J15" s="169">
        <f t="shared" si="2"/>
        <v>-1.3151794363519036E-2</v>
      </c>
      <c r="K15" s="112">
        <f>SUM(K8:K14)</f>
        <v>0</v>
      </c>
      <c r="L15" s="169" t="str">
        <f t="shared" si="3"/>
        <v/>
      </c>
    </row>
    <row r="16" spans="1:17" x14ac:dyDescent="0.25">
      <c r="A16" s="118"/>
      <c r="B16" s="108"/>
      <c r="C16" s="123"/>
      <c r="D16" s="119"/>
      <c r="E16" s="143"/>
      <c r="F16" s="119"/>
      <c r="G16" s="143"/>
      <c r="H16" s="16"/>
      <c r="I16" s="119"/>
      <c r="J16" s="143"/>
      <c r="K16" s="119"/>
      <c r="L16" s="143"/>
    </row>
    <row r="17" spans="1:12" x14ac:dyDescent="0.25">
      <c r="A17" s="109" t="s">
        <v>61</v>
      </c>
      <c r="B17" s="60">
        <f>'LINE ITEM Requests'!C78</f>
        <v>5106000</v>
      </c>
      <c r="C17" s="106"/>
      <c r="D17" s="60">
        <f>'LINE ITEM Requests'!F78</f>
        <v>2500000</v>
      </c>
      <c r="E17" s="98">
        <f t="shared" ref="E17:E22" si="4">IF($B17 &gt; 0, (D17-$B17)/$B17, "")</f>
        <v>-0.51037994516255381</v>
      </c>
      <c r="F17" s="63"/>
      <c r="G17" s="98" t="str">
        <f t="shared" ref="G17:G22" si="5">IF($C17 &gt;0, (F17-$C17)/$C17, "")</f>
        <v/>
      </c>
      <c r="H17" s="16"/>
      <c r="I17" s="60">
        <f>'LINE ITEM Requests'!M78</f>
        <v>2500000</v>
      </c>
      <c r="J17" s="98">
        <f t="shared" ref="J17:J22" si="6">IF($B17 &gt; 0, (I17-$B17)/$B17, "")</f>
        <v>-0.51037994516255381</v>
      </c>
      <c r="K17" s="63"/>
      <c r="L17" s="98" t="str">
        <f t="shared" ref="L17:L22" si="7">IF($C17 &gt;0, (K17-$C17)/$C17, "")</f>
        <v/>
      </c>
    </row>
    <row r="18" spans="1:12" x14ac:dyDescent="0.25">
      <c r="A18" s="109" t="s">
        <v>209</v>
      </c>
      <c r="B18" s="60"/>
      <c r="C18" s="106">
        <f>'LINE ITEM Requests'!D81</f>
        <v>2382197</v>
      </c>
      <c r="D18" s="60"/>
      <c r="E18" s="98" t="str">
        <f t="shared" si="4"/>
        <v/>
      </c>
      <c r="F18" s="63">
        <f>'LINE ITEM Requests'!I81</f>
        <v>2382197</v>
      </c>
      <c r="G18" s="98">
        <f t="shared" si="5"/>
        <v>0</v>
      </c>
      <c r="H18" s="16"/>
      <c r="I18" s="60"/>
      <c r="J18" s="98" t="str">
        <f t="shared" si="6"/>
        <v/>
      </c>
      <c r="K18" s="63">
        <f>'LINE ITEM Requests'!P81</f>
        <v>2382197</v>
      </c>
      <c r="L18" s="98">
        <f t="shared" si="7"/>
        <v>0</v>
      </c>
    </row>
    <row r="19" spans="1:12" x14ac:dyDescent="0.25">
      <c r="A19" s="109" t="s">
        <v>62</v>
      </c>
      <c r="B19" s="60">
        <f>'LINE ITEM Requests'!C76</f>
        <v>400544066</v>
      </c>
      <c r="C19" s="106">
        <f>'LINE ITEM Requests'!D76</f>
        <v>2000000</v>
      </c>
      <c r="D19" s="60">
        <f>'LINE ITEM Requests'!F76</f>
        <v>401544066</v>
      </c>
      <c r="E19" s="98">
        <f t="shared" si="4"/>
        <v>2.496604206339684E-3</v>
      </c>
      <c r="F19" s="63">
        <f>'LINE ITEM Requests'!I76</f>
        <v>2000000</v>
      </c>
      <c r="G19" s="98">
        <f t="shared" si="5"/>
        <v>0</v>
      </c>
      <c r="H19" s="16"/>
      <c r="I19" s="60">
        <f>'LINE ITEM Requests'!M76</f>
        <v>401544066</v>
      </c>
      <c r="J19" s="98">
        <f t="shared" si="6"/>
        <v>2.496604206339684E-3</v>
      </c>
      <c r="K19" s="63">
        <f>'LINE ITEM Requests'!P76</f>
        <v>2000000</v>
      </c>
      <c r="L19" s="98">
        <f t="shared" si="7"/>
        <v>0</v>
      </c>
    </row>
    <row r="20" spans="1:12" ht="15.75" customHeight="1" thickBot="1" x14ac:dyDescent="0.3">
      <c r="A20" s="109" t="s">
        <v>63</v>
      </c>
      <c r="B20" s="60">
        <f>'LINE ITEM Requests'!C93</f>
        <v>35617893</v>
      </c>
      <c r="C20" s="106">
        <f>'LINE ITEM Requests'!D93</f>
        <v>7000000</v>
      </c>
      <c r="D20" s="60">
        <f>'LINE ITEM Requests'!F93</f>
        <v>24985948.350000001</v>
      </c>
      <c r="E20" s="98">
        <f t="shared" si="4"/>
        <v>-0.29850010077799938</v>
      </c>
      <c r="F20" s="63">
        <f>'LINE ITEM Requests'!I93</f>
        <v>7000000</v>
      </c>
      <c r="G20" s="98">
        <f t="shared" si="5"/>
        <v>0</v>
      </c>
      <c r="H20" s="16"/>
      <c r="I20" s="60">
        <f>'LINE ITEM Requests'!M93</f>
        <v>24985948.350000001</v>
      </c>
      <c r="J20" s="98">
        <f t="shared" si="6"/>
        <v>-0.29850010077799938</v>
      </c>
      <c r="K20" s="63">
        <f>'LINE ITEM Requests'!P93</f>
        <v>7000000</v>
      </c>
      <c r="L20" s="98">
        <f t="shared" si="7"/>
        <v>0</v>
      </c>
    </row>
    <row r="21" spans="1:12" ht="16.5" customHeight="1" thickTop="1" thickBot="1" x14ac:dyDescent="0.3">
      <c r="A21" s="206" t="s">
        <v>210</v>
      </c>
      <c r="B21" s="207">
        <f>SUM(B17:B20)</f>
        <v>441267959</v>
      </c>
      <c r="C21" s="208">
        <f>SUM(C17:C20)</f>
        <v>11382197</v>
      </c>
      <c r="D21" s="99">
        <f>SUM(D17:D20)</f>
        <v>429030014.35000002</v>
      </c>
      <c r="E21" s="100">
        <f t="shared" si="4"/>
        <v>-2.7733589988571946E-2</v>
      </c>
      <c r="F21" s="99">
        <f>SUM(F17:F20)</f>
        <v>11382197</v>
      </c>
      <c r="G21" s="100">
        <f t="shared" si="5"/>
        <v>0</v>
      </c>
      <c r="H21" s="16"/>
      <c r="I21" s="99">
        <f>SUM(I17:I20)</f>
        <v>429030014.35000002</v>
      </c>
      <c r="J21" s="100">
        <f t="shared" si="6"/>
        <v>-2.7733589988571946E-2</v>
      </c>
      <c r="K21" s="99">
        <f>SUM(K17:K20)</f>
        <v>11382197</v>
      </c>
      <c r="L21" s="100">
        <f t="shared" si="7"/>
        <v>0</v>
      </c>
    </row>
    <row r="22" spans="1:12" ht="15.75" customHeight="1" thickBot="1" x14ac:dyDescent="0.3">
      <c r="A22" s="171" t="s">
        <v>32</v>
      </c>
      <c r="B22" s="127">
        <f>SUM(B15,B21)</f>
        <v>539199843</v>
      </c>
      <c r="C22" s="128">
        <f>SUM(C15,C21)</f>
        <v>11382197</v>
      </c>
      <c r="D22" s="88">
        <f>SUM(D15,D21)</f>
        <v>525673918.35000002</v>
      </c>
      <c r="E22" s="144">
        <f t="shared" si="4"/>
        <v>-2.508517913273943E-2</v>
      </c>
      <c r="F22" s="88">
        <f>SUM(F15,F21)</f>
        <v>11382197</v>
      </c>
      <c r="G22" s="144">
        <f t="shared" si="5"/>
        <v>0</v>
      </c>
      <c r="H22" s="209"/>
      <c r="I22" s="88">
        <f>SUM(I15,I21)</f>
        <v>525673918.35000002</v>
      </c>
      <c r="J22" s="144">
        <f t="shared" si="6"/>
        <v>-2.508517913273943E-2</v>
      </c>
      <c r="K22" s="88">
        <f>SUM(K15,K21)</f>
        <v>11382197</v>
      </c>
      <c r="L22" s="144">
        <f t="shared" si="7"/>
        <v>0</v>
      </c>
    </row>
  </sheetData>
  <mergeCells count="12">
    <mergeCell ref="A5:A7"/>
    <mergeCell ref="B6:B7"/>
    <mergeCell ref="C6:C7"/>
    <mergeCell ref="N6:O6"/>
    <mergeCell ref="P6:Q6"/>
    <mergeCell ref="B5:C5"/>
    <mergeCell ref="D5:G5"/>
    <mergeCell ref="I5:L5"/>
    <mergeCell ref="D6:E6"/>
    <mergeCell ref="F6:G6"/>
    <mergeCell ref="I6:J6"/>
    <mergeCell ref="K6:L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</sheetPr>
  <dimension ref="A1:M24"/>
  <sheetViews>
    <sheetView view="pageLayout" zoomScale="75" zoomScaleNormal="80" zoomScalePageLayoutView="75" workbookViewId="0">
      <selection activeCell="D25" sqref="D25"/>
    </sheetView>
  </sheetViews>
  <sheetFormatPr defaultRowHeight="15" x14ac:dyDescent="0.25"/>
  <cols>
    <col min="1" max="1" width="27.5703125" customWidth="1"/>
    <col min="2" max="2" width="18.28515625" style="7" customWidth="1"/>
    <col min="3" max="3" width="18" style="7" bestFit="1" customWidth="1"/>
    <col min="4" max="4" width="21.7109375" style="7" customWidth="1"/>
    <col min="5" max="5" width="22.28515625" style="8" customWidth="1"/>
    <col min="6" max="6" width="9.28515625" customWidth="1"/>
    <col min="7" max="7" width="18.28515625" style="7" customWidth="1"/>
    <col min="8" max="8" width="21.7109375" style="7" customWidth="1"/>
    <col min="9" max="9" width="22.28515625" style="8" customWidth="1"/>
    <col min="11" max="11" width="14.7109375" bestFit="1" customWidth="1"/>
    <col min="12" max="13" width="16.42578125" bestFit="1" customWidth="1"/>
  </cols>
  <sheetData>
    <row r="1" spans="1:13" ht="15.75" customHeight="1" x14ac:dyDescent="0.25">
      <c r="A1" s="9" t="s">
        <v>20</v>
      </c>
    </row>
    <row r="2" spans="1:13" ht="15.75" customHeight="1" x14ac:dyDescent="0.25">
      <c r="A2" s="10"/>
      <c r="E2" s="319"/>
      <c r="F2" s="384"/>
    </row>
    <row r="3" spans="1:13" x14ac:dyDescent="0.25">
      <c r="A3" s="11" t="s">
        <v>21</v>
      </c>
    </row>
    <row r="4" spans="1:13" ht="15.75" customHeight="1" thickBot="1" x14ac:dyDescent="0.3">
      <c r="A4" s="11"/>
    </row>
    <row r="5" spans="1:13" ht="15.75" customHeight="1" thickBot="1" x14ac:dyDescent="0.3">
      <c r="A5" s="408"/>
      <c r="B5" s="410" t="s">
        <v>361</v>
      </c>
      <c r="C5" s="412" t="s">
        <v>240</v>
      </c>
      <c r="D5" s="413"/>
      <c r="E5" s="414"/>
      <c r="F5" s="12"/>
      <c r="G5" s="412" t="s">
        <v>241</v>
      </c>
      <c r="H5" s="413"/>
      <c r="I5" s="414"/>
    </row>
    <row r="6" spans="1:13" ht="30.75" customHeight="1" thickBot="1" x14ac:dyDescent="0.3">
      <c r="A6" s="409"/>
      <c r="B6" s="411"/>
      <c r="C6" s="13" t="s">
        <v>22</v>
      </c>
      <c r="D6" s="14" t="s">
        <v>353</v>
      </c>
      <c r="E6" s="15" t="s">
        <v>347</v>
      </c>
      <c r="F6" s="16"/>
      <c r="G6" s="13" t="s">
        <v>22</v>
      </c>
      <c r="H6" s="14" t="s">
        <v>353</v>
      </c>
      <c r="I6" s="15" t="s">
        <v>347</v>
      </c>
    </row>
    <row r="7" spans="1:13" ht="20.100000000000001" customHeight="1" x14ac:dyDescent="0.25">
      <c r="A7" s="17" t="s">
        <v>23</v>
      </c>
      <c r="B7" s="18">
        <f>'OVERALL Summary Detail'!B45+'OVERALL Summary Detail'!B71+'OVERALL Summary Detail'!B77+'OVERALL Summary Detail'!B83+'OVERALL Summary Detail'!B89+'OVERALL Summary Detail'!B95+'OVERALL Summary Detail'!B101</f>
        <v>1517330163.734771</v>
      </c>
      <c r="C7" s="18">
        <f>'OVERALL Summary Detail'!C45+'OVERALL Summary Detail'!C71+'OVERALL Summary Detail'!C77+'OVERALL Summary Detail'!C83+'OVERALL Summary Detail'!C89+'OVERALL Summary Detail'!C95+'OVERALL Summary Detail'!C101</f>
        <v>1517330163.734771</v>
      </c>
      <c r="D7" s="20">
        <f t="shared" ref="D7:D11" si="0">C7-$B7</f>
        <v>0</v>
      </c>
      <c r="E7" s="21">
        <f t="shared" ref="E7:E13" si="1">IF($B7&gt;0,D7/$B7, "")</f>
        <v>0</v>
      </c>
      <c r="F7" s="22"/>
      <c r="G7" s="19">
        <f>'OPERATING Total Funding'!S32+'OPERATING Total Funding'!U32</f>
        <v>1517330163.7347708</v>
      </c>
      <c r="H7" s="20">
        <f t="shared" ref="H7:H12" si="2">G7-$B7</f>
        <v>0</v>
      </c>
      <c r="I7" s="21">
        <f t="shared" ref="I7:I12" si="3">IF($B7&gt;0,H7/$B7, "")</f>
        <v>0</v>
      </c>
      <c r="K7" s="92"/>
      <c r="L7" s="23"/>
    </row>
    <row r="8" spans="1:13" ht="20.100000000000001" customHeight="1" x14ac:dyDescent="0.25">
      <c r="A8" s="24" t="s">
        <v>24</v>
      </c>
      <c r="B8" s="19">
        <f>'OVERALL Summary Detail'!B46+'OVERALL Summary Detail'!B72+'OVERALL Summary Detail'!B78+'OVERALL Summary Detail'!B84+'OVERALL Summary Detail'!B90+'OVERALL Summary Detail'!B96+'OVERALL Summary Detail'!B102</f>
        <v>148863817.03</v>
      </c>
      <c r="C8" s="18">
        <f>'OVERALL Summary Detail'!C46+'OVERALL Summary Detail'!C72+'OVERALL Summary Detail'!C78+'OVERALL Summary Detail'!C84+'OVERALL Summary Detail'!C90+'OVERALL Summary Detail'!C96+'OVERALL Summary Detail'!C102</f>
        <v>145659281.97999999</v>
      </c>
      <c r="D8" s="20">
        <f t="shared" si="0"/>
        <v>-3204535.0500000119</v>
      </c>
      <c r="E8" s="21">
        <f t="shared" si="1"/>
        <v>-2.1526621538625557E-2</v>
      </c>
      <c r="F8" s="22"/>
      <c r="G8" s="19">
        <f>'CAPITAL Summary'!R33</f>
        <v>138190597.22</v>
      </c>
      <c r="H8" s="20">
        <f t="shared" si="2"/>
        <v>-10673219.810000002</v>
      </c>
      <c r="I8" s="21">
        <f t="shared" si="3"/>
        <v>-7.1697878120705896E-2</v>
      </c>
      <c r="K8" s="92"/>
      <c r="L8" s="23"/>
    </row>
    <row r="9" spans="1:13" ht="20.100000000000001" customHeight="1" x14ac:dyDescent="0.25">
      <c r="A9" s="24" t="s">
        <v>25</v>
      </c>
      <c r="B9" s="18">
        <f>'OVERALL Summary Detail'!B47+'OVERALL Summary Detail'!B73+'OVERALL Summary Detail'!B79+'OVERALL Summary Detail'!B85+'OVERALL Summary Detail'!B91+'OVERALL Summary Detail'!B97+'OVERALL Summary Detail'!B103</f>
        <v>47020852</v>
      </c>
      <c r="C9" s="18">
        <f>'OVERALL Summary Detail'!C47+'OVERALL Summary Detail'!C73+'OVERALL Summary Detail'!C79+'OVERALL Summary Detail'!C85+'OVERALL Summary Detail'!C91+'OVERALL Summary Detail'!C97+'OVERALL Summary Detail'!C103</f>
        <v>55382733</v>
      </c>
      <c r="D9" s="20">
        <f t="shared" si="0"/>
        <v>8361881</v>
      </c>
      <c r="E9" s="21">
        <f t="shared" si="1"/>
        <v>0.17783346418308202</v>
      </c>
      <c r="F9" s="22"/>
      <c r="G9" s="19">
        <f>'R&amp;R Funding'!K27</f>
        <v>55382733</v>
      </c>
      <c r="H9" s="20">
        <f t="shared" si="2"/>
        <v>8361881</v>
      </c>
      <c r="I9" s="21">
        <f t="shared" si="3"/>
        <v>0.17783346418308202</v>
      </c>
      <c r="K9" s="92"/>
      <c r="L9" s="23"/>
    </row>
    <row r="10" spans="1:13" ht="20.100000000000001" customHeight="1" x14ac:dyDescent="0.25">
      <c r="A10" s="24" t="s">
        <v>26</v>
      </c>
      <c r="B10" s="18">
        <f>'OVERALL Summary Detail'!B48+'OVERALL Summary Detail'!B74+'OVERALL Summary Detail'!B80+'OVERALL Summary Detail'!B86+'OVERALL Summary Detail'!B92+'OVERALL Summary Detail'!B98+'OVERALL Summary Detail'!B104</f>
        <v>97931884</v>
      </c>
      <c r="C10" s="18">
        <f>'OVERALL Summary Detail'!C48+'OVERALL Summary Detail'!C74+'OVERALL Summary Detail'!C80+'OVERALL Summary Detail'!C86+'OVERALL Summary Detail'!C92+'OVERALL Summary Detail'!C98+'OVERALL Summary Detail'!C104</f>
        <v>96643904</v>
      </c>
      <c r="D10" s="20">
        <f t="shared" si="0"/>
        <v>-1287980</v>
      </c>
      <c r="E10" s="21">
        <f t="shared" si="1"/>
        <v>-1.3151794363519036E-2</v>
      </c>
      <c r="F10" s="22"/>
      <c r="G10" s="19">
        <f>'LINE ITEM Summary'!I15</f>
        <v>96643904</v>
      </c>
      <c r="H10" s="20">
        <f t="shared" si="2"/>
        <v>-1287980</v>
      </c>
      <c r="I10" s="21">
        <f t="shared" si="3"/>
        <v>-1.3151794363519036E-2</v>
      </c>
      <c r="K10" s="92"/>
      <c r="L10" s="23"/>
    </row>
    <row r="11" spans="1:13" ht="20.100000000000001" customHeight="1" x14ac:dyDescent="0.25">
      <c r="A11" s="24" t="s">
        <v>27</v>
      </c>
      <c r="B11" s="18">
        <f>'OVERALL Summary Detail'!B108</f>
        <v>400544066</v>
      </c>
      <c r="C11" s="18">
        <f>'OVERALL Summary Detail'!C108</f>
        <v>401544066</v>
      </c>
      <c r="D11" s="20">
        <f t="shared" si="0"/>
        <v>1000000</v>
      </c>
      <c r="E11" s="21">
        <f t="shared" si="1"/>
        <v>2.496604206339684E-3</v>
      </c>
      <c r="F11" s="22"/>
      <c r="G11" s="19">
        <f>'LINE ITEM Summary'!I19</f>
        <v>401544066</v>
      </c>
      <c r="H11" s="20">
        <f t="shared" si="2"/>
        <v>1000000</v>
      </c>
      <c r="I11" s="21">
        <f t="shared" si="3"/>
        <v>2.496604206339684E-3</v>
      </c>
      <c r="K11" s="92"/>
      <c r="L11" s="23"/>
    </row>
    <row r="12" spans="1:13" ht="20.100000000000001" customHeight="1" x14ac:dyDescent="0.25">
      <c r="A12" s="24" t="s">
        <v>28</v>
      </c>
      <c r="B12" s="18">
        <f>'OVERALL Summary Detail'!B106-'OVERALL Summary Detail'!B108</f>
        <v>40723893</v>
      </c>
      <c r="C12" s="18">
        <f>'OVERALL Summary Detail'!C106-'OVERALL Summary Detail'!C108</f>
        <v>27485948.350000024</v>
      </c>
      <c r="D12" s="20">
        <f>C12-$B12</f>
        <v>-13237944.649999976</v>
      </c>
      <c r="E12" s="21">
        <f t="shared" si="1"/>
        <v>-0.32506579491307414</v>
      </c>
      <c r="F12" s="22"/>
      <c r="G12" s="19">
        <f>'LINE ITEM Summary'!I17+'LINE ITEM Summary'!I20</f>
        <v>27485948.350000001</v>
      </c>
      <c r="H12" s="20">
        <f t="shared" si="2"/>
        <v>-13237944.649999999</v>
      </c>
      <c r="I12" s="21">
        <f t="shared" si="3"/>
        <v>-0.32506579491307469</v>
      </c>
      <c r="K12" s="92"/>
      <c r="L12" s="23"/>
    </row>
    <row r="13" spans="1:13" ht="20.100000000000001" customHeight="1" thickTop="1" x14ac:dyDescent="0.25">
      <c r="A13" s="25" t="s">
        <v>29</v>
      </c>
      <c r="B13" s="26">
        <f>SUM(B7:B12)</f>
        <v>2252414675.764771</v>
      </c>
      <c r="C13" s="26">
        <f>SUM(C7:C12)</f>
        <v>2244046097.0647712</v>
      </c>
      <c r="D13" s="28">
        <f>SUM(D7:D12)</f>
        <v>-8368578.6999999881</v>
      </c>
      <c r="E13" s="29">
        <f t="shared" si="1"/>
        <v>-3.7153810042365189E-3</v>
      </c>
      <c r="F13" s="30"/>
      <c r="G13" s="27">
        <f>SUM(G7:G12)</f>
        <v>2236577412.3047709</v>
      </c>
      <c r="H13" s="28">
        <f>SUM(H7:H12)</f>
        <v>-15837263.460000001</v>
      </c>
      <c r="I13" s="29">
        <f>IF($B13&gt;0,H13/$B13, "")</f>
        <v>-7.031237911208652E-3</v>
      </c>
      <c r="L13" s="23"/>
      <c r="M13" s="23"/>
    </row>
    <row r="14" spans="1:13" ht="15" customHeight="1" x14ac:dyDescent="0.25">
      <c r="A14" s="31"/>
      <c r="B14" s="32"/>
      <c r="C14" s="33"/>
      <c r="D14" s="34"/>
      <c r="E14" s="35"/>
      <c r="F14" s="22"/>
      <c r="G14" s="33"/>
      <c r="H14" s="34"/>
      <c r="I14" s="35"/>
      <c r="M14" s="23"/>
    </row>
    <row r="15" spans="1:13" ht="20.100000000000001" customHeight="1" x14ac:dyDescent="0.25">
      <c r="A15" s="24" t="s">
        <v>30</v>
      </c>
      <c r="B15" s="18">
        <f>'LINE ITEM Summary'!C22</f>
        <v>11382197</v>
      </c>
      <c r="C15" s="19">
        <f>'LINE ITEM Summary'!F22</f>
        <v>11382197</v>
      </c>
      <c r="D15" s="20">
        <f>C15-$B15</f>
        <v>0</v>
      </c>
      <c r="E15" s="21">
        <f>IF($B15&gt;0,D15/$B15, "")</f>
        <v>0</v>
      </c>
      <c r="F15" s="22"/>
      <c r="G15" s="19">
        <f>'LINE ITEM Summary'!K22</f>
        <v>11382197</v>
      </c>
      <c r="H15" s="20">
        <f>G15-$B15</f>
        <v>0</v>
      </c>
      <c r="I15" s="21">
        <f>IF($B15&gt;0,H15/$B15, "")</f>
        <v>0</v>
      </c>
      <c r="K15" s="92"/>
    </row>
    <row r="16" spans="1:13" ht="20.100000000000001" customHeight="1" thickTop="1" thickBot="1" x14ac:dyDescent="0.3">
      <c r="A16" s="36" t="s">
        <v>31</v>
      </c>
      <c r="B16" s="37">
        <f>SUM(B15)</f>
        <v>11382197</v>
      </c>
      <c r="C16" s="38">
        <f>SUM(C15)</f>
        <v>11382197</v>
      </c>
      <c r="D16" s="39">
        <f>SUM(D15)</f>
        <v>0</v>
      </c>
      <c r="E16" s="40">
        <f>IF($B16&gt;0,D16/$B16, "")</f>
        <v>0</v>
      </c>
      <c r="F16" s="41"/>
      <c r="G16" s="38">
        <f>SUM(G15)</f>
        <v>11382197</v>
      </c>
      <c r="H16" s="39">
        <f>SUM(H15)</f>
        <v>0</v>
      </c>
      <c r="I16" s="40">
        <f>IF($B16&gt;0,H16/$B16, "")</f>
        <v>0</v>
      </c>
    </row>
    <row r="17" spans="1:9" ht="20.100000000000001" customHeight="1" thickTop="1" thickBot="1" x14ac:dyDescent="0.3">
      <c r="A17" s="42" t="s">
        <v>32</v>
      </c>
      <c r="B17" s="43">
        <f>SUM(B13,B16)</f>
        <v>2263796872.764771</v>
      </c>
      <c r="C17" s="44">
        <f>SUM(C13,C16)</f>
        <v>2255428294.0647712</v>
      </c>
      <c r="D17" s="45">
        <f>SUM(D13,D16)</f>
        <v>-8368578.6999999881</v>
      </c>
      <c r="E17" s="46">
        <f>IF($B17&gt;0,D17/$B17, "")</f>
        <v>-3.6967003535875805E-3</v>
      </c>
      <c r="F17" s="47"/>
      <c r="G17" s="44">
        <f>SUM(G13,G16)</f>
        <v>2247959609.3047709</v>
      </c>
      <c r="H17" s="45">
        <f>SUM(H13,H16)</f>
        <v>-15837263.460000001</v>
      </c>
      <c r="I17" s="46">
        <f>IF($B17&gt;0,H17/$B17, "")</f>
        <v>-6.9958853864207256E-3</v>
      </c>
    </row>
    <row r="19" spans="1:9" x14ac:dyDescent="0.25">
      <c r="A19" t="s">
        <v>33</v>
      </c>
    </row>
    <row r="24" spans="1:9" x14ac:dyDescent="0.25">
      <c r="D24" s="384"/>
    </row>
  </sheetData>
  <mergeCells count="4">
    <mergeCell ref="A5:A6"/>
    <mergeCell ref="B5:B6"/>
    <mergeCell ref="C5:E5"/>
    <mergeCell ref="G5:I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130"/>
  <sheetViews>
    <sheetView zoomScale="80" zoomScaleNormal="80" workbookViewId="0">
      <pane xSplit="1" ySplit="6" topLeftCell="B7" activePane="bottomRight" state="frozenSplit"/>
      <selection pane="topRight" activeCell="B1" sqref="B1"/>
      <selection pane="bottomLeft" activeCell="A8" sqref="A8"/>
      <selection pane="bottomRight" activeCell="D60" sqref="D60"/>
    </sheetView>
  </sheetViews>
  <sheetFormatPr defaultRowHeight="15" x14ac:dyDescent="0.25"/>
  <cols>
    <col min="1" max="1" width="31.7109375" customWidth="1"/>
    <col min="2" max="3" width="16.5703125" style="7" customWidth="1"/>
    <col min="4" max="4" width="21.7109375" style="7" customWidth="1"/>
    <col min="5" max="5" width="22.28515625" style="8" customWidth="1"/>
    <col min="6" max="6" width="9.28515625" customWidth="1"/>
    <col min="7" max="7" width="16.5703125" style="7" customWidth="1"/>
    <col min="8" max="8" width="21.7109375" style="7" customWidth="1"/>
    <col min="9" max="9" width="22.28515625" style="8" customWidth="1"/>
    <col min="10" max="10" width="9.7109375" bestFit="1" customWidth="1"/>
    <col min="11" max="11" width="12.7109375" bestFit="1" customWidth="1"/>
    <col min="12" max="12" width="10.7109375" bestFit="1" customWidth="1"/>
  </cols>
  <sheetData>
    <row r="1" spans="1:11" ht="15.75" customHeight="1" x14ac:dyDescent="0.25">
      <c r="A1" s="9" t="s">
        <v>34</v>
      </c>
      <c r="B1"/>
    </row>
    <row r="2" spans="1:11" ht="15.75" customHeight="1" x14ac:dyDescent="0.25">
      <c r="A2" s="10"/>
    </row>
    <row r="3" spans="1:11" x14ac:dyDescent="0.25">
      <c r="A3" s="11" t="s">
        <v>35</v>
      </c>
    </row>
    <row r="4" spans="1:11" ht="15.75" customHeight="1" thickBot="1" x14ac:dyDescent="0.3"/>
    <row r="5" spans="1:11" ht="15.75" customHeight="1" thickBot="1" x14ac:dyDescent="0.3">
      <c r="A5" s="415"/>
      <c r="B5" s="410" t="s">
        <v>361</v>
      </c>
      <c r="C5" s="417" t="s">
        <v>240</v>
      </c>
      <c r="D5" s="417"/>
      <c r="E5" s="418"/>
      <c r="F5" s="12"/>
      <c r="G5" s="413" t="s">
        <v>241</v>
      </c>
      <c r="H5" s="413"/>
      <c r="I5" s="414"/>
    </row>
    <row r="6" spans="1:11" ht="30.75" customHeight="1" thickBot="1" x14ac:dyDescent="0.3">
      <c r="A6" s="416"/>
      <c r="B6" s="411"/>
      <c r="C6" s="48" t="s">
        <v>22</v>
      </c>
      <c r="D6" s="49" t="s">
        <v>364</v>
      </c>
      <c r="E6" s="222" t="s">
        <v>347</v>
      </c>
      <c r="F6" s="16"/>
      <c r="G6" s="50" t="s">
        <v>22</v>
      </c>
      <c r="H6" s="51" t="s">
        <v>353</v>
      </c>
      <c r="I6" s="220" t="s">
        <v>347</v>
      </c>
    </row>
    <row r="7" spans="1:11" x14ac:dyDescent="0.25">
      <c r="A7" s="52" t="s">
        <v>36</v>
      </c>
      <c r="B7" s="53">
        <f>SUM(B8:B10)</f>
        <v>239527487.62923893</v>
      </c>
      <c r="C7" s="54">
        <f>SUM(C8:C10)</f>
        <v>239192263.06923893</v>
      </c>
      <c r="D7" s="55">
        <f t="shared" ref="D7:D32" si="0">C7-$B7</f>
        <v>-335224.56000000238</v>
      </c>
      <c r="E7" s="56">
        <f t="shared" ref="E7:E32" si="1">IF($B7&gt;0,D7/$B7, "")</f>
        <v>-1.3995243857727576E-3</v>
      </c>
      <c r="F7" s="57"/>
      <c r="G7" s="58">
        <f>SUM(G8:G10)</f>
        <v>239189745.32923892</v>
      </c>
      <c r="H7" s="55">
        <f t="shared" ref="H7:H14" si="2">G7-$B7</f>
        <v>-337742.30000001192</v>
      </c>
      <c r="I7" s="56">
        <f t="shared" ref="I7:I14" si="3">IF($B7&gt;0,H7/$B7, "")</f>
        <v>-1.4100356637264039E-3</v>
      </c>
    </row>
    <row r="8" spans="1:11" x14ac:dyDescent="0.25">
      <c r="A8" s="59" t="s">
        <v>37</v>
      </c>
      <c r="B8" s="60">
        <f>VLOOKUP($A7, 'OPERATING Total Funding'!$A$9:$O$32,3, FALSE)</f>
        <v>209473238.62923893</v>
      </c>
      <c r="C8" s="61">
        <f>VLOOKUP($A7, 'OPERATING Total Funding'!$A$9:$Z$32,13, FALSE)</f>
        <v>209473238.62923893</v>
      </c>
      <c r="D8" s="20">
        <f t="shared" si="0"/>
        <v>0</v>
      </c>
      <c r="E8" s="62">
        <f t="shared" si="1"/>
        <v>0</v>
      </c>
      <c r="F8" s="16"/>
      <c r="G8" s="63">
        <f>VLOOKUP($A7, 'OPERATING Total Funding'!$A$9:$Z$32,22, FALSE)</f>
        <v>209473238.62923893</v>
      </c>
      <c r="H8" s="20">
        <f t="shared" si="2"/>
        <v>0</v>
      </c>
      <c r="I8" s="62">
        <f t="shared" si="3"/>
        <v>0</v>
      </c>
    </row>
    <row r="9" spans="1:11" x14ac:dyDescent="0.25">
      <c r="A9" s="59" t="s">
        <v>38</v>
      </c>
      <c r="B9" s="60">
        <f>VLOOKUP($A7, 'CAPITAL Summary'!$A$8:$V$33, 3, FALSE)</f>
        <v>20550838</v>
      </c>
      <c r="C9" s="61">
        <f>VLOOKUP($A7, 'CAPITAL Summary'!$A$8:$V$33, 9, FALSE)</f>
        <v>18528752.440000001</v>
      </c>
      <c r="D9" s="20">
        <f>C9-$B9</f>
        <v>-2022085.5599999987</v>
      </c>
      <c r="E9" s="62">
        <f t="shared" si="1"/>
        <v>-9.8394311706413079E-2</v>
      </c>
      <c r="F9" s="16"/>
      <c r="G9" s="63">
        <f>VLOOKUP($A7, 'CAPITAL Summary'!$A$8:$V$33, 18, FALSE)</f>
        <v>18526234.699999999</v>
      </c>
      <c r="H9" s="20">
        <f t="shared" si="2"/>
        <v>-2024603.3000000007</v>
      </c>
      <c r="I9" s="21">
        <f t="shared" si="3"/>
        <v>-9.8516824472072662E-2</v>
      </c>
      <c r="K9" t="s">
        <v>233</v>
      </c>
    </row>
    <row r="10" spans="1:11" ht="15.75" thickBot="1" x14ac:dyDescent="0.3">
      <c r="A10" s="59" t="s">
        <v>39</v>
      </c>
      <c r="B10" s="60">
        <f>VLOOKUP($A7, 'R&amp;R Funding'!$A$8:$L$27, 2, FALSE)</f>
        <v>9503411</v>
      </c>
      <c r="C10" s="61">
        <f>VLOOKUP($A7, 'R&amp;R Funding'!$A$8:$L$27, 8, FALSE)</f>
        <v>11190272</v>
      </c>
      <c r="D10" s="20">
        <f t="shared" si="0"/>
        <v>1686861</v>
      </c>
      <c r="E10" s="62">
        <f t="shared" si="1"/>
        <v>0.17750058373777583</v>
      </c>
      <c r="F10" s="16"/>
      <c r="G10" s="63">
        <f>VLOOKUP($A7, 'R&amp;R Funding'!$A$8:$L$27, 11, FALSE)</f>
        <v>11190272</v>
      </c>
      <c r="H10" s="20">
        <f t="shared" si="2"/>
        <v>1686861</v>
      </c>
      <c r="I10" s="62">
        <f t="shared" si="3"/>
        <v>0.17750058373777583</v>
      </c>
    </row>
    <row r="11" spans="1:11" x14ac:dyDescent="0.25">
      <c r="A11" s="52" t="s">
        <v>40</v>
      </c>
      <c r="B11" s="53">
        <f>SUM(B12:B14)</f>
        <v>16013809.253717061</v>
      </c>
      <c r="C11" s="54">
        <f>SUM(C12:C14)</f>
        <v>16052797.253717061</v>
      </c>
      <c r="D11" s="55">
        <f t="shared" si="0"/>
        <v>38988</v>
      </c>
      <c r="E11" s="56">
        <f t="shared" si="1"/>
        <v>2.4346487073929808E-3</v>
      </c>
      <c r="F11" s="57"/>
      <c r="G11" s="58">
        <f>SUM(G12:G14)</f>
        <v>16052797.253717061</v>
      </c>
      <c r="H11" s="55">
        <f t="shared" si="2"/>
        <v>38988</v>
      </c>
      <c r="I11" s="56">
        <f t="shared" si="3"/>
        <v>2.4346487073929808E-3</v>
      </c>
    </row>
    <row r="12" spans="1:11" x14ac:dyDescent="0.25">
      <c r="A12" s="59" t="s">
        <v>37</v>
      </c>
      <c r="B12" s="60">
        <f>VLOOKUP($A11, 'OPERATING Total Funding'!$A$9:$O$32,3, FALSE)</f>
        <v>15749696.253717061</v>
      </c>
      <c r="C12" s="61">
        <f>VLOOKUP($A11, 'OPERATING Total Funding'!$A$9:$Z$32,13, FALSE)</f>
        <v>15749696.253717061</v>
      </c>
      <c r="D12" s="20">
        <f t="shared" si="0"/>
        <v>0</v>
      </c>
      <c r="E12" s="62">
        <f t="shared" si="1"/>
        <v>0</v>
      </c>
      <c r="F12" s="16"/>
      <c r="G12" s="63">
        <f>VLOOKUP($A11, 'OPERATING Total Funding'!$A$9:$Z$32,22, FALSE)</f>
        <v>15749696.253717061</v>
      </c>
      <c r="H12" s="20">
        <f t="shared" si="2"/>
        <v>0</v>
      </c>
      <c r="I12" s="62">
        <f t="shared" si="3"/>
        <v>0</v>
      </c>
    </row>
    <row r="13" spans="1:11" x14ac:dyDescent="0.25">
      <c r="A13" s="59" t="s">
        <v>38</v>
      </c>
      <c r="B13" s="60">
        <f>VLOOKUP($A11, 'CAPITAL Summary'!$A$8:$V$33, 3, FALSE)</f>
        <v>0</v>
      </c>
      <c r="C13" s="61">
        <f>VLOOKUP($A11, 'CAPITAL Summary'!$A$8:$V$33, 9, FALSE)</f>
        <v>0</v>
      </c>
      <c r="D13" s="20">
        <f t="shared" si="0"/>
        <v>0</v>
      </c>
      <c r="E13" s="62" t="str">
        <f t="shared" si="1"/>
        <v/>
      </c>
      <c r="F13" s="16"/>
      <c r="G13" s="63">
        <f>VLOOKUP($A11, 'CAPITAL Summary'!$A$8:$V$33, 18, FALSE)</f>
        <v>0</v>
      </c>
      <c r="H13" s="20">
        <f t="shared" si="2"/>
        <v>0</v>
      </c>
      <c r="I13" s="21" t="str">
        <f t="shared" si="3"/>
        <v/>
      </c>
    </row>
    <row r="14" spans="1:11" ht="15.75" thickBot="1" x14ac:dyDescent="0.3">
      <c r="A14" s="59" t="s">
        <v>39</v>
      </c>
      <c r="B14" s="60">
        <f>VLOOKUP($A11, 'R&amp;R Funding'!$A$8:$L$27, 2, FALSE)</f>
        <v>264113</v>
      </c>
      <c r="C14" s="61">
        <f>VLOOKUP($A11, 'R&amp;R Funding'!$A$8:$L$27, 8, FALSE)</f>
        <v>303101</v>
      </c>
      <c r="D14" s="20">
        <f>C14-$B14</f>
        <v>38988</v>
      </c>
      <c r="E14" s="62">
        <f t="shared" si="1"/>
        <v>0.14761863293363067</v>
      </c>
      <c r="F14" s="16"/>
      <c r="G14" s="63">
        <f>VLOOKUP($A11, 'R&amp;R Funding'!$A$8:$L$27, 11, FALSE)</f>
        <v>303101</v>
      </c>
      <c r="H14" s="20">
        <f t="shared" si="2"/>
        <v>38988</v>
      </c>
      <c r="I14" s="62">
        <f t="shared" si="3"/>
        <v>0.14761863293363067</v>
      </c>
    </row>
    <row r="15" spans="1:11" x14ac:dyDescent="0.25">
      <c r="A15" s="52" t="s">
        <v>41</v>
      </c>
      <c r="B15" s="53">
        <f>SUM(B16:B18)</f>
        <v>17803294.75952914</v>
      </c>
      <c r="C15" s="54">
        <f>SUM(C16:C18)</f>
        <v>17865672.75952914</v>
      </c>
      <c r="D15" s="55">
        <f t="shared" si="0"/>
        <v>62378</v>
      </c>
      <c r="E15" s="56">
        <f t="shared" si="1"/>
        <v>3.5037334854332194E-3</v>
      </c>
      <c r="F15" s="57"/>
      <c r="G15" s="58">
        <f>SUM(G16:G18)</f>
        <v>17865672.75952914</v>
      </c>
      <c r="H15" s="55">
        <f t="shared" ref="H15:H48" si="4">G15-$B15</f>
        <v>62378</v>
      </c>
      <c r="I15" s="56">
        <f t="shared" ref="I15:I48" si="5">IF($B15&gt;0,H15/$B15, "")</f>
        <v>3.5037334854332194E-3</v>
      </c>
    </row>
    <row r="16" spans="1:11" x14ac:dyDescent="0.25">
      <c r="A16" s="59" t="s">
        <v>37</v>
      </c>
      <c r="B16" s="60">
        <f>VLOOKUP($A15, 'OPERATING Total Funding'!$A$9:$O$32,3, FALSE)</f>
        <v>17429044.75952914</v>
      </c>
      <c r="C16" s="61">
        <f>VLOOKUP($A15, 'OPERATING Total Funding'!$A$9:$Z$32,13, FALSE)</f>
        <v>17429044.75952914</v>
      </c>
      <c r="D16" s="20">
        <f t="shared" si="0"/>
        <v>0</v>
      </c>
      <c r="E16" s="62">
        <f t="shared" si="1"/>
        <v>0</v>
      </c>
      <c r="F16" s="16"/>
      <c r="G16" s="63">
        <f>VLOOKUP($A15, 'OPERATING Total Funding'!$A$9:$Z$32,22, FALSE)</f>
        <v>17429044.75952914</v>
      </c>
      <c r="H16" s="20">
        <f t="shared" si="4"/>
        <v>0</v>
      </c>
      <c r="I16" s="62">
        <f t="shared" si="5"/>
        <v>0</v>
      </c>
    </row>
    <row r="17" spans="1:9" x14ac:dyDescent="0.25">
      <c r="A17" s="59" t="s">
        <v>38</v>
      </c>
      <c r="B17" s="60">
        <f>VLOOKUP($A15, 'CAPITAL Summary'!$A$8:$V$33, 3, FALSE)</f>
        <v>0</v>
      </c>
      <c r="C17" s="61">
        <f>VLOOKUP($A15, 'CAPITAL Summary'!$A$8:$V$33, 9, FALSE)</f>
        <v>0</v>
      </c>
      <c r="D17" s="20">
        <f t="shared" si="0"/>
        <v>0</v>
      </c>
      <c r="E17" s="62" t="str">
        <f t="shared" si="1"/>
        <v/>
      </c>
      <c r="F17" s="16"/>
      <c r="G17" s="63">
        <f>VLOOKUP($A15, 'CAPITAL Summary'!$A$8:$V$33, 18, FALSE)</f>
        <v>0</v>
      </c>
      <c r="H17" s="20">
        <f t="shared" si="4"/>
        <v>0</v>
      </c>
      <c r="I17" s="21" t="str">
        <f t="shared" si="5"/>
        <v/>
      </c>
    </row>
    <row r="18" spans="1:9" ht="15.75" thickBot="1" x14ac:dyDescent="0.3">
      <c r="A18" s="59" t="s">
        <v>39</v>
      </c>
      <c r="B18" s="60">
        <f>VLOOKUP($A15, 'R&amp;R Funding'!$A$8:$L$27, 2, FALSE)</f>
        <v>374250</v>
      </c>
      <c r="C18" s="61">
        <f>VLOOKUP($A15, 'R&amp;R Funding'!$A$8:$L$27, 8, FALSE)</f>
        <v>436628</v>
      </c>
      <c r="D18" s="20">
        <f t="shared" si="0"/>
        <v>62378</v>
      </c>
      <c r="E18" s="62">
        <f t="shared" si="1"/>
        <v>0.16667468269873079</v>
      </c>
      <c r="F18" s="16"/>
      <c r="G18" s="63">
        <f>VLOOKUP($A15, 'R&amp;R Funding'!$A$8:$L$27, 11, FALSE)</f>
        <v>436628</v>
      </c>
      <c r="H18" s="20">
        <f t="shared" si="4"/>
        <v>62378</v>
      </c>
      <c r="I18" s="62">
        <f t="shared" si="5"/>
        <v>0.16667468269873079</v>
      </c>
    </row>
    <row r="19" spans="1:9" x14ac:dyDescent="0.25">
      <c r="A19" s="52" t="s">
        <v>42</v>
      </c>
      <c r="B19" s="53">
        <f>SUM(B20:B22)</f>
        <v>24323296.923701819</v>
      </c>
      <c r="C19" s="54">
        <f>SUM(C20:C22)</f>
        <v>24432798.923701819</v>
      </c>
      <c r="D19" s="55">
        <f t="shared" si="0"/>
        <v>109502</v>
      </c>
      <c r="E19" s="56">
        <f t="shared" si="1"/>
        <v>4.5019390399044078E-3</v>
      </c>
      <c r="F19" s="57"/>
      <c r="G19" s="58">
        <f>SUM(G20:G22)</f>
        <v>24430548.923701819</v>
      </c>
      <c r="H19" s="55">
        <f t="shared" si="4"/>
        <v>107252</v>
      </c>
      <c r="I19" s="56">
        <f t="shared" si="5"/>
        <v>4.4094351327631232E-3</v>
      </c>
    </row>
    <row r="20" spans="1:9" x14ac:dyDescent="0.25">
      <c r="A20" s="59" t="s">
        <v>37</v>
      </c>
      <c r="B20" s="60">
        <f>VLOOKUP($A19, 'OPERATING Total Funding'!$A$9:$O$32,3, FALSE)</f>
        <v>20683340.923701819</v>
      </c>
      <c r="C20" s="61">
        <f>VLOOKUP($A19, 'OPERATING Total Funding'!$A$9:$Z$32,13, FALSE)</f>
        <v>20683340.923701819</v>
      </c>
      <c r="D20" s="20">
        <f t="shared" si="0"/>
        <v>0</v>
      </c>
      <c r="E20" s="62">
        <f t="shared" si="1"/>
        <v>0</v>
      </c>
      <c r="F20" s="16"/>
      <c r="G20" s="63">
        <f>VLOOKUP($A19, 'OPERATING Total Funding'!$A$9:$Z$32,22, FALSE)</f>
        <v>20683340.923701819</v>
      </c>
      <c r="H20" s="20">
        <f t="shared" si="4"/>
        <v>0</v>
      </c>
      <c r="I20" s="62">
        <f t="shared" si="5"/>
        <v>0</v>
      </c>
    </row>
    <row r="21" spans="1:9" x14ac:dyDescent="0.25">
      <c r="A21" s="59" t="s">
        <v>38</v>
      </c>
      <c r="B21" s="60">
        <f>VLOOKUP($A19, 'CAPITAL Summary'!$A$8:$V$33, 3, FALSE)</f>
        <v>2987125</v>
      </c>
      <c r="C21" s="61">
        <f>VLOOKUP($A19, 'CAPITAL Summary'!$A$8:$V$33, 9, FALSE)</f>
        <v>2989875</v>
      </c>
      <c r="D21" s="20">
        <f t="shared" si="0"/>
        <v>2750</v>
      </c>
      <c r="E21" s="62">
        <f t="shared" si="1"/>
        <v>9.2061765075114035E-4</v>
      </c>
      <c r="F21" s="16"/>
      <c r="G21" s="63">
        <f>VLOOKUP($A19, 'CAPITAL Summary'!$A$8:$V$33, 18, FALSE)</f>
        <v>2987625</v>
      </c>
      <c r="H21" s="20">
        <f t="shared" si="4"/>
        <v>500</v>
      </c>
      <c r="I21" s="21">
        <f t="shared" si="5"/>
        <v>1.6738502740929823E-4</v>
      </c>
    </row>
    <row r="22" spans="1:9" x14ac:dyDescent="0.25">
      <c r="A22" s="59" t="s">
        <v>39</v>
      </c>
      <c r="B22" s="60">
        <f>VLOOKUP($A19, 'R&amp;R Funding'!$A$8:$L$27, 2, FALSE)</f>
        <v>652831</v>
      </c>
      <c r="C22" s="61">
        <f>VLOOKUP($A19, 'R&amp;R Funding'!$A$8:$L$27, 8, FALSE)</f>
        <v>759583</v>
      </c>
      <c r="D22" s="20">
        <f t="shared" si="0"/>
        <v>106752</v>
      </c>
      <c r="E22" s="62">
        <f t="shared" si="1"/>
        <v>0.16352164649043932</v>
      </c>
      <c r="F22" s="16"/>
      <c r="G22" s="63">
        <f>VLOOKUP($A19, 'R&amp;R Funding'!$A$8:$L$27, 11, FALSE)</f>
        <v>759583</v>
      </c>
      <c r="H22" s="20">
        <f t="shared" si="4"/>
        <v>106752</v>
      </c>
      <c r="I22" s="62">
        <f t="shared" si="5"/>
        <v>0.16352164649043932</v>
      </c>
    </row>
    <row r="23" spans="1:9" x14ac:dyDescent="0.25">
      <c r="A23" s="52" t="s">
        <v>43</v>
      </c>
      <c r="B23" s="53">
        <f>SUM(B24:B26)</f>
        <v>146124926.50916311</v>
      </c>
      <c r="C23" s="54">
        <f>SUM(C24:C26)</f>
        <v>147156759.50916311</v>
      </c>
      <c r="D23" s="55">
        <f t="shared" si="0"/>
        <v>1031833</v>
      </c>
      <c r="E23" s="56">
        <f t="shared" si="1"/>
        <v>7.0613072297100281E-3</v>
      </c>
      <c r="F23" s="57"/>
      <c r="G23" s="58">
        <f>SUM(G24:G26)</f>
        <v>147154976.50916311</v>
      </c>
      <c r="H23" s="55">
        <f t="shared" si="4"/>
        <v>1030050</v>
      </c>
      <c r="I23" s="56">
        <f t="shared" si="5"/>
        <v>7.0491053416229313E-3</v>
      </c>
    </row>
    <row r="24" spans="1:9" x14ac:dyDescent="0.25">
      <c r="A24" s="59" t="s">
        <v>37</v>
      </c>
      <c r="B24" s="60">
        <f>VLOOKUP($A23, 'OPERATING Total Funding'!$A$9:$O$32,3, FALSE)</f>
        <v>134999999.50916311</v>
      </c>
      <c r="C24" s="61">
        <f>VLOOKUP($A23, 'OPERATING Total Funding'!$A$9:$Z$32,13, FALSE)</f>
        <v>134999999.50916311</v>
      </c>
      <c r="D24" s="20">
        <f t="shared" si="0"/>
        <v>0</v>
      </c>
      <c r="E24" s="62">
        <f t="shared" si="1"/>
        <v>0</v>
      </c>
      <c r="F24" s="16"/>
      <c r="G24" s="63">
        <f>VLOOKUP($A23, 'OPERATING Total Funding'!$A$9:$Z$32,22, FALSE)</f>
        <v>134999999.50916311</v>
      </c>
      <c r="H24" s="20">
        <f t="shared" si="4"/>
        <v>0</v>
      </c>
      <c r="I24" s="62">
        <f t="shared" si="5"/>
        <v>0</v>
      </c>
    </row>
    <row r="25" spans="1:9" x14ac:dyDescent="0.25">
      <c r="A25" s="59" t="s">
        <v>38</v>
      </c>
      <c r="B25" s="60">
        <f>VLOOKUP($A23, 'CAPITAL Summary'!$A$8:$V$33, 3, FALSE)</f>
        <v>4340992</v>
      </c>
      <c r="C25" s="61">
        <f>VLOOKUP($A23, 'CAPITAL Summary'!$A$8:$V$33, 9, FALSE)</f>
        <v>4339198</v>
      </c>
      <c r="D25" s="20">
        <f t="shared" si="0"/>
        <v>-1794</v>
      </c>
      <c r="E25" s="62">
        <f t="shared" si="1"/>
        <v>-4.1326959367812702E-4</v>
      </c>
      <c r="F25" s="16"/>
      <c r="G25" s="63">
        <f>VLOOKUP($A23, 'CAPITAL Summary'!$A$8:$V$33, 18, FALSE)</f>
        <v>4337415</v>
      </c>
      <c r="H25" s="20">
        <f t="shared" si="4"/>
        <v>-3577</v>
      </c>
      <c r="I25" s="21">
        <f t="shared" si="5"/>
        <v>-8.2400520434039036E-4</v>
      </c>
    </row>
    <row r="26" spans="1:9" x14ac:dyDescent="0.25">
      <c r="A26" s="59" t="s">
        <v>39</v>
      </c>
      <c r="B26" s="60">
        <f>VLOOKUP($A23, 'R&amp;R Funding'!$A$8:$L$27, 2, FALSE)</f>
        <v>6783935</v>
      </c>
      <c r="C26" s="61">
        <f>VLOOKUP($A23, 'R&amp;R Funding'!$A$8:$L$27, 8, FALSE)</f>
        <v>7817562</v>
      </c>
      <c r="D26" s="20">
        <f t="shared" si="0"/>
        <v>1033627</v>
      </c>
      <c r="E26" s="62">
        <f t="shared" si="1"/>
        <v>0.15236393037374327</v>
      </c>
      <c r="F26" s="16"/>
      <c r="G26" s="63">
        <f>VLOOKUP($A23, 'R&amp;R Funding'!$A$8:$L$27, 11, FALSE)</f>
        <v>7817562</v>
      </c>
      <c r="H26" s="20">
        <f t="shared" si="4"/>
        <v>1033627</v>
      </c>
      <c r="I26" s="62">
        <f t="shared" si="5"/>
        <v>0.15236393037374327</v>
      </c>
    </row>
    <row r="27" spans="1:9" x14ac:dyDescent="0.25">
      <c r="A27" s="52" t="s">
        <v>44</v>
      </c>
      <c r="B27" s="53">
        <f>SUM(B28:B30)</f>
        <v>28731616.603080567</v>
      </c>
      <c r="C27" s="54">
        <f>SUM(C28:C30)</f>
        <v>28846549.603080567</v>
      </c>
      <c r="D27" s="55">
        <f t="shared" si="0"/>
        <v>114933</v>
      </c>
      <c r="E27" s="56">
        <f t="shared" si="1"/>
        <v>4.0002274006286521E-3</v>
      </c>
      <c r="F27" s="57"/>
      <c r="G27" s="58">
        <f>SUM(G28:G30)</f>
        <v>28841999.603080567</v>
      </c>
      <c r="H27" s="55">
        <f t="shared" si="4"/>
        <v>110383</v>
      </c>
      <c r="I27" s="56">
        <f t="shared" si="5"/>
        <v>3.8418652707542002E-3</v>
      </c>
    </row>
    <row r="28" spans="1:9" x14ac:dyDescent="0.25">
      <c r="A28" s="59" t="s">
        <v>37</v>
      </c>
      <c r="B28" s="60">
        <f>VLOOKUP($A27, 'OPERATING Total Funding'!$A$9:$O$32,3, FALSE)</f>
        <v>26617832.603080567</v>
      </c>
      <c r="C28" s="61">
        <f>VLOOKUP($A27, 'OPERATING Total Funding'!$A$9:$Z$32,13, FALSE)</f>
        <v>26617832.603080567</v>
      </c>
      <c r="D28" s="20">
        <f t="shared" si="0"/>
        <v>0</v>
      </c>
      <c r="E28" s="62">
        <f t="shared" si="1"/>
        <v>0</v>
      </c>
      <c r="F28" s="16"/>
      <c r="G28" s="63">
        <f>VLOOKUP($A27, 'OPERATING Total Funding'!$A$9:$Z$32,22, FALSE)</f>
        <v>26617832.603080567</v>
      </c>
      <c r="H28" s="20">
        <f t="shared" si="4"/>
        <v>0</v>
      </c>
      <c r="I28" s="62">
        <f t="shared" si="5"/>
        <v>0</v>
      </c>
    </row>
    <row r="29" spans="1:9" x14ac:dyDescent="0.25">
      <c r="A29" s="59" t="s">
        <v>38</v>
      </c>
      <c r="B29" s="60">
        <f>VLOOKUP($A27, 'CAPITAL Summary'!$A$8:$V$33, 3, FALSE)</f>
        <v>1445000</v>
      </c>
      <c r="C29" s="61">
        <f>VLOOKUP($A27, 'CAPITAL Summary'!$A$8:$V$33, 9, FALSE)</f>
        <v>1447700</v>
      </c>
      <c r="D29" s="20">
        <f t="shared" si="0"/>
        <v>2700</v>
      </c>
      <c r="E29" s="62">
        <f t="shared" si="1"/>
        <v>1.8685121107266437E-3</v>
      </c>
      <c r="F29" s="16"/>
      <c r="G29" s="63">
        <f>VLOOKUP($A27, 'CAPITAL Summary'!$A$8:$V$33, 18, FALSE)</f>
        <v>1443150</v>
      </c>
      <c r="H29" s="20">
        <f t="shared" si="4"/>
        <v>-1850</v>
      </c>
      <c r="I29" s="21">
        <f t="shared" si="5"/>
        <v>-1.2802768166089965E-3</v>
      </c>
    </row>
    <row r="30" spans="1:9" ht="15.75" thickBot="1" x14ac:dyDescent="0.3">
      <c r="A30" s="258" t="s">
        <v>39</v>
      </c>
      <c r="B30" s="60">
        <f>VLOOKUP($A27, 'R&amp;R Funding'!$A$8:$L$27, 2, FALSE)</f>
        <v>668784</v>
      </c>
      <c r="C30" s="61">
        <f>VLOOKUP($A27, 'R&amp;R Funding'!$A$8:$L$27, 8, FALSE)</f>
        <v>781017</v>
      </c>
      <c r="D30" s="20">
        <f t="shared" si="0"/>
        <v>112233</v>
      </c>
      <c r="E30" s="62">
        <f t="shared" si="1"/>
        <v>0.16781651474915668</v>
      </c>
      <c r="F30" s="16"/>
      <c r="G30" s="63">
        <f>VLOOKUP($A27, 'R&amp;R Funding'!$A$8:$L$27, 11, FALSE)</f>
        <v>781017</v>
      </c>
      <c r="H30" s="20">
        <f t="shared" si="4"/>
        <v>112233</v>
      </c>
      <c r="I30" s="62">
        <f t="shared" si="5"/>
        <v>0.16781651474915668</v>
      </c>
    </row>
    <row r="31" spans="1:9" x14ac:dyDescent="0.25">
      <c r="A31" s="147" t="s">
        <v>45</v>
      </c>
      <c r="B31" s="53">
        <f>SUM(B32:B34)</f>
        <v>23120283.718158279</v>
      </c>
      <c r="C31" s="54">
        <f>SUM(C32:C34)</f>
        <v>23214474.718158279</v>
      </c>
      <c r="D31" s="55">
        <f t="shared" si="0"/>
        <v>94191</v>
      </c>
      <c r="E31" s="56">
        <f t="shared" si="1"/>
        <v>4.0739551965802215E-3</v>
      </c>
      <c r="F31" s="57"/>
      <c r="G31" s="58">
        <f>SUM(G32:G34)</f>
        <v>23214474.718158279</v>
      </c>
      <c r="H31" s="55">
        <f t="shared" si="4"/>
        <v>94191</v>
      </c>
      <c r="I31" s="56">
        <f t="shared" si="5"/>
        <v>4.0739551965802215E-3</v>
      </c>
    </row>
    <row r="32" spans="1:9" x14ac:dyDescent="0.25">
      <c r="A32" s="59" t="s">
        <v>37</v>
      </c>
      <c r="B32" s="60">
        <f>VLOOKUP($A31, 'OPERATING Total Funding'!$A$9:$O$32,3, FALSE)</f>
        <v>22481327.718158279</v>
      </c>
      <c r="C32" s="61">
        <f>VLOOKUP($A31, 'OPERATING Total Funding'!$A$9:$Z$32,13, FALSE)</f>
        <v>22481327.718158279</v>
      </c>
      <c r="D32" s="20">
        <f t="shared" si="0"/>
        <v>0</v>
      </c>
      <c r="E32" s="62">
        <f t="shared" si="1"/>
        <v>0</v>
      </c>
      <c r="F32" s="16"/>
      <c r="G32" s="63">
        <f>VLOOKUP($A31, 'OPERATING Total Funding'!$A$9:$Z$32,22, FALSE)</f>
        <v>22481327.718158279</v>
      </c>
      <c r="H32" s="20">
        <f t="shared" si="4"/>
        <v>0</v>
      </c>
      <c r="I32" s="62">
        <f t="shared" si="5"/>
        <v>0</v>
      </c>
    </row>
    <row r="33" spans="1:9" x14ac:dyDescent="0.25">
      <c r="A33" s="59" t="s">
        <v>38</v>
      </c>
      <c r="B33" s="60">
        <f>VLOOKUP($A31, 'CAPITAL Summary'!$A$8:$V$33, 3, FALSE)</f>
        <v>0</v>
      </c>
      <c r="C33" s="61">
        <f>VLOOKUP($A31, 'CAPITAL Summary'!$A$8:$V$33, 9, FALSE)</f>
        <v>0</v>
      </c>
      <c r="D33" s="20">
        <f t="shared" ref="D33:D48" si="6">C33-$B33</f>
        <v>0</v>
      </c>
      <c r="E33" s="62" t="str">
        <f t="shared" ref="E33:E48" si="7">IF($B33&gt;0,D33/$B33, "")</f>
        <v/>
      </c>
      <c r="F33" s="16"/>
      <c r="G33" s="63">
        <f>VLOOKUP($A31, 'CAPITAL Summary'!$A$8:$V$33, 18, FALSE)</f>
        <v>0</v>
      </c>
      <c r="H33" s="20">
        <f t="shared" si="4"/>
        <v>0</v>
      </c>
      <c r="I33" s="21" t="str">
        <f t="shared" si="5"/>
        <v/>
      </c>
    </row>
    <row r="34" spans="1:9" x14ac:dyDescent="0.25">
      <c r="A34" s="59" t="s">
        <v>39</v>
      </c>
      <c r="B34" s="60">
        <f>VLOOKUP($A31, 'R&amp;R Funding'!$A$8:$L$27, 2, FALSE)</f>
        <v>638956</v>
      </c>
      <c r="C34" s="61">
        <f>VLOOKUP($A31, 'R&amp;R Funding'!$A$8:$L$27, 8, FALSE)</f>
        <v>733147</v>
      </c>
      <c r="D34" s="20">
        <f t="shared" si="6"/>
        <v>94191</v>
      </c>
      <c r="E34" s="62">
        <f t="shared" si="7"/>
        <v>0.14741390643487187</v>
      </c>
      <c r="F34" s="16"/>
      <c r="G34" s="63">
        <f>VLOOKUP($A31, 'R&amp;R Funding'!$A$8:$L$27, 11, FALSE)</f>
        <v>733147</v>
      </c>
      <c r="H34" s="20">
        <f t="shared" si="4"/>
        <v>94191</v>
      </c>
      <c r="I34" s="62">
        <f t="shared" si="5"/>
        <v>0.14741390643487187</v>
      </c>
    </row>
    <row r="35" spans="1:9" x14ac:dyDescent="0.25">
      <c r="A35" s="52" t="s">
        <v>46</v>
      </c>
      <c r="B35" s="53">
        <f>SUM(B36:B38)</f>
        <v>135393346</v>
      </c>
      <c r="C35" s="54">
        <f>SUM(C36:C38)</f>
        <v>135390461</v>
      </c>
      <c r="D35" s="55">
        <f t="shared" si="6"/>
        <v>-2885</v>
      </c>
      <c r="E35" s="56">
        <f t="shared" si="7"/>
        <v>-2.1308284972881901E-5</v>
      </c>
      <c r="F35" s="57"/>
      <c r="G35" s="58">
        <f>SUM(G36:G38)</f>
        <v>135389947</v>
      </c>
      <c r="H35" s="55">
        <f t="shared" si="4"/>
        <v>-3399</v>
      </c>
      <c r="I35" s="56">
        <f t="shared" si="5"/>
        <v>-2.5104631065104191E-5</v>
      </c>
    </row>
    <row r="36" spans="1:9" x14ac:dyDescent="0.25">
      <c r="A36" s="59" t="s">
        <v>37</v>
      </c>
      <c r="B36" s="60">
        <f>VLOOKUP($A35, 'OPERATING Total Funding'!$A$9:$O$32,3, FALSE)</f>
        <v>128424160</v>
      </c>
      <c r="C36" s="61">
        <f>VLOOKUP($A35, 'OPERATING Total Funding'!$A$9:$Z$32,13, FALSE)</f>
        <v>128424160</v>
      </c>
      <c r="D36" s="20">
        <f t="shared" si="6"/>
        <v>0</v>
      </c>
      <c r="E36" s="62">
        <f t="shared" si="7"/>
        <v>0</v>
      </c>
      <c r="F36" s="16"/>
      <c r="G36" s="63">
        <f>VLOOKUP($A35, 'OPERATING Total Funding'!$A$9:$Z$32,22, FALSE)</f>
        <v>128424160</v>
      </c>
      <c r="H36" s="20">
        <f t="shared" si="4"/>
        <v>0</v>
      </c>
      <c r="I36" s="62">
        <f t="shared" si="5"/>
        <v>0</v>
      </c>
    </row>
    <row r="37" spans="1:9" x14ac:dyDescent="0.25">
      <c r="A37" s="59" t="s">
        <v>38</v>
      </c>
      <c r="B37" s="60">
        <f>VLOOKUP($A35, 'CAPITAL Summary'!$A$8:$V$33, 3, FALSE)</f>
        <v>6969186</v>
      </c>
      <c r="C37" s="61">
        <f>VLOOKUP($A35, 'CAPITAL Summary'!$A$8:$V$33, 9, FALSE)</f>
        <v>6966301</v>
      </c>
      <c r="D37" s="20">
        <f t="shared" si="6"/>
        <v>-2885</v>
      </c>
      <c r="E37" s="62">
        <f t="shared" si="7"/>
        <v>-4.1396513165239095E-4</v>
      </c>
      <c r="F37" s="16"/>
      <c r="G37" s="63">
        <f>VLOOKUP($A35, 'CAPITAL Summary'!$A$8:$V$33, 18, FALSE)</f>
        <v>6965787</v>
      </c>
      <c r="H37" s="20">
        <f t="shared" si="4"/>
        <v>-3399</v>
      </c>
      <c r="I37" s="21">
        <f t="shared" si="5"/>
        <v>-4.8771836481333687E-4</v>
      </c>
    </row>
    <row r="38" spans="1:9" x14ac:dyDescent="0.25">
      <c r="A38" s="59" t="s">
        <v>39</v>
      </c>
      <c r="B38" s="60">
        <v>0</v>
      </c>
      <c r="C38" s="61">
        <v>0</v>
      </c>
      <c r="D38" s="20">
        <f t="shared" si="6"/>
        <v>0</v>
      </c>
      <c r="E38" s="62" t="str">
        <f t="shared" si="7"/>
        <v/>
      </c>
      <c r="F38" s="16"/>
      <c r="G38" s="63">
        <v>0</v>
      </c>
      <c r="H38" s="20">
        <f t="shared" si="4"/>
        <v>0</v>
      </c>
      <c r="I38" s="62" t="str">
        <f t="shared" si="5"/>
        <v/>
      </c>
    </row>
    <row r="39" spans="1:9" x14ac:dyDescent="0.25">
      <c r="A39" s="52" t="s">
        <v>47</v>
      </c>
      <c r="B39" s="53">
        <f>SUM(B40:B41)</f>
        <v>5120388</v>
      </c>
      <c r="C39" s="54">
        <f>SUM(C40:C41)</f>
        <v>5120388</v>
      </c>
      <c r="D39" s="55">
        <f t="shared" si="6"/>
        <v>0</v>
      </c>
      <c r="E39" s="56">
        <f t="shared" si="7"/>
        <v>0</v>
      </c>
      <c r="F39" s="57"/>
      <c r="G39" s="58">
        <f>SUM(G40:G41)</f>
        <v>5120388</v>
      </c>
      <c r="H39" s="55">
        <f t="shared" si="4"/>
        <v>0</v>
      </c>
      <c r="I39" s="56">
        <f t="shared" si="5"/>
        <v>0</v>
      </c>
    </row>
    <row r="40" spans="1:9" x14ac:dyDescent="0.25">
      <c r="A40" s="59" t="s">
        <v>37</v>
      </c>
      <c r="B40" s="60">
        <f>VLOOKUP($A39, 'OPERATING Total Funding'!$A$9:$O$32,3, FALSE)</f>
        <v>5120388</v>
      </c>
      <c r="C40" s="61">
        <f>VLOOKUP($A39, 'OPERATING Total Funding'!$A$9:$Z$32,13, FALSE)</f>
        <v>5120388</v>
      </c>
      <c r="D40" s="20">
        <f t="shared" si="6"/>
        <v>0</v>
      </c>
      <c r="E40" s="62">
        <f t="shared" si="7"/>
        <v>0</v>
      </c>
      <c r="F40" s="16"/>
      <c r="G40" s="63">
        <f>VLOOKUP($A39, 'OPERATING Total Funding'!$A$9:$Z$32,22, FALSE)</f>
        <v>5120388</v>
      </c>
      <c r="H40" s="20">
        <f t="shared" si="4"/>
        <v>0</v>
      </c>
      <c r="I40" s="62">
        <f t="shared" si="5"/>
        <v>0</v>
      </c>
    </row>
    <row r="41" spans="1:9" ht="15.75" thickBot="1" x14ac:dyDescent="0.3">
      <c r="A41" s="59" t="s">
        <v>38</v>
      </c>
      <c r="B41" s="60">
        <f>VLOOKUP($A39, 'CAPITAL Summary'!$A$8:$V$33, 3, FALSE)</f>
        <v>0</v>
      </c>
      <c r="C41" s="61">
        <f>VLOOKUP($A39, 'CAPITAL Summary'!$A$8:$V$33, 9, FALSE)</f>
        <v>0</v>
      </c>
      <c r="D41" s="20">
        <f t="shared" si="6"/>
        <v>0</v>
      </c>
      <c r="E41" s="62" t="str">
        <f t="shared" si="7"/>
        <v/>
      </c>
      <c r="F41" s="16"/>
      <c r="G41" s="63">
        <f>VLOOKUP($A39, 'CAPITAL Summary'!$A$8:$V$33, 18, FALSE)</f>
        <v>0</v>
      </c>
      <c r="H41" s="20">
        <f t="shared" si="4"/>
        <v>0</v>
      </c>
      <c r="I41" s="21" t="str">
        <f t="shared" si="5"/>
        <v/>
      </c>
    </row>
    <row r="42" spans="1:9" x14ac:dyDescent="0.25">
      <c r="A42" s="52" t="s">
        <v>48</v>
      </c>
      <c r="B42" s="53">
        <f>SUM(B43)</f>
        <v>0</v>
      </c>
      <c r="C42" s="54">
        <f>SUM(C43)</f>
        <v>0</v>
      </c>
      <c r="D42" s="55">
        <f t="shared" si="6"/>
        <v>0</v>
      </c>
      <c r="E42" s="56" t="str">
        <f t="shared" si="7"/>
        <v/>
      </c>
      <c r="F42" s="57"/>
      <c r="G42" s="58">
        <f>SUM(G43)</f>
        <v>0</v>
      </c>
      <c r="H42" s="55">
        <f t="shared" si="4"/>
        <v>0</v>
      </c>
      <c r="I42" s="56" t="str">
        <f t="shared" si="5"/>
        <v/>
      </c>
    </row>
    <row r="43" spans="1:9" x14ac:dyDescent="0.25">
      <c r="A43" s="59" t="s">
        <v>38</v>
      </c>
      <c r="B43" s="60">
        <v>0</v>
      </c>
      <c r="C43" s="61">
        <v>0</v>
      </c>
      <c r="D43" s="20">
        <f t="shared" si="6"/>
        <v>0</v>
      </c>
      <c r="E43" s="62" t="str">
        <f t="shared" si="7"/>
        <v/>
      </c>
      <c r="F43" s="16"/>
      <c r="G43" s="63">
        <v>0</v>
      </c>
      <c r="H43" s="20">
        <f t="shared" si="4"/>
        <v>0</v>
      </c>
      <c r="I43" s="21" t="str">
        <f t="shared" si="5"/>
        <v/>
      </c>
    </row>
    <row r="44" spans="1:9" ht="15.75" customHeight="1" thickTop="1" x14ac:dyDescent="0.25">
      <c r="A44" s="64" t="s">
        <v>234</v>
      </c>
      <c r="B44" s="256">
        <f>SUM(B45:B48)</f>
        <v>651829335.39658892</v>
      </c>
      <c r="C44" s="65">
        <f>SUM(C45:C48)</f>
        <v>653559255.83658886</v>
      </c>
      <c r="D44" s="66">
        <f t="shared" si="6"/>
        <v>1729920.439999938</v>
      </c>
      <c r="E44" s="67">
        <f t="shared" si="7"/>
        <v>2.653946893855908E-3</v>
      </c>
      <c r="F44" s="30"/>
      <c r="G44" s="68">
        <f>SUM(G45:G48)</f>
        <v>653547641.09658897</v>
      </c>
      <c r="H44" s="66">
        <f t="shared" si="4"/>
        <v>1718305.7000000477</v>
      </c>
      <c r="I44" s="67">
        <f t="shared" si="5"/>
        <v>2.636128211312534E-3</v>
      </c>
    </row>
    <row r="45" spans="1:9" x14ac:dyDescent="0.25">
      <c r="A45" s="69" t="s">
        <v>37</v>
      </c>
      <c r="B45" s="257">
        <f>SUM(B8,B12,B16,B20,B24,B28,B32,B36,B40)</f>
        <v>580979028.39658892</v>
      </c>
      <c r="C45" s="70">
        <f>SUM(C8,C12,C16,C20,C24,C28,C32,C36,C40)</f>
        <v>580979028.39658892</v>
      </c>
      <c r="D45" s="71">
        <f t="shared" si="6"/>
        <v>0</v>
      </c>
      <c r="E45" s="72">
        <f t="shared" si="7"/>
        <v>0</v>
      </c>
      <c r="F45" s="16"/>
      <c r="G45" s="70">
        <f>SUM(G8,G12,G16,G20,G24,G28,G32,G36,G40)</f>
        <v>580979028.39658892</v>
      </c>
      <c r="H45" s="71">
        <f>G45-$B45</f>
        <v>0</v>
      </c>
      <c r="I45" s="72">
        <f t="shared" si="5"/>
        <v>0</v>
      </c>
    </row>
    <row r="46" spans="1:9" x14ac:dyDescent="0.25">
      <c r="A46" s="69" t="s">
        <v>38</v>
      </c>
      <c r="B46" s="257">
        <f>SUM(B9,B13,B17,B21,B25,B29,B33,B37,B41)</f>
        <v>36293141</v>
      </c>
      <c r="C46" s="70">
        <f>SUM(C9,C13,C17,C21,C25,C29,C33,C37,C41)</f>
        <v>34271826.439999998</v>
      </c>
      <c r="D46" s="71">
        <f t="shared" si="6"/>
        <v>-2021314.5600000024</v>
      </c>
      <c r="E46" s="72">
        <f t="shared" si="7"/>
        <v>-5.569412027468227E-2</v>
      </c>
      <c r="F46" s="16"/>
      <c r="G46" s="70">
        <f>SUM(G9,G13,G17,G21,G25,G29,G33,G37,G41)</f>
        <v>34260211.700000003</v>
      </c>
      <c r="H46" s="71">
        <f>G46-$B46</f>
        <v>-2032929.299999997</v>
      </c>
      <c r="I46" s="73">
        <f t="shared" si="5"/>
        <v>-5.6014146033819365E-2</v>
      </c>
    </row>
    <row r="47" spans="1:9" x14ac:dyDescent="0.25">
      <c r="A47" s="69" t="s">
        <v>39</v>
      </c>
      <c r="B47" s="257">
        <f>SUM(B10,B14,B18,B22,B26,B30,B34,B38)</f>
        <v>18886280</v>
      </c>
      <c r="C47" s="70">
        <f>SUM(C10,C14,C18,C22,C26,C30,C34,C38)</f>
        <v>22021310</v>
      </c>
      <c r="D47" s="71">
        <f t="shared" si="6"/>
        <v>3135030</v>
      </c>
      <c r="E47" s="72">
        <f t="shared" si="7"/>
        <v>0.16599510332368259</v>
      </c>
      <c r="F47" s="16"/>
      <c r="G47" s="70">
        <f>SUM(G10,G14,G18,G22,G26,G30,G34,G38)</f>
        <v>22021310</v>
      </c>
      <c r="H47" s="71">
        <f>G47-$B47</f>
        <v>3135030</v>
      </c>
      <c r="I47" s="72">
        <f t="shared" si="5"/>
        <v>0.16599510332368259</v>
      </c>
    </row>
    <row r="48" spans="1:9" ht="15.75" thickBot="1" x14ac:dyDescent="0.3">
      <c r="A48" s="69" t="s">
        <v>49</v>
      </c>
      <c r="B48" s="257">
        <f>'LINE ITEM Requests'!C28</f>
        <v>15670886</v>
      </c>
      <c r="C48" s="70">
        <f>'LINE ITEM Requests'!F28</f>
        <v>16287091</v>
      </c>
      <c r="D48" s="71">
        <f t="shared" si="6"/>
        <v>616205</v>
      </c>
      <c r="E48" s="72">
        <f t="shared" si="7"/>
        <v>3.9321643970864184E-2</v>
      </c>
      <c r="F48" s="16"/>
      <c r="G48" s="70">
        <f>'LINE ITEM Requests'!M28</f>
        <v>16287091</v>
      </c>
      <c r="H48" s="71">
        <f t="shared" si="4"/>
        <v>616205</v>
      </c>
      <c r="I48" s="73">
        <f t="shared" si="5"/>
        <v>3.9321643970864184E-2</v>
      </c>
    </row>
    <row r="49" spans="1:9" ht="15.75" customHeight="1" thickBot="1" x14ac:dyDescent="0.3">
      <c r="A49" s="74"/>
      <c r="B49" s="75"/>
      <c r="C49" s="76"/>
      <c r="D49" s="76"/>
      <c r="E49" s="77"/>
      <c r="F49" s="78"/>
      <c r="G49" s="76"/>
      <c r="H49" s="76"/>
      <c r="I49" s="79"/>
    </row>
    <row r="50" spans="1:9" x14ac:dyDescent="0.25">
      <c r="A50" s="52" t="s">
        <v>50</v>
      </c>
      <c r="B50" s="53">
        <f>SUM(B51:B53)</f>
        <v>276254938.37694466</v>
      </c>
      <c r="C50" s="54">
        <f>SUM(C51:C53)</f>
        <v>295796045.37694466</v>
      </c>
      <c r="D50" s="55">
        <f t="shared" ref="D50:D74" si="8">C50-$B50</f>
        <v>19541107</v>
      </c>
      <c r="E50" s="56">
        <f t="shared" ref="E50:E74" si="9">IF($B50&gt;0,D50/$B50, "")</f>
        <v>7.0735774407538476E-2</v>
      </c>
      <c r="F50" s="57"/>
      <c r="G50" s="58">
        <f>SUM(G51:G53)</f>
        <v>292451795.37694466</v>
      </c>
      <c r="H50" s="55">
        <f t="shared" ref="H50:H74" si="10">G50-$B50</f>
        <v>16196857</v>
      </c>
      <c r="I50" s="56">
        <f t="shared" ref="I50:I74" si="11">IF($B50&gt;0,H50/$B50, "")</f>
        <v>5.8630108461263757E-2</v>
      </c>
    </row>
    <row r="51" spans="1:9" x14ac:dyDescent="0.25">
      <c r="A51" s="59" t="s">
        <v>37</v>
      </c>
      <c r="B51" s="60">
        <f>VLOOKUP($A50, 'OPERATING Total Funding'!$A$9:$O$32,3, FALSE)</f>
        <v>235971844.37694469</v>
      </c>
      <c r="C51" s="61">
        <f>VLOOKUP($A50, 'OPERATING Total Funding'!$A$9:$Z$32,13, FALSE)</f>
        <v>252971844.37694469</v>
      </c>
      <c r="D51" s="20">
        <f t="shared" si="8"/>
        <v>17000000</v>
      </c>
      <c r="E51" s="62">
        <f t="shared" si="9"/>
        <v>7.2042493225776397E-2</v>
      </c>
      <c r="F51" s="16"/>
      <c r="G51" s="63">
        <f>VLOOKUP($A50, 'OPERATING Total Funding'!$A$9:$Z$32,22, FALSE)</f>
        <v>252971844.37694469</v>
      </c>
      <c r="H51" s="20">
        <f t="shared" si="10"/>
        <v>17000000</v>
      </c>
      <c r="I51" s="62">
        <f t="shared" si="11"/>
        <v>7.2042493225776397E-2</v>
      </c>
    </row>
    <row r="52" spans="1:9" x14ac:dyDescent="0.25">
      <c r="A52" s="59" t="s">
        <v>38</v>
      </c>
      <c r="B52" s="60">
        <f>VLOOKUP($A50, 'CAPITAL Summary'!$A$8:$V$33, 3, FALSE)</f>
        <v>27982200</v>
      </c>
      <c r="C52" s="61">
        <f>VLOOKUP($A50, 'CAPITAL Summary'!$A$8:$V$33, 9, FALSE)</f>
        <v>27485700</v>
      </c>
      <c r="D52" s="20">
        <f t="shared" si="8"/>
        <v>-496500</v>
      </c>
      <c r="E52" s="62">
        <f t="shared" si="9"/>
        <v>-1.774342260436992E-2</v>
      </c>
      <c r="F52" s="16"/>
      <c r="G52" s="63">
        <f>VLOOKUP($A50, 'CAPITAL Summary'!$A$8:$V$33, 18, FALSE)</f>
        <v>24141450</v>
      </c>
      <c r="H52" s="20">
        <f t="shared" si="10"/>
        <v>-3840750</v>
      </c>
      <c r="I52" s="21">
        <f t="shared" si="11"/>
        <v>-0.13725689902866822</v>
      </c>
    </row>
    <row r="53" spans="1:9" x14ac:dyDescent="0.25">
      <c r="A53" s="59" t="s">
        <v>39</v>
      </c>
      <c r="B53" s="60">
        <f>VLOOKUP($A50, 'R&amp;R Funding'!$A$8:$L$27, 2, FALSE)</f>
        <v>12300894</v>
      </c>
      <c r="C53" s="61">
        <f>VLOOKUP($A50, 'R&amp;R Funding'!$A$8:$L$27, 8, FALSE)</f>
        <v>15338501</v>
      </c>
      <c r="D53" s="20">
        <f t="shared" si="8"/>
        <v>3037607</v>
      </c>
      <c r="E53" s="62">
        <f t="shared" si="9"/>
        <v>0.24694197023403339</v>
      </c>
      <c r="F53" s="16"/>
      <c r="G53" s="63">
        <f>VLOOKUP($A50, 'R&amp;R Funding'!$A$8:$L$27, 11, FALSE)</f>
        <v>15338501</v>
      </c>
      <c r="H53" s="20">
        <f t="shared" si="10"/>
        <v>3037607</v>
      </c>
      <c r="I53" s="62">
        <f t="shared" si="11"/>
        <v>0.24694197023403339</v>
      </c>
    </row>
    <row r="54" spans="1:9" x14ac:dyDescent="0.25">
      <c r="A54" s="52" t="s">
        <v>51</v>
      </c>
      <c r="B54" s="53">
        <f>SUM(B55:B57)</f>
        <v>55793127.826272801</v>
      </c>
      <c r="C54" s="54">
        <f>SUM(C55:C57)</f>
        <v>56007071.826272801</v>
      </c>
      <c r="D54" s="55">
        <f t="shared" si="8"/>
        <v>213944</v>
      </c>
      <c r="E54" s="56">
        <f t="shared" si="9"/>
        <v>3.8345941218096481E-3</v>
      </c>
      <c r="F54" s="57"/>
      <c r="G54" s="58">
        <f>SUM(G55:G57)</f>
        <v>56006571.826272801</v>
      </c>
      <c r="H54" s="55">
        <f t="shared" si="10"/>
        <v>213444</v>
      </c>
      <c r="I54" s="56">
        <f t="shared" si="11"/>
        <v>3.8256324446375618E-3</v>
      </c>
    </row>
    <row r="55" spans="1:9" x14ac:dyDescent="0.25">
      <c r="A55" s="59" t="s">
        <v>37</v>
      </c>
      <c r="B55" s="60">
        <f>VLOOKUP($A54, 'OPERATING Total Funding'!$A$9:$O$32,3, FALSE)</f>
        <v>50661478.826272801</v>
      </c>
      <c r="C55" s="61">
        <f>VLOOKUP($A54, 'OPERATING Total Funding'!$A$9:$Z$32,13, FALSE)</f>
        <v>50661478.826272801</v>
      </c>
      <c r="D55" s="20">
        <f t="shared" si="8"/>
        <v>0</v>
      </c>
      <c r="E55" s="62">
        <f t="shared" si="9"/>
        <v>0</v>
      </c>
      <c r="F55" s="16"/>
      <c r="G55" s="63">
        <f>VLOOKUP($A54, 'OPERATING Total Funding'!$A$9:$Z$32,22, FALSE)</f>
        <v>50661478.826272801</v>
      </c>
      <c r="H55" s="20">
        <f t="shared" si="10"/>
        <v>0</v>
      </c>
      <c r="I55" s="62">
        <f t="shared" si="11"/>
        <v>0</v>
      </c>
    </row>
    <row r="56" spans="1:9" x14ac:dyDescent="0.25">
      <c r="A56" s="59" t="s">
        <v>38</v>
      </c>
      <c r="B56" s="60">
        <f>VLOOKUP($A54, 'CAPITAL Summary'!$A$8:$V$33, 3, FALSE)</f>
        <v>3788430</v>
      </c>
      <c r="C56" s="61">
        <f>VLOOKUP($A54, 'CAPITAL Summary'!$A$8:$V$33, 9, FALSE)</f>
        <v>3781240</v>
      </c>
      <c r="D56" s="20">
        <f t="shared" si="8"/>
        <v>-7190</v>
      </c>
      <c r="E56" s="62">
        <f t="shared" si="9"/>
        <v>-1.8978838199465214E-3</v>
      </c>
      <c r="F56" s="16"/>
      <c r="G56" s="63">
        <f>VLOOKUP($A54, 'CAPITAL Summary'!$A$8:$V$33, 18, FALSE)</f>
        <v>3780740</v>
      </c>
      <c r="H56" s="20">
        <f t="shared" si="10"/>
        <v>-7690</v>
      </c>
      <c r="I56" s="21">
        <f t="shared" si="11"/>
        <v>-2.0298646141013559E-3</v>
      </c>
    </row>
    <row r="57" spans="1:9" x14ac:dyDescent="0.25">
      <c r="A57" s="59" t="s">
        <v>39</v>
      </c>
      <c r="B57" s="60">
        <f>VLOOKUP($A54, 'R&amp;R Funding'!$A$8:$L$27, 2, FALSE)</f>
        <v>1343219</v>
      </c>
      <c r="C57" s="61">
        <f>VLOOKUP($A54, 'R&amp;R Funding'!$A$8:$L$27, 8, FALSE)</f>
        <v>1564353</v>
      </c>
      <c r="D57" s="20">
        <f t="shared" si="8"/>
        <v>221134</v>
      </c>
      <c r="E57" s="62">
        <f t="shared" si="9"/>
        <v>0.16462989281718021</v>
      </c>
      <c r="F57" s="16"/>
      <c r="G57" s="63">
        <f>VLOOKUP($A54, 'R&amp;R Funding'!$A$8:$L$27, 11, FALSE)</f>
        <v>1564353</v>
      </c>
      <c r="H57" s="20">
        <f t="shared" si="10"/>
        <v>221134</v>
      </c>
      <c r="I57" s="62">
        <f t="shared" si="11"/>
        <v>0.16462989281718021</v>
      </c>
    </row>
    <row r="58" spans="1:9" x14ac:dyDescent="0.25">
      <c r="A58" s="52" t="s">
        <v>52</v>
      </c>
      <c r="B58" s="53">
        <f>SUM(B59:B60)</f>
        <v>18973866</v>
      </c>
      <c r="C58" s="54">
        <f>SUM(C59:C60)</f>
        <v>18973866</v>
      </c>
      <c r="D58" s="55">
        <f t="shared" si="8"/>
        <v>0</v>
      </c>
      <c r="E58" s="56">
        <f t="shared" si="9"/>
        <v>0</v>
      </c>
      <c r="F58" s="57"/>
      <c r="G58" s="58">
        <f>SUM(G59:G60)</f>
        <v>18973866</v>
      </c>
      <c r="H58" s="55">
        <f t="shared" si="10"/>
        <v>0</v>
      </c>
      <c r="I58" s="56">
        <f t="shared" si="11"/>
        <v>0</v>
      </c>
    </row>
    <row r="59" spans="1:9" x14ac:dyDescent="0.25">
      <c r="A59" s="59" t="s">
        <v>37</v>
      </c>
      <c r="B59" s="60">
        <f>VLOOKUP($A58, 'OPERATING Total Funding'!$A$9:$O$32,3, FALSE)</f>
        <v>18973866</v>
      </c>
      <c r="C59" s="61">
        <f>VLOOKUP($A58, 'OPERATING Total Funding'!$A$9:$Z$32,13, FALSE)</f>
        <v>18973866</v>
      </c>
      <c r="D59" s="20">
        <f t="shared" si="8"/>
        <v>0</v>
      </c>
      <c r="E59" s="62">
        <f t="shared" si="9"/>
        <v>0</v>
      </c>
      <c r="F59" s="16"/>
      <c r="G59" s="63">
        <f>VLOOKUP($A58, 'OPERATING Total Funding'!$A$9:$Z$32,22, FALSE)</f>
        <v>18973866</v>
      </c>
      <c r="H59" s="20">
        <f t="shared" si="10"/>
        <v>0</v>
      </c>
      <c r="I59" s="62">
        <f t="shared" si="11"/>
        <v>0</v>
      </c>
    </row>
    <row r="60" spans="1:9" ht="15.75" thickBot="1" x14ac:dyDescent="0.3">
      <c r="A60" s="59" t="s">
        <v>38</v>
      </c>
      <c r="B60" s="60">
        <f>VLOOKUP($A58, 'CAPITAL Summary'!$A$8:$V$33, 3, FALSE)</f>
        <v>0</v>
      </c>
      <c r="C60" s="61">
        <f>VLOOKUP($A58, 'CAPITAL Summary'!$A$8:$V$33, 9, FALSE)</f>
        <v>0</v>
      </c>
      <c r="D60" s="20">
        <f t="shared" si="8"/>
        <v>0</v>
      </c>
      <c r="E60" s="62" t="str">
        <f t="shared" si="9"/>
        <v/>
      </c>
      <c r="F60" s="16"/>
      <c r="G60" s="63">
        <f>VLOOKUP($A58, 'CAPITAL Summary'!$A$8:$V$33, 18, FALSE)</f>
        <v>0</v>
      </c>
      <c r="H60" s="20">
        <f t="shared" si="10"/>
        <v>0</v>
      </c>
      <c r="I60" s="21" t="str">
        <f t="shared" si="11"/>
        <v/>
      </c>
    </row>
    <row r="61" spans="1:9" x14ac:dyDescent="0.25">
      <c r="A61" s="52" t="s">
        <v>229</v>
      </c>
      <c r="B61" s="53">
        <f>SUM(B62:B63)</f>
        <v>17000000</v>
      </c>
      <c r="C61" s="54">
        <f>SUM(C62:C63)</f>
        <v>0</v>
      </c>
      <c r="D61" s="55">
        <f t="shared" ref="D61:D62" si="12">C61-$B61</f>
        <v>-17000000</v>
      </c>
      <c r="E61" s="56">
        <f t="shared" ref="E61:E63" si="13">IF($B61&gt;0,D61/$B61, "")</f>
        <v>-1</v>
      </c>
      <c r="F61" s="57"/>
      <c r="G61" s="58">
        <f>SUM(G62:G63)</f>
        <v>0</v>
      </c>
      <c r="H61" s="55">
        <f t="shared" ref="H61:H62" si="14">G61-$B61</f>
        <v>-17000000</v>
      </c>
      <c r="I61" s="56">
        <f t="shared" ref="I61:I62" si="15">IF($B61&gt;0,H61/$B61, "")</f>
        <v>-1</v>
      </c>
    </row>
    <row r="62" spans="1:9" x14ac:dyDescent="0.25">
      <c r="A62" s="59" t="s">
        <v>37</v>
      </c>
      <c r="B62" s="60">
        <f>VLOOKUP($A61, 'OPERATING Total Funding'!$A$9:$O$32,3, FALSE)</f>
        <v>17000000</v>
      </c>
      <c r="C62" s="61">
        <f>VLOOKUP($A61, 'OPERATING Total Funding'!$A$9:$Z$32,13, FALSE)</f>
        <v>0</v>
      </c>
      <c r="D62" s="20">
        <f t="shared" si="12"/>
        <v>-17000000</v>
      </c>
      <c r="E62" s="62">
        <f t="shared" si="13"/>
        <v>-1</v>
      </c>
      <c r="F62" s="16"/>
      <c r="G62" s="63">
        <f>VLOOKUP($A61, 'OPERATING Total Funding'!$A$9:$Z$32,22, FALSE)</f>
        <v>0</v>
      </c>
      <c r="H62" s="20">
        <f t="shared" si="14"/>
        <v>-17000000</v>
      </c>
      <c r="I62" s="62">
        <f t="shared" si="15"/>
        <v>-1</v>
      </c>
    </row>
    <row r="63" spans="1:9" ht="15.75" thickBot="1" x14ac:dyDescent="0.3">
      <c r="A63" s="59" t="s">
        <v>38</v>
      </c>
      <c r="B63" s="60">
        <v>0</v>
      </c>
      <c r="C63" s="61">
        <v>0</v>
      </c>
      <c r="D63" s="20">
        <v>0</v>
      </c>
      <c r="E63" s="62" t="str">
        <f t="shared" si="13"/>
        <v/>
      </c>
      <c r="F63" s="16"/>
      <c r="G63" s="63">
        <v>0</v>
      </c>
      <c r="H63" s="20">
        <v>0</v>
      </c>
      <c r="I63" s="21"/>
    </row>
    <row r="64" spans="1:9" x14ac:dyDescent="0.25">
      <c r="A64" s="52" t="s">
        <v>53</v>
      </c>
      <c r="B64" s="53">
        <f>SUM(B65:B67)</f>
        <v>51941796.772700101</v>
      </c>
      <c r="C64" s="54">
        <f>SUM(C65:C67)</f>
        <v>52185710.772700101</v>
      </c>
      <c r="D64" s="55">
        <f t="shared" si="8"/>
        <v>243914</v>
      </c>
      <c r="E64" s="56">
        <f t="shared" si="9"/>
        <v>4.6959099444976822E-3</v>
      </c>
      <c r="F64" s="57"/>
      <c r="G64" s="58">
        <f>SUM(G65:G67)</f>
        <v>52182210.772700101</v>
      </c>
      <c r="H64" s="55">
        <f t="shared" si="10"/>
        <v>240414</v>
      </c>
      <c r="I64" s="56">
        <f t="shared" si="11"/>
        <v>4.6285268307537314E-3</v>
      </c>
    </row>
    <row r="65" spans="1:12" x14ac:dyDescent="0.25">
      <c r="A65" s="59" t="s">
        <v>37</v>
      </c>
      <c r="B65" s="60">
        <f>VLOOKUP($A64, 'OPERATING Total Funding'!$A$9:$O$32,3, FALSE)</f>
        <v>47438548.772700101</v>
      </c>
      <c r="C65" s="61">
        <f>VLOOKUP($A64, 'OPERATING Total Funding'!$A$9:$Z$32,13, FALSE)</f>
        <v>47438548.772700101</v>
      </c>
      <c r="D65" s="20">
        <f t="shared" si="8"/>
        <v>0</v>
      </c>
      <c r="E65" s="62">
        <f t="shared" si="9"/>
        <v>0</v>
      </c>
      <c r="F65" s="16"/>
      <c r="G65" s="63">
        <f>VLOOKUP($A64, 'OPERATING Total Funding'!$A$9:$Z$32,22, FALSE)</f>
        <v>47438548.772700101</v>
      </c>
      <c r="H65" s="20">
        <f t="shared" si="10"/>
        <v>0</v>
      </c>
      <c r="I65" s="62">
        <f t="shared" si="11"/>
        <v>0</v>
      </c>
    </row>
    <row r="66" spans="1:12" x14ac:dyDescent="0.25">
      <c r="A66" s="59" t="s">
        <v>38</v>
      </c>
      <c r="B66" s="60">
        <f>VLOOKUP($A64, 'CAPITAL Summary'!$A$8:$V$33, 3, FALSE)</f>
        <v>3046250</v>
      </c>
      <c r="C66" s="61">
        <f>VLOOKUP($A64, 'CAPITAL Summary'!$A$8:$V$33, 9, FALSE)</f>
        <v>3044250</v>
      </c>
      <c r="D66" s="20">
        <f t="shared" si="8"/>
        <v>-2000</v>
      </c>
      <c r="E66" s="62">
        <f t="shared" si="9"/>
        <v>-6.5654493229380391E-4</v>
      </c>
      <c r="F66" s="16"/>
      <c r="G66" s="63">
        <f>VLOOKUP($A64, 'CAPITAL Summary'!$A$8:$V$33, 18, FALSE)</f>
        <v>3040750</v>
      </c>
      <c r="H66" s="20">
        <f t="shared" si="10"/>
        <v>-5500</v>
      </c>
      <c r="I66" s="21">
        <f t="shared" si="11"/>
        <v>-1.8054985638079606E-3</v>
      </c>
    </row>
    <row r="67" spans="1:12" x14ac:dyDescent="0.25">
      <c r="A67" s="59" t="s">
        <v>39</v>
      </c>
      <c r="B67" s="60">
        <f>VLOOKUP($A64, 'R&amp;R Funding'!$A$8:$L$27, 2, FALSE)</f>
        <v>1456998</v>
      </c>
      <c r="C67" s="61">
        <f>VLOOKUP($A64, 'R&amp;R Funding'!$A$8:$L$27, 8, FALSE)</f>
        <v>1702912</v>
      </c>
      <c r="D67" s="20">
        <f t="shared" si="8"/>
        <v>245914</v>
      </c>
      <c r="E67" s="62">
        <f t="shared" si="9"/>
        <v>0.16878128864967556</v>
      </c>
      <c r="F67" s="16"/>
      <c r="G67" s="63">
        <f>VLOOKUP($A64, 'R&amp;R Funding'!$A$8:$L$27, 11, FALSE)</f>
        <v>1702912</v>
      </c>
      <c r="H67" s="20">
        <f t="shared" si="10"/>
        <v>245914</v>
      </c>
      <c r="I67" s="62">
        <f t="shared" si="11"/>
        <v>0.16878128864967556</v>
      </c>
    </row>
    <row r="68" spans="1:12" x14ac:dyDescent="0.25">
      <c r="A68" s="52" t="s">
        <v>54</v>
      </c>
      <c r="B68" s="53">
        <f>SUM(B69)</f>
        <v>0</v>
      </c>
      <c r="C68" s="54">
        <f>SUM(C69)</f>
        <v>0</v>
      </c>
      <c r="D68" s="55">
        <f t="shared" si="8"/>
        <v>0</v>
      </c>
      <c r="E68" s="56" t="str">
        <f t="shared" si="9"/>
        <v/>
      </c>
      <c r="F68" s="57"/>
      <c r="G68" s="58">
        <f>SUM(G69)</f>
        <v>0</v>
      </c>
      <c r="H68" s="55">
        <f t="shared" si="10"/>
        <v>0</v>
      </c>
      <c r="I68" s="56" t="str">
        <f t="shared" si="11"/>
        <v/>
      </c>
    </row>
    <row r="69" spans="1:12" x14ac:dyDescent="0.25">
      <c r="A69" s="59" t="s">
        <v>38</v>
      </c>
      <c r="B69" s="60">
        <v>0</v>
      </c>
      <c r="C69" s="61">
        <v>0</v>
      </c>
      <c r="D69" s="20">
        <f t="shared" si="8"/>
        <v>0</v>
      </c>
      <c r="E69" s="62" t="str">
        <f t="shared" si="9"/>
        <v/>
      </c>
      <c r="F69" s="16"/>
      <c r="G69" s="63">
        <v>0</v>
      </c>
      <c r="H69" s="20">
        <f t="shared" si="10"/>
        <v>0</v>
      </c>
      <c r="I69" s="21" t="str">
        <f t="shared" si="11"/>
        <v/>
      </c>
    </row>
    <row r="70" spans="1:12" ht="15.75" customHeight="1" thickTop="1" x14ac:dyDescent="0.25">
      <c r="A70" s="64" t="s">
        <v>235</v>
      </c>
      <c r="B70" s="256">
        <f>SUM(B71:B74)</f>
        <v>454671406.97591758</v>
      </c>
      <c r="C70" s="65">
        <f>SUM(C71:C74)</f>
        <v>452799306.97591758</v>
      </c>
      <c r="D70" s="66">
        <f t="shared" si="8"/>
        <v>-1872100</v>
      </c>
      <c r="E70" s="67">
        <f t="shared" si="9"/>
        <v>-4.1174790657094451E-3</v>
      </c>
      <c r="F70" s="30"/>
      <c r="G70" s="68">
        <f>SUM(G71:G74)</f>
        <v>449451056.97591758</v>
      </c>
      <c r="H70" s="66">
        <f t="shared" si="10"/>
        <v>-5220350</v>
      </c>
      <c r="I70" s="67">
        <f t="shared" si="11"/>
        <v>-1.1481588505248812E-2</v>
      </c>
    </row>
    <row r="71" spans="1:12" x14ac:dyDescent="0.25">
      <c r="A71" s="69" t="s">
        <v>37</v>
      </c>
      <c r="B71" s="257">
        <f>SUM(B51,B55,B59,B62,B65)</f>
        <v>370045737.97591758</v>
      </c>
      <c r="C71" s="70">
        <f>SUM(C51,C55,C59,C62,C65)</f>
        <v>370045737.97591758</v>
      </c>
      <c r="D71" s="70">
        <f>C71-$B71</f>
        <v>0</v>
      </c>
      <c r="E71" s="72">
        <f t="shared" si="9"/>
        <v>0</v>
      </c>
      <c r="F71" s="16"/>
      <c r="G71" s="80">
        <f>SUM(G51,G55,G59,G62,G65)</f>
        <v>370045737.97591758</v>
      </c>
      <c r="H71" s="71">
        <f t="shared" si="10"/>
        <v>0</v>
      </c>
      <c r="I71" s="72">
        <f t="shared" si="11"/>
        <v>0</v>
      </c>
    </row>
    <row r="72" spans="1:12" x14ac:dyDescent="0.25">
      <c r="A72" s="69" t="s">
        <v>38</v>
      </c>
      <c r="B72" s="257">
        <f>SUM(B52,B56,B60,B66,B69)</f>
        <v>34816880</v>
      </c>
      <c r="C72" s="70">
        <f>SUM(C52,C56,C60,C66,C69)</f>
        <v>34311190</v>
      </c>
      <c r="D72" s="71">
        <f t="shared" si="8"/>
        <v>-505690</v>
      </c>
      <c r="E72" s="72">
        <f t="shared" si="9"/>
        <v>-1.4524276730137795E-2</v>
      </c>
      <c r="F72" s="16"/>
      <c r="G72" s="80">
        <f>SUM(G52,G56,G60,G66,G69)</f>
        <v>30962940</v>
      </c>
      <c r="H72" s="71">
        <f t="shared" si="10"/>
        <v>-3853940</v>
      </c>
      <c r="I72" s="73">
        <f t="shared" si="11"/>
        <v>-0.11069171045768604</v>
      </c>
    </row>
    <row r="73" spans="1:12" x14ac:dyDescent="0.25">
      <c r="A73" s="69" t="s">
        <v>39</v>
      </c>
      <c r="B73" s="257">
        <f>SUM(B53,B57,B67)</f>
        <v>15101111</v>
      </c>
      <c r="C73" s="70">
        <f>SUM(C53,C57,C67)</f>
        <v>18605766</v>
      </c>
      <c r="D73" s="71">
        <f t="shared" si="8"/>
        <v>3504655</v>
      </c>
      <c r="E73" s="72">
        <f t="shared" si="9"/>
        <v>0.23207928211374645</v>
      </c>
      <c r="F73" s="16"/>
      <c r="G73" s="80">
        <f>SUM(G53,G57,G67)</f>
        <v>18605766</v>
      </c>
      <c r="H73" s="71">
        <f t="shared" si="10"/>
        <v>3504655</v>
      </c>
      <c r="I73" s="72">
        <f t="shared" si="11"/>
        <v>0.23207928211374645</v>
      </c>
    </row>
    <row r="74" spans="1:12" x14ac:dyDescent="0.25">
      <c r="A74" s="69" t="s">
        <v>49</v>
      </c>
      <c r="B74" s="257">
        <f>'LINE ITEM Requests'!C16</f>
        <v>34707678</v>
      </c>
      <c r="C74" s="70">
        <f>'LINE ITEM Requests'!F16</f>
        <v>29836613</v>
      </c>
      <c r="D74" s="71">
        <f t="shared" si="8"/>
        <v>-4871065</v>
      </c>
      <c r="E74" s="72">
        <f t="shared" si="9"/>
        <v>-0.14034545900765819</v>
      </c>
      <c r="F74" s="16"/>
      <c r="G74" s="80">
        <f>'LINE ITEM Requests'!M16</f>
        <v>29836613</v>
      </c>
      <c r="H74" s="71">
        <f t="shared" si="10"/>
        <v>-4871065</v>
      </c>
      <c r="I74" s="73">
        <f t="shared" si="11"/>
        <v>-0.14034545900765819</v>
      </c>
    </row>
    <row r="75" spans="1:12" ht="15.75" customHeight="1" thickBot="1" x14ac:dyDescent="0.3">
      <c r="A75" s="74"/>
      <c r="B75" s="75"/>
      <c r="C75" s="76"/>
      <c r="D75" s="76"/>
      <c r="E75" s="77"/>
      <c r="F75" s="78"/>
      <c r="G75" s="76"/>
      <c r="H75" s="76"/>
      <c r="I75" s="79"/>
    </row>
    <row r="76" spans="1:12" x14ac:dyDescent="0.25">
      <c r="A76" s="52" t="s">
        <v>55</v>
      </c>
      <c r="B76" s="53">
        <f>SUM(B77:B80)</f>
        <v>171889383.73652273</v>
      </c>
      <c r="C76" s="54">
        <f>SUM(C77:C80)</f>
        <v>172431416.23652273</v>
      </c>
      <c r="D76" s="55">
        <f>C76-$B76</f>
        <v>542032.5</v>
      </c>
      <c r="E76" s="56">
        <f t="shared" ref="E76:E80" si="16">IF($B76&gt;0,D76/$B76, "")</f>
        <v>3.1533797388606844E-3</v>
      </c>
      <c r="F76" s="57"/>
      <c r="G76" s="58">
        <f>SUM(G77:G80)</f>
        <v>170919541.23652273</v>
      </c>
      <c r="H76" s="55">
        <f t="shared" ref="H76:H80" si="17">G76-$B76</f>
        <v>-969842.5</v>
      </c>
      <c r="I76" s="56">
        <f t="shared" ref="I76:I80" si="18">IF($B76&gt;0,H76/$B76, "")</f>
        <v>-5.6422478161106447E-3</v>
      </c>
      <c r="K76" s="225"/>
      <c r="L76" s="225"/>
    </row>
    <row r="77" spans="1:12" x14ac:dyDescent="0.25">
      <c r="A77" s="59" t="s">
        <v>37</v>
      </c>
      <c r="B77" s="60">
        <f>VLOOKUP($A76, 'OPERATING Total Funding'!$A$9:$O$32,3, FALSE)</f>
        <v>138952024.73652273</v>
      </c>
      <c r="C77" s="61">
        <f>VLOOKUP($A76, 'OPERATING Total Funding'!$A$9:$Z$32,13, FALSE)</f>
        <v>138952024.73652273</v>
      </c>
      <c r="D77" s="20">
        <f t="shared" ref="D77:D80" si="19">C77-$B77</f>
        <v>0</v>
      </c>
      <c r="E77" s="62">
        <f t="shared" si="16"/>
        <v>0</v>
      </c>
      <c r="F77" s="16"/>
      <c r="G77" s="63">
        <f>VLOOKUP($A76, 'OPERATING Total Funding'!$A$9:$Z$32,22, FALSE)</f>
        <v>138952024.73652273</v>
      </c>
      <c r="H77" s="20">
        <f t="shared" si="17"/>
        <v>0</v>
      </c>
      <c r="I77" s="62">
        <f t="shared" si="18"/>
        <v>0</v>
      </c>
      <c r="K77" s="225"/>
      <c r="L77" s="225"/>
    </row>
    <row r="78" spans="1:12" x14ac:dyDescent="0.25">
      <c r="A78" s="59" t="s">
        <v>38</v>
      </c>
      <c r="B78" s="60">
        <f>VLOOKUP($A76, 'CAPITAL Summary'!$A$8:$V$33, 3, FALSE)</f>
        <v>21841263</v>
      </c>
      <c r="C78" s="61">
        <f>VLOOKUP($A76, 'CAPITAL Summary'!$A$8:$V$33, 9, FALSE)</f>
        <v>21836212.5</v>
      </c>
      <c r="D78" s="20">
        <f t="shared" si="19"/>
        <v>-5050.5</v>
      </c>
      <c r="E78" s="62">
        <f t="shared" si="16"/>
        <v>-2.3123662766205415E-4</v>
      </c>
      <c r="F78" s="16"/>
      <c r="G78" s="63">
        <f>VLOOKUP($A76, 'CAPITAL Summary'!$A$8:$V$33, 18, FALSE)</f>
        <v>20324337.5</v>
      </c>
      <c r="H78" s="20">
        <f t="shared" si="17"/>
        <v>-1516925.5</v>
      </c>
      <c r="I78" s="21">
        <f t="shared" si="18"/>
        <v>-6.9452279385125298E-2</v>
      </c>
    </row>
    <row r="79" spans="1:12" x14ac:dyDescent="0.25">
      <c r="A79" s="59" t="s">
        <v>39</v>
      </c>
      <c r="B79" s="60">
        <f>VLOOKUP($A76, 'R&amp;R Funding'!$A$8:$L$27, 2, FALSE)</f>
        <v>3921090</v>
      </c>
      <c r="C79" s="61">
        <f>VLOOKUP($A76, 'R&amp;R Funding'!$A$8:$L$27, 8, FALSE)</f>
        <v>4522783</v>
      </c>
      <c r="D79" s="20">
        <f t="shared" si="19"/>
        <v>601693</v>
      </c>
      <c r="E79" s="62">
        <f t="shared" si="16"/>
        <v>0.15345044362664464</v>
      </c>
      <c r="F79" s="16"/>
      <c r="G79" s="63">
        <f>VLOOKUP($A76, 'R&amp;R Funding'!$A$8:$L$27, 11, FALSE)</f>
        <v>4522783</v>
      </c>
      <c r="H79" s="20">
        <f t="shared" si="17"/>
        <v>601693</v>
      </c>
      <c r="I79" s="62">
        <f t="shared" si="18"/>
        <v>0.15345044362664464</v>
      </c>
    </row>
    <row r="80" spans="1:12" x14ac:dyDescent="0.25">
      <c r="A80" s="59" t="s">
        <v>49</v>
      </c>
      <c r="B80" s="60">
        <f>'LINE ITEM Requests'!C34</f>
        <v>7175006</v>
      </c>
      <c r="C80" s="61">
        <f>'LINE ITEM Requests'!F34</f>
        <v>7120396</v>
      </c>
      <c r="D80" s="20">
        <f t="shared" si="19"/>
        <v>-54610</v>
      </c>
      <c r="E80" s="21">
        <f t="shared" si="16"/>
        <v>-7.6111434610647019E-3</v>
      </c>
      <c r="F80" s="16"/>
      <c r="G80" s="63">
        <f>'LINE ITEM Requests'!M34</f>
        <v>7120396</v>
      </c>
      <c r="H80" s="20">
        <f t="shared" si="17"/>
        <v>-54610</v>
      </c>
      <c r="I80" s="21">
        <f t="shared" si="18"/>
        <v>-7.6111434610647019E-3</v>
      </c>
    </row>
    <row r="81" spans="1:9" ht="15.75" customHeight="1" thickBot="1" x14ac:dyDescent="0.3">
      <c r="A81" s="74"/>
      <c r="B81" s="75"/>
      <c r="C81" s="76"/>
      <c r="D81" s="76"/>
      <c r="E81" s="77"/>
      <c r="F81" s="78"/>
      <c r="G81" s="76"/>
      <c r="H81" s="76"/>
      <c r="I81" s="79"/>
    </row>
    <row r="82" spans="1:9" x14ac:dyDescent="0.25">
      <c r="A82" s="52" t="s">
        <v>56</v>
      </c>
      <c r="B82" s="53">
        <f>SUM(B83:B86)</f>
        <v>92409235.877869874</v>
      </c>
      <c r="C82" s="54">
        <f>SUM(C83:C86)</f>
        <v>91994719.667869866</v>
      </c>
      <c r="D82" s="55">
        <f t="shared" ref="D82:D86" si="20">C82-$B82</f>
        <v>-414516.21000000834</v>
      </c>
      <c r="E82" s="56">
        <f t="shared" ref="E82:E86" si="21">IF($B82&gt;0,D82/$B82, "")</f>
        <v>-4.4856578031642023E-3</v>
      </c>
      <c r="F82" s="57"/>
      <c r="G82" s="58">
        <f>SUM(G83:G86)</f>
        <v>92090197.14786987</v>
      </c>
      <c r="H82" s="55">
        <f t="shared" ref="H82:H86" si="22">G82-$B82</f>
        <v>-319038.73000000417</v>
      </c>
      <c r="I82" s="56">
        <f t="shared" ref="I82:I86" si="23">IF($B82&gt;0,H82/$B82, "")</f>
        <v>-3.4524550167437046E-3</v>
      </c>
    </row>
    <row r="83" spans="1:9" x14ac:dyDescent="0.25">
      <c r="A83" s="59" t="s">
        <v>37</v>
      </c>
      <c r="B83" s="60">
        <f>VLOOKUP($A82, 'OPERATING Total Funding'!$A$9:$O$32,3, FALSE)</f>
        <v>77960325.877869874</v>
      </c>
      <c r="C83" s="61">
        <f>VLOOKUP($A82, 'OPERATING Total Funding'!$A$9:$Z$32,13, FALSE)</f>
        <v>77960325.877869874</v>
      </c>
      <c r="D83" s="20">
        <f t="shared" si="20"/>
        <v>0</v>
      </c>
      <c r="E83" s="62">
        <f t="shared" si="21"/>
        <v>0</v>
      </c>
      <c r="F83" s="16"/>
      <c r="G83" s="63">
        <f>VLOOKUP($A82, 'OPERATING Total Funding'!$A$9:$Z$32,22, FALSE)</f>
        <v>77960325.877869874</v>
      </c>
      <c r="H83" s="20">
        <f t="shared" si="22"/>
        <v>0</v>
      </c>
      <c r="I83" s="62">
        <f t="shared" si="23"/>
        <v>0</v>
      </c>
    </row>
    <row r="84" spans="1:9" x14ac:dyDescent="0.25">
      <c r="A84" s="59" t="s">
        <v>38</v>
      </c>
      <c r="B84" s="60">
        <f>VLOOKUP($A82, 'CAPITAL Summary'!$A$8:$V$33, 3, FALSE)</f>
        <v>11062732</v>
      </c>
      <c r="C84" s="61">
        <f>VLOOKUP($A82, 'CAPITAL Summary'!$A$8:$V$33, 9, FALSE)</f>
        <v>10498369.789999999</v>
      </c>
      <c r="D84" s="20">
        <f t="shared" si="20"/>
        <v>-564362.21000000089</v>
      </c>
      <c r="E84" s="62">
        <f t="shared" si="21"/>
        <v>-5.1014723126258585E-2</v>
      </c>
      <c r="F84" s="16"/>
      <c r="G84" s="63">
        <f>VLOOKUP($A82, 'CAPITAL Summary'!$A$8:$V$33, 18, FALSE)</f>
        <v>10593847.27</v>
      </c>
      <c r="H84" s="20">
        <f t="shared" si="22"/>
        <v>-468884.73000000045</v>
      </c>
      <c r="I84" s="21">
        <f t="shared" si="23"/>
        <v>-4.2384171468675229E-2</v>
      </c>
    </row>
    <row r="85" spans="1:9" x14ac:dyDescent="0.25">
      <c r="A85" s="59" t="s">
        <v>39</v>
      </c>
      <c r="B85" s="60">
        <f>VLOOKUP($A82, 'R&amp;R Funding'!$A$8:$L$27, 2, FALSE)</f>
        <v>1932790</v>
      </c>
      <c r="C85" s="61">
        <f>VLOOKUP($A82, 'R&amp;R Funding'!$A$8:$L$27, 8, FALSE)</f>
        <v>2136051</v>
      </c>
      <c r="D85" s="20">
        <f t="shared" si="20"/>
        <v>203261</v>
      </c>
      <c r="E85" s="62">
        <f t="shared" si="21"/>
        <v>0.10516455486628139</v>
      </c>
      <c r="F85" s="16"/>
      <c r="G85" s="63">
        <f>VLOOKUP($A82, 'R&amp;R Funding'!$A$8:$L$27, 11, FALSE)</f>
        <v>2136051</v>
      </c>
      <c r="H85" s="20">
        <f t="shared" si="22"/>
        <v>203261</v>
      </c>
      <c r="I85" s="62">
        <f t="shared" si="23"/>
        <v>0.10516455486628139</v>
      </c>
    </row>
    <row r="86" spans="1:9" x14ac:dyDescent="0.25">
      <c r="A86" s="59" t="s">
        <v>49</v>
      </c>
      <c r="B86" s="60">
        <f>'LINE ITEM Requests'!C40</f>
        <v>1453388</v>
      </c>
      <c r="C86" s="61">
        <f>'LINE ITEM Requests'!F40</f>
        <v>1399973</v>
      </c>
      <c r="D86" s="20">
        <f t="shared" si="20"/>
        <v>-53415</v>
      </c>
      <c r="E86" s="21">
        <f t="shared" si="21"/>
        <v>-3.6752057950113805E-2</v>
      </c>
      <c r="F86" s="16"/>
      <c r="G86" s="63">
        <f>'LINE ITEM Requests'!M40</f>
        <v>1399973</v>
      </c>
      <c r="H86" s="20">
        <f t="shared" si="22"/>
        <v>-53415</v>
      </c>
      <c r="I86" s="21">
        <f t="shared" si="23"/>
        <v>-3.6752057950113805E-2</v>
      </c>
    </row>
    <row r="87" spans="1:9" ht="15.75" customHeight="1" thickBot="1" x14ac:dyDescent="0.3">
      <c r="A87" s="74"/>
      <c r="B87" s="75"/>
      <c r="C87" s="76"/>
      <c r="D87" s="76"/>
      <c r="E87" s="77"/>
      <c r="F87" s="78"/>
      <c r="G87" s="76"/>
      <c r="H87" s="76"/>
      <c r="I87" s="79"/>
    </row>
    <row r="88" spans="1:9" x14ac:dyDescent="0.25">
      <c r="A88" s="52" t="s">
        <v>57</v>
      </c>
      <c r="B88" s="53">
        <f>SUM(B89:B92)</f>
        <v>69233887.100641966</v>
      </c>
      <c r="C88" s="54">
        <f>SUM(C89:C92)</f>
        <v>68996475.600641966</v>
      </c>
      <c r="D88" s="55">
        <f t="shared" ref="D88:D92" si="24">C88-$B88</f>
        <v>-237411.5</v>
      </c>
      <c r="E88" s="56">
        <f t="shared" ref="E88:E92" si="25">IF($B88&gt;0,D88/$B88, "")</f>
        <v>-3.4291227885975308E-3</v>
      </c>
      <c r="F88" s="57"/>
      <c r="G88" s="58">
        <f>SUM(G89:G92)</f>
        <v>66047531.350641973</v>
      </c>
      <c r="H88" s="55">
        <f t="shared" ref="H88:H92" si="26">G88-$B88</f>
        <v>-3186355.7499999925</v>
      </c>
      <c r="I88" s="56">
        <f t="shared" ref="I88:I92" si="27">IF($B88&gt;0,H88/$B88, "")</f>
        <v>-4.6023065921001097E-2</v>
      </c>
    </row>
    <row r="89" spans="1:9" x14ac:dyDescent="0.25">
      <c r="A89" s="59" t="s">
        <v>37</v>
      </c>
      <c r="B89" s="60">
        <f>VLOOKUP($A88, 'OPERATING Total Funding'!$A$9:$O$32,3, FALSE)</f>
        <v>53831608.100641973</v>
      </c>
      <c r="C89" s="61">
        <f>VLOOKUP($A88, 'OPERATING Total Funding'!$A$9:$Z$32,13, FALSE)</f>
        <v>53831608.100641973</v>
      </c>
      <c r="D89" s="20">
        <f t="shared" si="24"/>
        <v>0</v>
      </c>
      <c r="E89" s="62">
        <f t="shared" si="25"/>
        <v>0</v>
      </c>
      <c r="F89" s="16"/>
      <c r="G89" s="63">
        <f>VLOOKUP($A88, 'OPERATING Total Funding'!$A$9:$Z$32,22, FALSE)</f>
        <v>53831608.100641973</v>
      </c>
      <c r="H89" s="20">
        <f t="shared" si="26"/>
        <v>0</v>
      </c>
      <c r="I89" s="62">
        <f t="shared" si="27"/>
        <v>0</v>
      </c>
    </row>
    <row r="90" spans="1:9" x14ac:dyDescent="0.25">
      <c r="A90" s="59" t="s">
        <v>38</v>
      </c>
      <c r="B90" s="60">
        <f>VLOOKUP($A88, 'CAPITAL Summary'!$A$8:$V$33, 3, FALSE)</f>
        <v>12321210</v>
      </c>
      <c r="C90" s="61">
        <f>VLOOKUP($A88, 'CAPITAL Summary'!$A$8:$V$33, 9, FALSE)</f>
        <v>11847730.5</v>
      </c>
      <c r="D90" s="20">
        <f t="shared" si="24"/>
        <v>-473479.5</v>
      </c>
      <c r="E90" s="62">
        <f t="shared" si="25"/>
        <v>-3.8428003418495421E-2</v>
      </c>
      <c r="F90" s="16"/>
      <c r="G90" s="63">
        <f>VLOOKUP($A88, 'CAPITAL Summary'!$A$8:$V$33, 18, FALSE)</f>
        <v>8898786.25</v>
      </c>
      <c r="H90" s="20">
        <f t="shared" si="26"/>
        <v>-3422423.75</v>
      </c>
      <c r="I90" s="21">
        <f t="shared" si="27"/>
        <v>-0.27776685487870106</v>
      </c>
    </row>
    <row r="91" spans="1:9" x14ac:dyDescent="0.25">
      <c r="A91" s="59" t="s">
        <v>39</v>
      </c>
      <c r="B91" s="60">
        <f>VLOOKUP($A88, 'R&amp;R Funding'!$A$8:$L$27, 2, FALSE)</f>
        <v>1483291</v>
      </c>
      <c r="C91" s="61">
        <f>VLOOKUP($A88, 'R&amp;R Funding'!$A$8:$L$27, 8, FALSE)</f>
        <v>1736924</v>
      </c>
      <c r="D91" s="20">
        <f t="shared" si="24"/>
        <v>253633</v>
      </c>
      <c r="E91" s="62">
        <f t="shared" si="25"/>
        <v>0.17099341936275483</v>
      </c>
      <c r="F91" s="16"/>
      <c r="G91" s="63">
        <f>VLOOKUP($A88, 'R&amp;R Funding'!$A$8:$L$27, 11, FALSE)</f>
        <v>1736924</v>
      </c>
      <c r="H91" s="20">
        <f t="shared" si="26"/>
        <v>253633</v>
      </c>
      <c r="I91" s="62">
        <f t="shared" si="27"/>
        <v>0.17099341936275483</v>
      </c>
    </row>
    <row r="92" spans="1:9" x14ac:dyDescent="0.25">
      <c r="A92" s="59" t="s">
        <v>49</v>
      </c>
      <c r="B92" s="60">
        <f>'LINE ITEM Requests'!C46</f>
        <v>1597778</v>
      </c>
      <c r="C92" s="61">
        <f>'LINE ITEM Requests'!F46</f>
        <v>1580213</v>
      </c>
      <c r="D92" s="20">
        <f t="shared" si="24"/>
        <v>-17565</v>
      </c>
      <c r="E92" s="21">
        <f t="shared" si="25"/>
        <v>-1.0993392073241714E-2</v>
      </c>
      <c r="F92" s="16"/>
      <c r="G92" s="63">
        <f>'LINE ITEM Requests'!M46</f>
        <v>1580213</v>
      </c>
      <c r="H92" s="20">
        <f t="shared" si="26"/>
        <v>-17565</v>
      </c>
      <c r="I92" s="21">
        <f t="shared" si="27"/>
        <v>-1.0993392073241714E-2</v>
      </c>
    </row>
    <row r="93" spans="1:9" ht="15.75" customHeight="1" thickBot="1" x14ac:dyDescent="0.3">
      <c r="A93" s="74"/>
      <c r="B93" s="75"/>
      <c r="C93" s="76"/>
      <c r="D93" s="76"/>
      <c r="E93" s="77"/>
      <c r="F93" s="78"/>
      <c r="G93" s="76"/>
      <c r="H93" s="76"/>
      <c r="I93" s="79"/>
    </row>
    <row r="94" spans="1:9" x14ac:dyDescent="0.25">
      <c r="A94" s="52" t="s">
        <v>58</v>
      </c>
      <c r="B94" s="53">
        <f>SUM(B95:B98)</f>
        <v>60825578.463580526</v>
      </c>
      <c r="C94" s="54">
        <f>SUM(C95:C98)</f>
        <v>60893371.963580526</v>
      </c>
      <c r="D94" s="55">
        <f t="shared" ref="D94:D98" si="28">C94-$B94</f>
        <v>67793.5</v>
      </c>
      <c r="E94" s="56">
        <f t="shared" ref="E94:E98" si="29">IF($B94&gt;0,D94/$B94, "")</f>
        <v>1.1145557792038351E-3</v>
      </c>
      <c r="F94" s="57"/>
      <c r="G94" s="58">
        <f>SUM(G95:G98)</f>
        <v>60911985.463580526</v>
      </c>
      <c r="H94" s="55">
        <f t="shared" ref="H94:H98" si="30">G94-$B94</f>
        <v>86407</v>
      </c>
      <c r="I94" s="56">
        <f t="shared" ref="I94:I98" si="31">IF($B94&gt;0,H94/$B94, "")</f>
        <v>1.4205701315563553E-3</v>
      </c>
    </row>
    <row r="95" spans="1:9" x14ac:dyDescent="0.25">
      <c r="A95" s="59" t="s">
        <v>37</v>
      </c>
      <c r="B95" s="60">
        <f>VLOOKUP($A94, 'OPERATING Total Funding'!$A$9:$O$32,3, FALSE)</f>
        <v>46789143.963580526</v>
      </c>
      <c r="C95" s="61">
        <f>VLOOKUP($A94, 'OPERATING Total Funding'!$A$9:$Z$32,13, FALSE)</f>
        <v>46789143.963580526</v>
      </c>
      <c r="D95" s="20">
        <f t="shared" si="28"/>
        <v>0</v>
      </c>
      <c r="E95" s="62">
        <f t="shared" si="29"/>
        <v>0</v>
      </c>
      <c r="F95" s="16"/>
      <c r="G95" s="63">
        <f>VLOOKUP($A94, 'OPERATING Total Funding'!$A$9:$Z$32,22, FALSE)</f>
        <v>46789143.963580526</v>
      </c>
      <c r="H95" s="20">
        <f t="shared" si="30"/>
        <v>0</v>
      </c>
      <c r="I95" s="62">
        <f t="shared" si="31"/>
        <v>0</v>
      </c>
    </row>
    <row r="96" spans="1:9" x14ac:dyDescent="0.25">
      <c r="A96" s="59" t="s">
        <v>38</v>
      </c>
      <c r="B96" s="60">
        <f>VLOOKUP($A94, 'CAPITAL Summary'!$A$8:$V$33, 3, FALSE)</f>
        <v>4926544.5</v>
      </c>
      <c r="C96" s="61">
        <f>VLOOKUP($A94, 'CAPITAL Summary'!$A$8:$V$33, 9, FALSE)</f>
        <v>4913442</v>
      </c>
      <c r="D96" s="20">
        <f t="shared" si="28"/>
        <v>-13102.5</v>
      </c>
      <c r="E96" s="62">
        <f t="shared" si="29"/>
        <v>-2.6595720387789048E-3</v>
      </c>
      <c r="F96" s="16"/>
      <c r="G96" s="63">
        <f>VLOOKUP($A94, 'CAPITAL Summary'!$A$8:$V$33, 18, FALSE)</f>
        <v>4932055.5</v>
      </c>
      <c r="H96" s="20">
        <f t="shared" si="30"/>
        <v>5511</v>
      </c>
      <c r="I96" s="21">
        <f t="shared" si="31"/>
        <v>1.1186339634199995E-3</v>
      </c>
    </row>
    <row r="97" spans="1:9" x14ac:dyDescent="0.25">
      <c r="A97" s="59" t="s">
        <v>39</v>
      </c>
      <c r="B97" s="60">
        <f>VLOOKUP($A94, 'R&amp;R Funding'!$A$8:$L$27, 2, FALSE)</f>
        <v>1227440</v>
      </c>
      <c r="C97" s="61">
        <f>VLOOKUP($A94, 'R&amp;R Funding'!$A$8:$L$27, 8, FALSE)</f>
        <v>1474471</v>
      </c>
      <c r="D97" s="20">
        <f t="shared" si="28"/>
        <v>247031</v>
      </c>
      <c r="E97" s="62">
        <f t="shared" si="29"/>
        <v>0.20125708792283126</v>
      </c>
      <c r="F97" s="16"/>
      <c r="G97" s="63">
        <f>VLOOKUP($A94, 'R&amp;R Funding'!$A$8:$L$27, 11, FALSE)</f>
        <v>1474471</v>
      </c>
      <c r="H97" s="20">
        <f t="shared" si="30"/>
        <v>247031</v>
      </c>
      <c r="I97" s="62">
        <f t="shared" si="31"/>
        <v>0.20125708792283126</v>
      </c>
    </row>
    <row r="98" spans="1:9" x14ac:dyDescent="0.25">
      <c r="A98" s="59" t="s">
        <v>49</v>
      </c>
      <c r="B98" s="60">
        <f>'LINE ITEM Requests'!C57</f>
        <v>7882450</v>
      </c>
      <c r="C98" s="61">
        <f>'LINE ITEM Requests'!F57</f>
        <v>7716315</v>
      </c>
      <c r="D98" s="20">
        <f t="shared" si="28"/>
        <v>-166135</v>
      </c>
      <c r="E98" s="21">
        <f t="shared" si="29"/>
        <v>-2.1076568833294215E-2</v>
      </c>
      <c r="F98" s="16"/>
      <c r="G98" s="63">
        <f>'LINE ITEM Requests'!M57</f>
        <v>7716315</v>
      </c>
      <c r="H98" s="20">
        <f t="shared" si="30"/>
        <v>-166135</v>
      </c>
      <c r="I98" s="21">
        <f t="shared" si="31"/>
        <v>-2.1076568833294215E-2</v>
      </c>
    </row>
    <row r="99" spans="1:9" ht="15.75" customHeight="1" thickBot="1" x14ac:dyDescent="0.3">
      <c r="A99" s="74"/>
      <c r="B99" s="75"/>
      <c r="C99" s="76"/>
      <c r="D99" s="76"/>
      <c r="E99" s="77"/>
      <c r="F99" s="78"/>
      <c r="G99" s="76"/>
      <c r="H99" s="76"/>
      <c r="I99" s="79"/>
    </row>
    <row r="100" spans="1:9" x14ac:dyDescent="0.25">
      <c r="A100" s="52" t="s">
        <v>59</v>
      </c>
      <c r="B100" s="53">
        <f>SUM(B101:B104)</f>
        <v>310287889.21364927</v>
      </c>
      <c r="C100" s="54">
        <f>SUM(C101:C104)</f>
        <v>314341536.43364924</v>
      </c>
      <c r="D100" s="55">
        <f t="shared" ref="D100:D104" si="32">C100-$B100</f>
        <v>4053647.219999969</v>
      </c>
      <c r="E100" s="56">
        <f t="shared" ref="E100:E104" si="33">IF($B100&gt;0,D100/$B100, "")</f>
        <v>1.3064149007790708E-2</v>
      </c>
      <c r="F100" s="57"/>
      <c r="G100" s="58">
        <f>SUM(G101:G104)</f>
        <v>314579444.68364924</v>
      </c>
      <c r="H100" s="55">
        <f t="shared" ref="H100:H104" si="34">G100-$B100</f>
        <v>4291555.469999969</v>
      </c>
      <c r="I100" s="56">
        <f t="shared" ref="I100:I104" si="35">IF($B100&gt;0,H100/$B100, "")</f>
        <v>1.3830882928998273E-2</v>
      </c>
    </row>
    <row r="101" spans="1:9" x14ac:dyDescent="0.25">
      <c r="A101" s="59" t="s">
        <v>37</v>
      </c>
      <c r="B101" s="60">
        <f>VLOOKUP($A100, 'OPERATING Total Funding'!$A$9:$O$32,3, FALSE)</f>
        <v>248772294.68364924</v>
      </c>
      <c r="C101" s="61">
        <f>VLOOKUP($A100, 'OPERATING Total Funding'!$A$9:$Z$32,13, FALSE)</f>
        <v>248772294.68364924</v>
      </c>
      <c r="D101" s="20">
        <f t="shared" si="32"/>
        <v>0</v>
      </c>
      <c r="E101" s="62">
        <f t="shared" si="33"/>
        <v>0</v>
      </c>
      <c r="F101" s="16"/>
      <c r="G101" s="63">
        <f>VLOOKUP($A100, 'OPERATING Total Funding'!$A$9:$Z$32,22, FALSE)</f>
        <v>248772294.68364924</v>
      </c>
      <c r="H101" s="20">
        <f t="shared" si="34"/>
        <v>0</v>
      </c>
      <c r="I101" s="62">
        <f t="shared" si="35"/>
        <v>0</v>
      </c>
    </row>
    <row r="102" spans="1:9" x14ac:dyDescent="0.25">
      <c r="A102" s="59" t="s">
        <v>38</v>
      </c>
      <c r="B102" s="60">
        <f>VLOOKUP($A100, 'CAPITAL Summary'!$A$8:$V$33, 3, FALSE)</f>
        <v>27602046.530000001</v>
      </c>
      <c r="C102" s="61">
        <f>VLOOKUP($A100, 'CAPITAL Summary'!$A$8:$V$33, 9, FALSE)</f>
        <v>27980510.75</v>
      </c>
      <c r="D102" s="20">
        <f t="shared" si="32"/>
        <v>378464.21999999881</v>
      </c>
      <c r="E102" s="62">
        <f t="shared" si="33"/>
        <v>1.3711455039707115E-2</v>
      </c>
      <c r="F102" s="16"/>
      <c r="G102" s="63">
        <f>VLOOKUP($A100, 'CAPITAL Summary'!$A$8:$V$33, 18, FALSE)</f>
        <v>28218419</v>
      </c>
      <c r="H102" s="20">
        <f t="shared" si="34"/>
        <v>616372.46999999881</v>
      </c>
      <c r="I102" s="21">
        <f t="shared" si="35"/>
        <v>2.2330680057729719E-2</v>
      </c>
    </row>
    <row r="103" spans="1:9" x14ac:dyDescent="0.25">
      <c r="A103" s="59" t="s">
        <v>39</v>
      </c>
      <c r="B103" s="60">
        <f>VLOOKUP($A100, 'R&amp;R Funding'!$A$8:$L$27, 2, FALSE)</f>
        <v>4468850</v>
      </c>
      <c r="C103" s="61">
        <f>VLOOKUP($A100, 'R&amp;R Funding'!$A$8:$L$27, 8, FALSE)</f>
        <v>4885428</v>
      </c>
      <c r="D103" s="20">
        <f t="shared" si="32"/>
        <v>416578</v>
      </c>
      <c r="E103" s="62">
        <f t="shared" si="33"/>
        <v>9.3218165747339918E-2</v>
      </c>
      <c r="F103" s="16"/>
      <c r="G103" s="63">
        <f>VLOOKUP($A100, 'R&amp;R Funding'!$A$8:$L$27, 11, FALSE)</f>
        <v>4885428</v>
      </c>
      <c r="H103" s="20">
        <f t="shared" si="34"/>
        <v>416578</v>
      </c>
      <c r="I103" s="62">
        <f t="shared" si="35"/>
        <v>9.3218165747339918E-2</v>
      </c>
    </row>
    <row r="104" spans="1:9" x14ac:dyDescent="0.25">
      <c r="A104" s="59" t="s">
        <v>49</v>
      </c>
      <c r="B104" s="60">
        <f>'LINE ITEM Requests'!C53</f>
        <v>29444698</v>
      </c>
      <c r="C104" s="61">
        <f>'LINE ITEM Requests'!F53</f>
        <v>32703303</v>
      </c>
      <c r="D104" s="20">
        <f t="shared" si="32"/>
        <v>3258605</v>
      </c>
      <c r="E104" s="21">
        <f t="shared" si="33"/>
        <v>0.11066865077033564</v>
      </c>
      <c r="F104" s="16"/>
      <c r="G104" s="63">
        <f>'LINE ITEM Requests'!M53</f>
        <v>32703303</v>
      </c>
      <c r="H104" s="20">
        <f t="shared" si="34"/>
        <v>3258605</v>
      </c>
      <c r="I104" s="21">
        <f t="shared" si="35"/>
        <v>0.11066865077033564</v>
      </c>
    </row>
    <row r="105" spans="1:9" ht="15.75" customHeight="1" thickBot="1" x14ac:dyDescent="0.3">
      <c r="A105" s="74"/>
      <c r="B105" s="75"/>
      <c r="C105" s="76"/>
      <c r="D105" s="76"/>
      <c r="E105" s="77"/>
      <c r="F105" s="78"/>
      <c r="G105" s="76"/>
      <c r="H105" s="76"/>
      <c r="I105" s="79"/>
    </row>
    <row r="106" spans="1:9" x14ac:dyDescent="0.25">
      <c r="A106" s="52" t="s">
        <v>60</v>
      </c>
      <c r="B106" s="53">
        <f>SUM(B107:B109)</f>
        <v>441267959</v>
      </c>
      <c r="C106" s="54">
        <f>SUM(C107:C109)</f>
        <v>429030014.35000002</v>
      </c>
      <c r="D106" s="54">
        <f t="shared" ref="D106:D110" si="36">C106-$B106</f>
        <v>-12237944.649999976</v>
      </c>
      <c r="E106" s="56">
        <f t="shared" ref="E106:E110" si="37">IF($B106&gt;0,D106/$B106, "")</f>
        <v>-2.7733589988571946E-2</v>
      </c>
      <c r="F106" s="57"/>
      <c r="G106" s="58">
        <f>SUM(G107:G109)</f>
        <v>429030014.35000002</v>
      </c>
      <c r="H106" s="55">
        <f t="shared" ref="H106:H110" si="38">G106-$B106</f>
        <v>-12237944.649999976</v>
      </c>
      <c r="I106" s="56">
        <f t="shared" ref="I106:I110" si="39">IF($B106&gt;0,H106/$B106, "")</f>
        <v>-2.7733589988571946E-2</v>
      </c>
    </row>
    <row r="107" spans="1:9" x14ac:dyDescent="0.25">
      <c r="A107" s="59" t="s">
        <v>61</v>
      </c>
      <c r="B107" s="60">
        <f>'LINE ITEM Summary'!B17</f>
        <v>5106000</v>
      </c>
      <c r="C107" s="276">
        <f>'LINE ITEM Summary'!D17</f>
        <v>2500000</v>
      </c>
      <c r="D107" s="276">
        <f t="shared" si="36"/>
        <v>-2606000</v>
      </c>
      <c r="E107" s="62">
        <f t="shared" si="37"/>
        <v>-0.51037994516255381</v>
      </c>
      <c r="F107" s="16"/>
      <c r="G107" s="63">
        <f>'LINE ITEM Summary'!I17</f>
        <v>2500000</v>
      </c>
      <c r="H107" s="20">
        <f t="shared" si="38"/>
        <v>-2606000</v>
      </c>
      <c r="I107" s="62">
        <f t="shared" si="39"/>
        <v>-0.51037994516255381</v>
      </c>
    </row>
    <row r="108" spans="1:9" x14ac:dyDescent="0.25">
      <c r="A108" s="59" t="s">
        <v>62</v>
      </c>
      <c r="B108" s="60">
        <f>'LINE ITEM Summary'!B19</f>
        <v>400544066</v>
      </c>
      <c r="C108" s="276">
        <f>'LINE ITEM Summary'!D19</f>
        <v>401544066</v>
      </c>
      <c r="D108" s="276">
        <f t="shared" si="36"/>
        <v>1000000</v>
      </c>
      <c r="E108" s="62">
        <f t="shared" si="37"/>
        <v>2.496604206339684E-3</v>
      </c>
      <c r="F108" s="16"/>
      <c r="G108" s="63">
        <f>'LINE ITEM Summary'!I19</f>
        <v>401544066</v>
      </c>
      <c r="H108" s="20">
        <f t="shared" si="38"/>
        <v>1000000</v>
      </c>
      <c r="I108" s="62">
        <f t="shared" si="39"/>
        <v>2.496604206339684E-3</v>
      </c>
    </row>
    <row r="109" spans="1:9" ht="15.75" customHeight="1" thickBot="1" x14ac:dyDescent="0.3">
      <c r="A109" s="81" t="s">
        <v>63</v>
      </c>
      <c r="B109" s="82">
        <f>'LINE ITEM Summary'!B20</f>
        <v>35617893</v>
      </c>
      <c r="C109" s="277">
        <f>'LINE ITEM Summary'!D20</f>
        <v>24985948.350000001</v>
      </c>
      <c r="D109" s="277">
        <f t="shared" si="36"/>
        <v>-10631944.649999999</v>
      </c>
      <c r="E109" s="84">
        <f t="shared" si="37"/>
        <v>-0.29850010077799938</v>
      </c>
      <c r="F109" s="85"/>
      <c r="G109" s="63">
        <f>'LINE ITEM Summary'!I20</f>
        <v>24985948.350000001</v>
      </c>
      <c r="H109" s="83">
        <f t="shared" si="38"/>
        <v>-10631944.649999999</v>
      </c>
      <c r="I109" s="84">
        <f t="shared" si="39"/>
        <v>-0.29850010077799938</v>
      </c>
    </row>
    <row r="110" spans="1:9" ht="15.75" customHeight="1" thickBot="1" x14ac:dyDescent="0.3">
      <c r="A110" s="86" t="s">
        <v>32</v>
      </c>
      <c r="B110" s="87">
        <f>SUM(B44,B70,B76,B82,B88,B94,B100,B106)</f>
        <v>2252414675.764771</v>
      </c>
      <c r="C110" s="88">
        <f>SUM(C44,C70,C76,C82,C88,C94,C100,C106)</f>
        <v>2244046097.0647707</v>
      </c>
      <c r="D110" s="89">
        <f t="shared" si="36"/>
        <v>-8368578.7000002861</v>
      </c>
      <c r="E110" s="90">
        <f t="shared" si="37"/>
        <v>-3.7153810042366512E-3</v>
      </c>
      <c r="F110" s="91"/>
      <c r="G110" s="88">
        <f>SUM(G44,G70,G76,G82,G88,G94,G100,G106)</f>
        <v>2236577412.3047709</v>
      </c>
      <c r="H110" s="89">
        <f t="shared" si="38"/>
        <v>-15837263.460000038</v>
      </c>
      <c r="I110" s="90">
        <f t="shared" si="39"/>
        <v>-7.0312379112086685E-3</v>
      </c>
    </row>
    <row r="111" spans="1:9" x14ac:dyDescent="0.25">
      <c r="B111" s="92"/>
      <c r="C111" s="92"/>
      <c r="D111" s="92"/>
      <c r="G111" s="92"/>
      <c r="H111" s="92"/>
    </row>
    <row r="112" spans="1:9" x14ac:dyDescent="0.25">
      <c r="B112" s="92"/>
      <c r="C112" s="92"/>
      <c r="D112" s="92"/>
      <c r="G112" s="92"/>
      <c r="H112" s="92"/>
    </row>
    <row r="113" spans="2:9" x14ac:dyDescent="0.25">
      <c r="B113" s="92"/>
      <c r="C113" s="92"/>
      <c r="D113" s="92"/>
    </row>
    <row r="114" spans="2:9" x14ac:dyDescent="0.25">
      <c r="B114" s="92"/>
      <c r="C114" s="92"/>
      <c r="D114" s="92"/>
    </row>
    <row r="115" spans="2:9" x14ac:dyDescent="0.25">
      <c r="B115" s="92"/>
      <c r="C115" s="92"/>
      <c r="D115" s="92"/>
    </row>
    <row r="116" spans="2:9" x14ac:dyDescent="0.25">
      <c r="B116" s="92"/>
      <c r="C116" s="92"/>
      <c r="D116" s="92"/>
      <c r="G116" s="92"/>
      <c r="H116" s="92"/>
      <c r="I116" s="92"/>
    </row>
    <row r="117" spans="2:9" x14ac:dyDescent="0.25">
      <c r="B117" s="92"/>
      <c r="C117" s="92"/>
      <c r="D117" s="92"/>
      <c r="G117" s="92"/>
      <c r="H117" s="92"/>
      <c r="I117" s="92"/>
    </row>
    <row r="118" spans="2:9" x14ac:dyDescent="0.25">
      <c r="B118" s="92"/>
      <c r="C118" s="92"/>
      <c r="D118" s="92"/>
      <c r="G118" s="92"/>
      <c r="H118" s="92"/>
      <c r="I118" s="92"/>
    </row>
    <row r="119" spans="2:9" x14ac:dyDescent="0.25">
      <c r="B119" s="92"/>
      <c r="C119" s="92"/>
      <c r="D119" s="92"/>
      <c r="G119" s="92"/>
      <c r="H119" s="92"/>
    </row>
    <row r="120" spans="2:9" x14ac:dyDescent="0.25">
      <c r="B120" s="92"/>
      <c r="C120" s="92"/>
      <c r="D120" s="92"/>
      <c r="G120" s="92"/>
      <c r="H120" s="92"/>
    </row>
    <row r="121" spans="2:9" x14ac:dyDescent="0.25">
      <c r="B121" s="92"/>
      <c r="C121" s="92"/>
      <c r="D121" s="92"/>
    </row>
    <row r="122" spans="2:9" x14ac:dyDescent="0.25">
      <c r="B122" s="92"/>
      <c r="C122" s="92"/>
      <c r="D122" s="92"/>
    </row>
    <row r="123" spans="2:9" x14ac:dyDescent="0.25">
      <c r="B123" s="92"/>
      <c r="C123" s="92"/>
      <c r="D123" s="92"/>
    </row>
    <row r="124" spans="2:9" x14ac:dyDescent="0.25">
      <c r="B124" s="92"/>
      <c r="C124" s="92"/>
      <c r="D124" s="92"/>
    </row>
    <row r="125" spans="2:9" x14ac:dyDescent="0.25">
      <c r="B125" s="92"/>
      <c r="C125" s="92"/>
      <c r="D125" s="92"/>
    </row>
    <row r="126" spans="2:9" x14ac:dyDescent="0.25">
      <c r="B126" s="92"/>
      <c r="C126" s="92"/>
      <c r="D126" s="92"/>
    </row>
    <row r="127" spans="2:9" x14ac:dyDescent="0.25">
      <c r="B127" s="92"/>
      <c r="C127" s="92"/>
      <c r="D127" s="92"/>
    </row>
    <row r="128" spans="2:9" x14ac:dyDescent="0.25">
      <c r="B128" s="92"/>
      <c r="C128" s="92"/>
      <c r="D128" s="92"/>
    </row>
    <row r="129" spans="2:4" x14ac:dyDescent="0.25">
      <c r="B129" s="92"/>
      <c r="C129" s="92"/>
      <c r="D129" s="92"/>
    </row>
    <row r="130" spans="2:4" x14ac:dyDescent="0.25">
      <c r="B130" s="92"/>
      <c r="C130" s="92"/>
      <c r="D130" s="92"/>
    </row>
  </sheetData>
  <mergeCells count="4">
    <mergeCell ref="B5:B6"/>
    <mergeCell ref="G5:I5"/>
    <mergeCell ref="A5:A6"/>
    <mergeCell ref="C5:E5"/>
  </mergeCells>
  <pageMargins left="0.7" right="0.7" top="0.75" bottom="0.75" header="0.3" footer="0.3"/>
  <pageSetup scale="50" orientation="landscape" r:id="rId1"/>
  <headerFooter>
    <oddFooter>Page &amp;P</oddFooter>
  </headerFooter>
  <rowBreaks count="2" manualBreakCount="2">
    <brk id="49" man="1"/>
    <brk id="7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theme="9" tint="0.39997558519241921"/>
  </sheetPr>
  <dimension ref="A1:W38"/>
  <sheetViews>
    <sheetView zoomScale="80" zoomScaleNormal="80" workbookViewId="0">
      <pane xSplit="2" topLeftCell="C1" activePane="topRight" state="frozenSplit"/>
      <selection activeCell="J33" sqref="J33"/>
      <selection pane="topRight" activeCell="O37" sqref="O37"/>
    </sheetView>
  </sheetViews>
  <sheetFormatPr defaultRowHeight="15" x14ac:dyDescent="0.25"/>
  <cols>
    <col min="1" max="1" width="10" customWidth="1"/>
    <col min="2" max="2" width="8.7109375" customWidth="1"/>
    <col min="3" max="3" width="15.28515625" bestFit="1" customWidth="1"/>
    <col min="4" max="5" width="14.7109375" customWidth="1"/>
    <col min="6" max="6" width="15.28515625" bestFit="1" customWidth="1"/>
    <col min="7" max="7" width="11.42578125" bestFit="1" customWidth="1"/>
    <col min="8" max="8" width="12.42578125" bestFit="1" customWidth="1"/>
    <col min="9" max="9" width="12.28515625" bestFit="1" customWidth="1"/>
    <col min="10" max="10" width="15.28515625" customWidth="1"/>
    <col min="11" max="11" width="8.28515625" bestFit="1" customWidth="1"/>
    <col min="12" max="12" width="13.42578125" customWidth="1"/>
    <col min="13" max="13" width="15.7109375" customWidth="1"/>
    <col min="14" max="14" width="11.42578125" customWidth="1"/>
    <col min="15" max="15" width="2.5703125" customWidth="1"/>
    <col min="16" max="16" width="11.42578125" bestFit="1" customWidth="1"/>
    <col min="17" max="17" width="12.42578125" bestFit="1" customWidth="1"/>
    <col min="18" max="18" width="13.28515625" bestFit="1" customWidth="1"/>
    <col min="19" max="19" width="15.7109375" customWidth="1"/>
    <col min="20" max="20" width="9" customWidth="1"/>
    <col min="21" max="21" width="13.7109375" customWidth="1"/>
    <col min="22" max="22" width="16" customWidth="1"/>
    <col min="23" max="23" width="11.42578125" customWidth="1"/>
  </cols>
  <sheetData>
    <row r="1" spans="1:23" ht="15.75" customHeight="1" x14ac:dyDescent="0.25">
      <c r="A1" s="9" t="s">
        <v>67</v>
      </c>
      <c r="G1" s="1"/>
      <c r="H1" s="1"/>
      <c r="P1" s="292"/>
    </row>
    <row r="2" spans="1:23" ht="15.75" customHeight="1" x14ac:dyDescent="0.25">
      <c r="A2" s="10"/>
      <c r="G2" s="1"/>
      <c r="H2" s="1"/>
      <c r="P2" s="292"/>
    </row>
    <row r="3" spans="1:23" x14ac:dyDescent="0.25">
      <c r="A3" s="11" t="s">
        <v>68</v>
      </c>
      <c r="G3" s="1"/>
      <c r="H3" s="1"/>
      <c r="P3" s="292"/>
    </row>
    <row r="4" spans="1:23" ht="15.75" customHeight="1" thickBot="1" x14ac:dyDescent="0.3"/>
    <row r="5" spans="1:23" ht="15.75" customHeight="1" x14ac:dyDescent="0.25">
      <c r="A5" s="415"/>
      <c r="B5" s="101"/>
      <c r="C5" s="429" t="s">
        <v>352</v>
      </c>
      <c r="D5" s="420" t="s">
        <v>69</v>
      </c>
      <c r="E5" s="421"/>
      <c r="F5" s="422"/>
      <c r="G5" s="431" t="s">
        <v>240</v>
      </c>
      <c r="H5" s="432"/>
      <c r="I5" s="432"/>
      <c r="J5" s="432"/>
      <c r="K5" s="432"/>
      <c r="L5" s="432"/>
      <c r="M5" s="432"/>
      <c r="N5" s="433"/>
      <c r="O5" s="12"/>
      <c r="P5" s="431" t="s">
        <v>241</v>
      </c>
      <c r="Q5" s="432"/>
      <c r="R5" s="432"/>
      <c r="S5" s="432"/>
      <c r="T5" s="432"/>
      <c r="U5" s="432"/>
      <c r="V5" s="432"/>
      <c r="W5" s="433"/>
    </row>
    <row r="6" spans="1:23" ht="15" customHeight="1" x14ac:dyDescent="0.25">
      <c r="A6" s="427"/>
      <c r="C6" s="430"/>
      <c r="D6" s="423" t="s">
        <v>73</v>
      </c>
      <c r="E6" s="423" t="s">
        <v>298</v>
      </c>
      <c r="F6" s="423" t="s">
        <v>74</v>
      </c>
      <c r="G6" s="428" t="s">
        <v>70</v>
      </c>
      <c r="H6" s="428"/>
      <c r="I6" s="424" t="s">
        <v>71</v>
      </c>
      <c r="J6" s="441" t="s">
        <v>305</v>
      </c>
      <c r="K6" s="437" t="s">
        <v>239</v>
      </c>
      <c r="L6" s="434" t="s">
        <v>307</v>
      </c>
      <c r="M6" s="419" t="s">
        <v>293</v>
      </c>
      <c r="N6" s="419" t="s">
        <v>294</v>
      </c>
      <c r="O6" s="16"/>
      <c r="P6" s="439" t="s">
        <v>70</v>
      </c>
      <c r="Q6" s="440"/>
      <c r="R6" s="435" t="s">
        <v>71</v>
      </c>
      <c r="S6" s="435" t="s">
        <v>306</v>
      </c>
      <c r="T6" s="435" t="s">
        <v>242</v>
      </c>
      <c r="U6" s="434" t="s">
        <v>307</v>
      </c>
      <c r="V6" s="419" t="s">
        <v>293</v>
      </c>
      <c r="W6" s="419" t="s">
        <v>348</v>
      </c>
    </row>
    <row r="7" spans="1:23" ht="14.65" customHeight="1" x14ac:dyDescent="0.25">
      <c r="A7" s="427"/>
      <c r="C7" s="430"/>
      <c r="D7" s="423"/>
      <c r="E7" s="423"/>
      <c r="F7" s="423"/>
      <c r="G7" s="285" t="s">
        <v>75</v>
      </c>
      <c r="H7" s="249" t="s">
        <v>226</v>
      </c>
      <c r="I7" s="425"/>
      <c r="J7" s="441"/>
      <c r="K7" s="437"/>
      <c r="L7" s="434"/>
      <c r="M7" s="419"/>
      <c r="N7" s="419"/>
      <c r="O7" s="16"/>
      <c r="P7" s="102" t="s">
        <v>75</v>
      </c>
      <c r="Q7" s="288" t="s">
        <v>226</v>
      </c>
      <c r="R7" s="435"/>
      <c r="S7" s="435"/>
      <c r="T7" s="435"/>
      <c r="U7" s="434"/>
      <c r="V7" s="419"/>
      <c r="W7" s="419"/>
    </row>
    <row r="8" spans="1:23" ht="15.75" thickBot="1" x14ac:dyDescent="0.3">
      <c r="A8" s="416"/>
      <c r="C8" s="430"/>
      <c r="D8" s="423"/>
      <c r="E8" s="423"/>
      <c r="F8" s="423"/>
      <c r="G8" s="286">
        <f>'RUN Overview'!H7</f>
        <v>0</v>
      </c>
      <c r="H8" s="250">
        <f>'RUN Overview'!H8</f>
        <v>0</v>
      </c>
      <c r="I8" s="426"/>
      <c r="J8" s="442"/>
      <c r="K8" s="438"/>
      <c r="L8" s="252">
        <f>'RUN Overview'!H10</f>
        <v>0</v>
      </c>
      <c r="M8" s="419"/>
      <c r="N8" s="419"/>
      <c r="O8" s="16"/>
      <c r="P8" s="103">
        <f>'RUN Overview'!K7</f>
        <v>0</v>
      </c>
      <c r="Q8" s="289">
        <f>'RUN Overview'!K8</f>
        <v>0</v>
      </c>
      <c r="R8" s="436"/>
      <c r="S8" s="436"/>
      <c r="T8" s="436"/>
      <c r="U8" s="252">
        <f>'RUN Overview'!K10</f>
        <v>0</v>
      </c>
      <c r="V8" s="419"/>
      <c r="W8" s="419"/>
    </row>
    <row r="9" spans="1:23" ht="16.5" customHeight="1" x14ac:dyDescent="0.25">
      <c r="A9" s="104" t="s">
        <v>36</v>
      </c>
      <c r="B9" s="104">
        <v>1</v>
      </c>
      <c r="C9" s="105">
        <v>209473238.62923893</v>
      </c>
      <c r="D9" s="63"/>
      <c r="E9" s="92"/>
      <c r="F9" s="92">
        <f t="shared" ref="F9:F17" si="0">IF($B9 = 1, C9-D9+E9, "")</f>
        <v>209473238.62923893</v>
      </c>
      <c r="G9" s="63" t="str">
        <f t="shared" ref="G9:G15" si="1">IF($B9 = 2, ROUND(G$8*$C9, 0), "")</f>
        <v/>
      </c>
      <c r="H9" s="92">
        <f t="shared" ref="H9:H17" si="2">IF(B9=1, F9*$H$8, "")</f>
        <v>0</v>
      </c>
      <c r="I9" s="63"/>
      <c r="J9" s="61">
        <f>F9</f>
        <v>209473238.62923893</v>
      </c>
      <c r="K9" s="107">
        <f>IF($C9 &gt; 0, (J9-($C9+E9))/$C9, "")</f>
        <v>0</v>
      </c>
      <c r="L9" s="251">
        <f t="shared" ref="L9:L15" si="3">IF(B9=1, F9*$L$8, "")</f>
        <v>0</v>
      </c>
      <c r="M9" s="251">
        <f>J9+L9</f>
        <v>209473238.62923893</v>
      </c>
      <c r="N9" s="107">
        <f t="shared" ref="N9:N17" si="4">M9/C9-1</f>
        <v>0</v>
      </c>
      <c r="O9" s="108"/>
      <c r="P9" s="63" t="str">
        <f t="shared" ref="P9:P17" si="5">IF($B9 = 2, ROUND(P$8*$C9, 0), "")</f>
        <v/>
      </c>
      <c r="Q9" s="92">
        <f t="shared" ref="Q9:Q17" si="6">IF(B9=1,F9*$Q$8, "")</f>
        <v>0</v>
      </c>
      <c r="R9" s="63"/>
      <c r="S9" s="61">
        <f>J9</f>
        <v>209473238.62923893</v>
      </c>
      <c r="T9" s="107">
        <f>IF($C9 &gt; 0, (S9-($C9+E9))/$C9, "")</f>
        <v>0</v>
      </c>
      <c r="U9" s="251">
        <f t="shared" ref="U9:U15" si="7">IF(B9=1, F9*$U$8, "")</f>
        <v>0</v>
      </c>
      <c r="V9" s="251">
        <f>S9+U9</f>
        <v>209473238.62923893</v>
      </c>
      <c r="W9" s="107">
        <f t="shared" ref="W9:W17" si="8">(V9/C9)-1</f>
        <v>0</v>
      </c>
    </row>
    <row r="10" spans="1:23" x14ac:dyDescent="0.25">
      <c r="A10" s="109" t="s">
        <v>40</v>
      </c>
      <c r="B10" s="109">
        <v>1</v>
      </c>
      <c r="C10" s="60">
        <v>15749696.253717061</v>
      </c>
      <c r="D10" s="63"/>
      <c r="E10" s="92"/>
      <c r="F10" s="92">
        <f t="shared" si="0"/>
        <v>15749696.253717061</v>
      </c>
      <c r="G10" s="63" t="str">
        <f t="shared" si="1"/>
        <v/>
      </c>
      <c r="H10" s="92">
        <f t="shared" si="2"/>
        <v>0</v>
      </c>
      <c r="I10" s="63"/>
      <c r="J10" s="61">
        <f t="shared" ref="J10:J15" si="9">F10</f>
        <v>15749696.253717061</v>
      </c>
      <c r="K10" s="107">
        <f t="shared" ref="K10:K17" si="10">IF($C10 &gt; 0, (J10-($C10+E10))/$C10, "")</f>
        <v>0</v>
      </c>
      <c r="L10" s="251">
        <f t="shared" si="3"/>
        <v>0</v>
      </c>
      <c r="M10" s="251">
        <f t="shared" ref="M10:M17" si="11">J10+L10</f>
        <v>15749696.253717061</v>
      </c>
      <c r="N10" s="107">
        <f t="shared" si="4"/>
        <v>0</v>
      </c>
      <c r="O10" s="108"/>
      <c r="P10" s="63" t="str">
        <f t="shared" si="5"/>
        <v/>
      </c>
      <c r="Q10" s="92">
        <f t="shared" si="6"/>
        <v>0</v>
      </c>
      <c r="R10" s="63"/>
      <c r="S10" s="61">
        <f t="shared" ref="S10:S17" si="12">J10</f>
        <v>15749696.253717061</v>
      </c>
      <c r="T10" s="107">
        <f t="shared" ref="T10:T18" si="13">IF($C10 &gt; 0, (S10-($C10+E10))/$C10, "")</f>
        <v>0</v>
      </c>
      <c r="U10" s="251">
        <f t="shared" si="7"/>
        <v>0</v>
      </c>
      <c r="V10" s="251">
        <f t="shared" ref="V10:V17" si="14">S10+U10</f>
        <v>15749696.253717061</v>
      </c>
      <c r="W10" s="107">
        <f t="shared" si="8"/>
        <v>0</v>
      </c>
    </row>
    <row r="11" spans="1:23" ht="16.5" customHeight="1" x14ac:dyDescent="0.25">
      <c r="A11" s="109" t="s">
        <v>41</v>
      </c>
      <c r="B11" s="109">
        <v>1</v>
      </c>
      <c r="C11" s="60">
        <v>17429044.75952914</v>
      </c>
      <c r="D11" s="63"/>
      <c r="E11" s="92"/>
      <c r="F11" s="92">
        <f t="shared" si="0"/>
        <v>17429044.75952914</v>
      </c>
      <c r="G11" s="63" t="str">
        <f t="shared" si="1"/>
        <v/>
      </c>
      <c r="H11" s="92">
        <f t="shared" si="2"/>
        <v>0</v>
      </c>
      <c r="I11" s="63"/>
      <c r="J11" s="61">
        <f t="shared" si="9"/>
        <v>17429044.75952914</v>
      </c>
      <c r="K11" s="107">
        <f t="shared" si="10"/>
        <v>0</v>
      </c>
      <c r="L11" s="251">
        <f t="shared" si="3"/>
        <v>0</v>
      </c>
      <c r="M11" s="251">
        <f t="shared" si="11"/>
        <v>17429044.75952914</v>
      </c>
      <c r="N11" s="107">
        <f t="shared" si="4"/>
        <v>0</v>
      </c>
      <c r="O11" s="108"/>
      <c r="P11" s="63" t="str">
        <f t="shared" si="5"/>
        <v/>
      </c>
      <c r="Q11" s="92">
        <f t="shared" si="6"/>
        <v>0</v>
      </c>
      <c r="R11" s="63"/>
      <c r="S11" s="61">
        <f t="shared" si="12"/>
        <v>17429044.75952914</v>
      </c>
      <c r="T11" s="107">
        <f t="shared" si="13"/>
        <v>0</v>
      </c>
      <c r="U11" s="251">
        <f t="shared" si="7"/>
        <v>0</v>
      </c>
      <c r="V11" s="251">
        <f t="shared" si="14"/>
        <v>17429044.75952914</v>
      </c>
      <c r="W11" s="107">
        <f t="shared" si="8"/>
        <v>0</v>
      </c>
    </row>
    <row r="12" spans="1:23" ht="16.5" customHeight="1" x14ac:dyDescent="0.25">
      <c r="A12" s="109" t="s">
        <v>42</v>
      </c>
      <c r="B12" s="109">
        <v>1</v>
      </c>
      <c r="C12" s="60">
        <v>20683340.923701819</v>
      </c>
      <c r="D12" s="63"/>
      <c r="E12" s="92"/>
      <c r="F12" s="92">
        <f t="shared" si="0"/>
        <v>20683340.923701819</v>
      </c>
      <c r="G12" s="63" t="str">
        <f t="shared" si="1"/>
        <v/>
      </c>
      <c r="H12" s="92">
        <f t="shared" si="2"/>
        <v>0</v>
      </c>
      <c r="I12" s="63"/>
      <c r="J12" s="61">
        <f t="shared" si="9"/>
        <v>20683340.923701819</v>
      </c>
      <c r="K12" s="107">
        <f t="shared" si="10"/>
        <v>0</v>
      </c>
      <c r="L12" s="251">
        <f t="shared" si="3"/>
        <v>0</v>
      </c>
      <c r="M12" s="251">
        <f t="shared" si="11"/>
        <v>20683340.923701819</v>
      </c>
      <c r="N12" s="107">
        <f t="shared" si="4"/>
        <v>0</v>
      </c>
      <c r="O12" s="108"/>
      <c r="P12" s="63" t="str">
        <f t="shared" si="5"/>
        <v/>
      </c>
      <c r="Q12" s="92">
        <f t="shared" si="6"/>
        <v>0</v>
      </c>
      <c r="R12" s="63"/>
      <c r="S12" s="61">
        <f t="shared" si="12"/>
        <v>20683340.923701819</v>
      </c>
      <c r="T12" s="107">
        <f t="shared" si="13"/>
        <v>0</v>
      </c>
      <c r="U12" s="251">
        <f t="shared" si="7"/>
        <v>0</v>
      </c>
      <c r="V12" s="251">
        <f t="shared" si="14"/>
        <v>20683340.923701819</v>
      </c>
      <c r="W12" s="107">
        <f t="shared" si="8"/>
        <v>0</v>
      </c>
    </row>
    <row r="13" spans="1:23" ht="16.5" customHeight="1" x14ac:dyDescent="0.25">
      <c r="A13" s="109" t="s">
        <v>43</v>
      </c>
      <c r="B13" s="109">
        <v>1</v>
      </c>
      <c r="C13" s="60">
        <v>134999999.50916311</v>
      </c>
      <c r="D13" s="63"/>
      <c r="E13" s="92"/>
      <c r="F13" s="92">
        <f t="shared" si="0"/>
        <v>134999999.50916311</v>
      </c>
      <c r="G13" s="63" t="str">
        <f t="shared" si="1"/>
        <v/>
      </c>
      <c r="H13" s="92">
        <f t="shared" si="2"/>
        <v>0</v>
      </c>
      <c r="I13" s="63"/>
      <c r="J13" s="61">
        <f t="shared" si="9"/>
        <v>134999999.50916311</v>
      </c>
      <c r="K13" s="107">
        <f t="shared" si="10"/>
        <v>0</v>
      </c>
      <c r="L13" s="251">
        <f t="shared" si="3"/>
        <v>0</v>
      </c>
      <c r="M13" s="251">
        <f t="shared" si="11"/>
        <v>134999999.50916311</v>
      </c>
      <c r="N13" s="107">
        <f t="shared" si="4"/>
        <v>0</v>
      </c>
      <c r="O13" s="108"/>
      <c r="P13" s="63" t="str">
        <f t="shared" si="5"/>
        <v/>
      </c>
      <c r="Q13" s="92">
        <f t="shared" si="6"/>
        <v>0</v>
      </c>
      <c r="R13" s="63"/>
      <c r="S13" s="61">
        <f t="shared" si="12"/>
        <v>134999999.50916311</v>
      </c>
      <c r="T13" s="107">
        <f t="shared" si="13"/>
        <v>0</v>
      </c>
      <c r="U13" s="251">
        <f t="shared" si="7"/>
        <v>0</v>
      </c>
      <c r="V13" s="251">
        <f t="shared" si="14"/>
        <v>134999999.50916311</v>
      </c>
      <c r="W13" s="107">
        <f t="shared" si="8"/>
        <v>0</v>
      </c>
    </row>
    <row r="14" spans="1:23" x14ac:dyDescent="0.25">
      <c r="A14" s="109" t="s">
        <v>44</v>
      </c>
      <c r="B14" s="109">
        <v>1</v>
      </c>
      <c r="C14" s="60">
        <v>26617832.603080567</v>
      </c>
      <c r="D14" s="63"/>
      <c r="E14" s="92"/>
      <c r="F14" s="92">
        <f t="shared" si="0"/>
        <v>26617832.603080567</v>
      </c>
      <c r="G14" s="63" t="str">
        <f t="shared" si="1"/>
        <v/>
      </c>
      <c r="H14" s="92">
        <f t="shared" si="2"/>
        <v>0</v>
      </c>
      <c r="I14" s="63"/>
      <c r="J14" s="61">
        <f t="shared" si="9"/>
        <v>26617832.603080567</v>
      </c>
      <c r="K14" s="107">
        <f t="shared" si="10"/>
        <v>0</v>
      </c>
      <c r="L14" s="251">
        <f t="shared" si="3"/>
        <v>0</v>
      </c>
      <c r="M14" s="251">
        <f t="shared" si="11"/>
        <v>26617832.603080567</v>
      </c>
      <c r="N14" s="107">
        <f t="shared" si="4"/>
        <v>0</v>
      </c>
      <c r="O14" s="108"/>
      <c r="P14" s="63" t="str">
        <f t="shared" si="5"/>
        <v/>
      </c>
      <c r="Q14" s="92">
        <f t="shared" si="6"/>
        <v>0</v>
      </c>
      <c r="R14" s="63"/>
      <c r="S14" s="61">
        <f t="shared" si="12"/>
        <v>26617832.603080567</v>
      </c>
      <c r="T14" s="107">
        <f t="shared" si="13"/>
        <v>0</v>
      </c>
      <c r="U14" s="251">
        <f t="shared" si="7"/>
        <v>0</v>
      </c>
      <c r="V14" s="251">
        <f t="shared" si="14"/>
        <v>26617832.603080567</v>
      </c>
      <c r="W14" s="107">
        <f t="shared" si="8"/>
        <v>0</v>
      </c>
    </row>
    <row r="15" spans="1:23" ht="16.5" customHeight="1" x14ac:dyDescent="0.25">
      <c r="A15" s="109" t="s">
        <v>45</v>
      </c>
      <c r="B15" s="109">
        <v>1</v>
      </c>
      <c r="C15" s="60">
        <v>22481327.718158279</v>
      </c>
      <c r="D15" s="63"/>
      <c r="E15" s="92"/>
      <c r="F15" s="92">
        <f t="shared" si="0"/>
        <v>22481327.718158279</v>
      </c>
      <c r="G15" s="63" t="str">
        <f t="shared" si="1"/>
        <v/>
      </c>
      <c r="H15" s="92">
        <f t="shared" si="2"/>
        <v>0</v>
      </c>
      <c r="I15" s="63"/>
      <c r="J15" s="61">
        <f t="shared" si="9"/>
        <v>22481327.718158279</v>
      </c>
      <c r="K15" s="107">
        <f t="shared" si="10"/>
        <v>0</v>
      </c>
      <c r="L15" s="251">
        <f t="shared" si="3"/>
        <v>0</v>
      </c>
      <c r="M15" s="251">
        <f t="shared" si="11"/>
        <v>22481327.718158279</v>
      </c>
      <c r="N15" s="107">
        <f t="shared" si="4"/>
        <v>0</v>
      </c>
      <c r="O15" s="108"/>
      <c r="P15" s="63" t="str">
        <f t="shared" si="5"/>
        <v/>
      </c>
      <c r="Q15" s="92">
        <f t="shared" si="6"/>
        <v>0</v>
      </c>
      <c r="R15" s="63"/>
      <c r="S15" s="61">
        <f t="shared" si="12"/>
        <v>22481327.718158279</v>
      </c>
      <c r="T15" s="107">
        <f t="shared" si="13"/>
        <v>0</v>
      </c>
      <c r="U15" s="251">
        <f t="shared" si="7"/>
        <v>0</v>
      </c>
      <c r="V15" s="251">
        <f t="shared" si="14"/>
        <v>22481327.718158279</v>
      </c>
      <c r="W15" s="107">
        <f t="shared" si="8"/>
        <v>0</v>
      </c>
    </row>
    <row r="16" spans="1:23" x14ac:dyDescent="0.25">
      <c r="A16" s="109" t="s">
        <v>46</v>
      </c>
      <c r="B16" s="109">
        <v>2</v>
      </c>
      <c r="C16" s="60">
        <v>128424160</v>
      </c>
      <c r="D16" s="63">
        <f>C16</f>
        <v>128424160</v>
      </c>
      <c r="E16" s="92"/>
      <c r="F16" s="92" t="str">
        <f t="shared" si="0"/>
        <v/>
      </c>
      <c r="G16" s="63">
        <f>IF($B16 = 2, ROUND(G$8*$C16, 0), "")</f>
        <v>0</v>
      </c>
      <c r="H16" s="92" t="str">
        <f t="shared" si="2"/>
        <v/>
      </c>
      <c r="I16" s="63"/>
      <c r="J16" s="61">
        <f>D16</f>
        <v>128424160</v>
      </c>
      <c r="K16" s="107">
        <f t="shared" si="10"/>
        <v>0</v>
      </c>
      <c r="L16" s="251">
        <v>0</v>
      </c>
      <c r="M16" s="251">
        <f>J16+L16</f>
        <v>128424160</v>
      </c>
      <c r="N16" s="107">
        <f t="shared" si="4"/>
        <v>0</v>
      </c>
      <c r="O16" s="108"/>
      <c r="P16" s="63">
        <f t="shared" si="5"/>
        <v>0</v>
      </c>
      <c r="Q16" s="92" t="str">
        <f t="shared" si="6"/>
        <v/>
      </c>
      <c r="R16" s="63"/>
      <c r="S16" s="61">
        <f t="shared" si="12"/>
        <v>128424160</v>
      </c>
      <c r="T16" s="107">
        <f t="shared" si="13"/>
        <v>0</v>
      </c>
      <c r="U16" s="251">
        <v>0</v>
      </c>
      <c r="V16" s="251">
        <f t="shared" si="14"/>
        <v>128424160</v>
      </c>
      <c r="W16" s="107">
        <f t="shared" si="8"/>
        <v>0</v>
      </c>
    </row>
    <row r="17" spans="1:23" ht="15.75" customHeight="1" thickBot="1" x14ac:dyDescent="0.3">
      <c r="A17" s="109" t="s">
        <v>47</v>
      </c>
      <c r="B17" s="109">
        <v>2</v>
      </c>
      <c r="C17" s="60">
        <v>5120388</v>
      </c>
      <c r="D17" s="63">
        <f>C17</f>
        <v>5120388</v>
      </c>
      <c r="E17" s="92"/>
      <c r="F17" s="92" t="str">
        <f t="shared" si="0"/>
        <v/>
      </c>
      <c r="G17" s="63">
        <f>IF($B17 = 2, ROUND(G$8*$C17, 0), "0")</f>
        <v>0</v>
      </c>
      <c r="H17" s="92" t="str">
        <f t="shared" si="2"/>
        <v/>
      </c>
      <c r="I17" s="63"/>
      <c r="J17" s="61">
        <f>D17</f>
        <v>5120388</v>
      </c>
      <c r="K17" s="107">
        <f t="shared" si="10"/>
        <v>0</v>
      </c>
      <c r="L17" s="251">
        <v>0</v>
      </c>
      <c r="M17" s="282">
        <f t="shared" si="11"/>
        <v>5120388</v>
      </c>
      <c r="N17" s="283">
        <f t="shared" si="4"/>
        <v>0</v>
      </c>
      <c r="O17" s="108"/>
      <c r="P17" s="63">
        <f t="shared" si="5"/>
        <v>0</v>
      </c>
      <c r="Q17" s="92" t="str">
        <f t="shared" si="6"/>
        <v/>
      </c>
      <c r="R17" s="63"/>
      <c r="S17" s="61">
        <f t="shared" si="12"/>
        <v>5120388</v>
      </c>
      <c r="T17" s="107">
        <f t="shared" si="13"/>
        <v>0</v>
      </c>
      <c r="U17" s="251">
        <v>0</v>
      </c>
      <c r="V17" s="282">
        <f t="shared" si="14"/>
        <v>5120388</v>
      </c>
      <c r="W17" s="283">
        <f t="shared" si="8"/>
        <v>0</v>
      </c>
    </row>
    <row r="18" spans="1:23" s="146" customFormat="1" ht="15.75" customHeight="1" thickTop="1" x14ac:dyDescent="0.25">
      <c r="A18" s="110" t="s">
        <v>65</v>
      </c>
      <c r="B18" s="110"/>
      <c r="C18" s="111">
        <v>580979028.39658892</v>
      </c>
      <c r="D18" s="115">
        <f t="shared" ref="D18:F18" si="15">SUM(D9:D17)</f>
        <v>133544548</v>
      </c>
      <c r="E18" s="112">
        <f t="shared" si="15"/>
        <v>0</v>
      </c>
      <c r="F18" s="113">
        <f t="shared" si="15"/>
        <v>447434480.39658892</v>
      </c>
      <c r="G18" s="112">
        <f>SUM(G9:G17)</f>
        <v>0</v>
      </c>
      <c r="H18" s="214">
        <f>SUM(H9:H17)</f>
        <v>0</v>
      </c>
      <c r="I18" s="112">
        <f>SUM(I9:I17)</f>
        <v>0</v>
      </c>
      <c r="J18" s="115">
        <f>SUM(J9:J17)</f>
        <v>580979028.39658892</v>
      </c>
      <c r="K18" s="116">
        <f>IF($C18 &gt; 0, (J18-($C18+E18))/$C18, "")</f>
        <v>0</v>
      </c>
      <c r="L18" s="115">
        <f>SUM(L9:L17)</f>
        <v>0</v>
      </c>
      <c r="M18" s="291">
        <f>J18+L18</f>
        <v>580979028.39658892</v>
      </c>
      <c r="N18" s="284">
        <f>M18/(C18+E18)-1</f>
        <v>0</v>
      </c>
      <c r="O18" s="117"/>
      <c r="P18" s="112">
        <f>SUM(P9:P17)</f>
        <v>0</v>
      </c>
      <c r="Q18" s="115">
        <f>SUM(Q9:Q17)</f>
        <v>0</v>
      </c>
      <c r="R18" s="112">
        <f>SUM(R9:R17)</f>
        <v>0</v>
      </c>
      <c r="S18" s="115">
        <f>SUM(S9:S17)</f>
        <v>580979028.39658892</v>
      </c>
      <c r="T18" s="116">
        <f t="shared" si="13"/>
        <v>0</v>
      </c>
      <c r="U18" s="115">
        <f>SUM(U9:U17)</f>
        <v>0</v>
      </c>
      <c r="V18" s="291">
        <f t="shared" ref="V18" si="16">S18+U18</f>
        <v>580979028.39658892</v>
      </c>
      <c r="W18" s="290">
        <f>V18/(C18+E18)-1</f>
        <v>0</v>
      </c>
    </row>
    <row r="19" spans="1:23" x14ac:dyDescent="0.25">
      <c r="A19" s="118"/>
      <c r="B19" s="118"/>
      <c r="C19" s="108"/>
      <c r="D19" s="119"/>
      <c r="E19" s="120"/>
      <c r="F19" s="120"/>
      <c r="G19" s="119"/>
      <c r="H19" s="120"/>
      <c r="I19" s="119"/>
      <c r="J19" s="122"/>
      <c r="K19" s="124"/>
      <c r="L19" s="124"/>
      <c r="M19" s="124"/>
      <c r="N19" s="124"/>
      <c r="O19" s="108"/>
      <c r="P19" s="119"/>
      <c r="Q19" s="120"/>
      <c r="R19" s="119"/>
      <c r="S19" s="122"/>
      <c r="T19" s="124"/>
      <c r="U19" s="124"/>
      <c r="V19" s="124"/>
      <c r="W19" s="124"/>
    </row>
    <row r="20" spans="1:23" x14ac:dyDescent="0.25">
      <c r="A20" s="109" t="s">
        <v>50</v>
      </c>
      <c r="B20" s="109">
        <v>1</v>
      </c>
      <c r="C20" s="60">
        <v>235971844.37694469</v>
      </c>
      <c r="D20" s="63">
        <v>17600000</v>
      </c>
      <c r="E20" s="92">
        <f>17000000</f>
        <v>17000000</v>
      </c>
      <c r="F20" s="92">
        <f>IF($B20 = 1, C20-D20+E20, "")</f>
        <v>235371844.37694469</v>
      </c>
      <c r="G20" s="63" t="str">
        <f t="shared" ref="G20:G24" si="17">IF($B20 = 2, ROUND(G$8*$C20, 0), "")</f>
        <v/>
      </c>
      <c r="H20" s="92">
        <f>IF(B20=1, F20*$H$8, "")</f>
        <v>0</v>
      </c>
      <c r="I20" s="63"/>
      <c r="J20" s="61">
        <f>C20+C23</f>
        <v>252971844.37694469</v>
      </c>
      <c r="K20" s="107">
        <f t="shared" ref="K20:K25" si="18">IF($C20 &gt; 0, (J20-($C20+E20))/$C20, "")</f>
        <v>0</v>
      </c>
      <c r="L20" s="251">
        <f>IF(B20=1, F20*$L$8, "")</f>
        <v>0</v>
      </c>
      <c r="M20" s="251">
        <f>J20+L20</f>
        <v>252971844.37694469</v>
      </c>
      <c r="N20" s="107">
        <f>M20/C20-1</f>
        <v>7.2042493225776383E-2</v>
      </c>
      <c r="O20" s="108"/>
      <c r="P20" s="63" t="str">
        <f>IF($B20 = 2, ROUND(P$8*$C20, 0), "")</f>
        <v/>
      </c>
      <c r="Q20" s="92">
        <f>IF(B20=1,F20*$Q$8, "")</f>
        <v>0</v>
      </c>
      <c r="R20" s="63"/>
      <c r="S20" s="61">
        <f>J20</f>
        <v>252971844.37694469</v>
      </c>
      <c r="T20" s="107">
        <f>IF($C20 &gt; 0, (S20-($C20+E20))/$C20, "")</f>
        <v>0</v>
      </c>
      <c r="U20" s="251">
        <f>IF(B20=1, F20*$U$8, "")</f>
        <v>0</v>
      </c>
      <c r="V20" s="251">
        <f>S20+U20</f>
        <v>252971844.37694469</v>
      </c>
      <c r="W20" s="107">
        <f>V20/C20-1</f>
        <v>7.2042493225776383E-2</v>
      </c>
    </row>
    <row r="21" spans="1:23" x14ac:dyDescent="0.25">
      <c r="A21" s="109" t="s">
        <v>51</v>
      </c>
      <c r="B21" s="109">
        <v>1</v>
      </c>
      <c r="C21" s="60">
        <v>50661478.826272801</v>
      </c>
      <c r="D21" s="63"/>
      <c r="E21" s="92"/>
      <c r="F21" s="92">
        <f>IF($B21 = 1, C21-D21+E21, "")</f>
        <v>50661478.826272801</v>
      </c>
      <c r="G21" s="63" t="str">
        <f t="shared" si="17"/>
        <v/>
      </c>
      <c r="H21" s="92">
        <f>IF(B21=1, F21*$H$8, "")</f>
        <v>0</v>
      </c>
      <c r="I21" s="63"/>
      <c r="J21" s="61">
        <f>F21</f>
        <v>50661478.826272801</v>
      </c>
      <c r="K21" s="107">
        <f t="shared" si="18"/>
        <v>0</v>
      </c>
      <c r="L21" s="251">
        <f>IF(B21=1, F21*$L$8, "")</f>
        <v>0</v>
      </c>
      <c r="M21" s="251">
        <f t="shared" ref="M21:M25" si="19">J21+L21</f>
        <v>50661478.826272801</v>
      </c>
      <c r="N21" s="107">
        <f>M21/C21-1</f>
        <v>0</v>
      </c>
      <c r="O21" s="108"/>
      <c r="P21" s="63" t="str">
        <f>IF($B21 = 2, ROUND(P$8*$C21, 0), "")</f>
        <v/>
      </c>
      <c r="Q21" s="92">
        <f>IF(B21=1,F21*$Q$8, "")</f>
        <v>0</v>
      </c>
      <c r="R21" s="63"/>
      <c r="S21" s="61">
        <f t="shared" ref="S21:S24" si="20">J21</f>
        <v>50661478.826272801</v>
      </c>
      <c r="T21" s="107">
        <f>IF($C21 &gt; 0, (S21-($C21+E21))/$C21, "")</f>
        <v>0</v>
      </c>
      <c r="U21" s="251">
        <f>IF(B21=1, F21*$U$8, "")</f>
        <v>0</v>
      </c>
      <c r="V21" s="251">
        <f t="shared" ref="V21:V25" si="21">S21+U21</f>
        <v>50661478.826272801</v>
      </c>
      <c r="W21" s="107">
        <f>V21/C21-1</f>
        <v>0</v>
      </c>
    </row>
    <row r="22" spans="1:23" x14ac:dyDescent="0.25">
      <c r="A22" s="109" t="s">
        <v>52</v>
      </c>
      <c r="B22" s="109">
        <v>2</v>
      </c>
      <c r="C22" s="60">
        <v>18973866</v>
      </c>
      <c r="D22" s="63">
        <f>C22</f>
        <v>18973866</v>
      </c>
      <c r="E22" s="92"/>
      <c r="F22" s="92" t="str">
        <f>IF($B22 = 1, C22-D22+E22, "")</f>
        <v/>
      </c>
      <c r="G22" s="63">
        <f>IF($B22 = 2, ROUND(G$8*$C22, 0), "")</f>
        <v>0</v>
      </c>
      <c r="H22" s="92" t="str">
        <f>IF(B22=1, F22*$H$8, "")</f>
        <v/>
      </c>
      <c r="I22" s="63"/>
      <c r="J22" s="60">
        <v>18973866</v>
      </c>
      <c r="K22" s="107">
        <f t="shared" si="18"/>
        <v>0</v>
      </c>
      <c r="L22" s="251">
        <v>0</v>
      </c>
      <c r="M22" s="251">
        <f t="shared" si="19"/>
        <v>18973866</v>
      </c>
      <c r="N22" s="107">
        <f>M22/C22-1</f>
        <v>0</v>
      </c>
      <c r="O22" s="108"/>
      <c r="P22" s="63">
        <f>IF($B22 = 2, ROUND(P$8*$C22, 0), "")</f>
        <v>0</v>
      </c>
      <c r="Q22" s="92" t="str">
        <f>IF(B22=1,F22*$Q$8, "")</f>
        <v/>
      </c>
      <c r="R22" s="63"/>
      <c r="S22" s="61">
        <f t="shared" si="20"/>
        <v>18973866</v>
      </c>
      <c r="T22" s="107">
        <f>IF($C22 &gt; 0, (S22-($C22+E22))/$C22, "")</f>
        <v>0</v>
      </c>
      <c r="U22" s="251">
        <v>0</v>
      </c>
      <c r="V22" s="251">
        <f t="shared" si="21"/>
        <v>18973866</v>
      </c>
      <c r="W22" s="107">
        <f>V22/C22-1</f>
        <v>0</v>
      </c>
    </row>
    <row r="23" spans="1:23" x14ac:dyDescent="0.25">
      <c r="A23" s="109" t="s">
        <v>229</v>
      </c>
      <c r="B23" s="109">
        <v>1</v>
      </c>
      <c r="C23" s="60">
        <v>17000000</v>
      </c>
      <c r="D23" s="63"/>
      <c r="E23" s="92">
        <v>-17000000</v>
      </c>
      <c r="F23" s="92">
        <f>IF($B23 = 1, C23-D23+E23, "")</f>
        <v>0</v>
      </c>
      <c r="G23" s="63" t="str">
        <f>IF($B23 = 2, ROUND(G$8*$C23, 0), "")</f>
        <v/>
      </c>
      <c r="H23" s="92">
        <f>IF(B23=1, F23*$H$8, "")</f>
        <v>0</v>
      </c>
      <c r="I23" s="63"/>
      <c r="J23" s="61">
        <v>0</v>
      </c>
      <c r="K23" s="107">
        <f t="shared" si="18"/>
        <v>0</v>
      </c>
      <c r="L23" s="251">
        <v>0</v>
      </c>
      <c r="M23" s="251">
        <f t="shared" si="19"/>
        <v>0</v>
      </c>
      <c r="N23" s="107">
        <f>M23/C23-1</f>
        <v>-1</v>
      </c>
      <c r="O23" s="108"/>
      <c r="P23" s="63"/>
      <c r="Q23" s="92">
        <f>IF(B23=1,F23*$Q$8, "")</f>
        <v>0</v>
      </c>
      <c r="R23" s="63"/>
      <c r="S23" s="61">
        <f t="shared" si="20"/>
        <v>0</v>
      </c>
      <c r="T23" s="107">
        <f>IF($C23 &gt; 0, (S23-($C23+E23))/$C23, "")</f>
        <v>0</v>
      </c>
      <c r="U23" s="251">
        <v>0</v>
      </c>
      <c r="V23" s="251">
        <f t="shared" si="21"/>
        <v>0</v>
      </c>
      <c r="W23" s="107">
        <f>V23/C23-1</f>
        <v>-1</v>
      </c>
    </row>
    <row r="24" spans="1:23" ht="15.75" customHeight="1" thickBot="1" x14ac:dyDescent="0.3">
      <c r="A24" s="109" t="s">
        <v>53</v>
      </c>
      <c r="B24" s="109">
        <v>1</v>
      </c>
      <c r="C24" s="60">
        <v>47438548.772700101</v>
      </c>
      <c r="D24" s="63"/>
      <c r="E24" s="92"/>
      <c r="F24" s="92">
        <f>IF($B24 = 1, C24-D24+E24, "")</f>
        <v>47438548.772700101</v>
      </c>
      <c r="G24" s="63" t="str">
        <f t="shared" si="17"/>
        <v/>
      </c>
      <c r="H24" s="92">
        <f>IF(B24=1, F24*$H$8, "")</f>
        <v>0</v>
      </c>
      <c r="I24" s="63"/>
      <c r="J24" s="61">
        <f>F24</f>
        <v>47438548.772700101</v>
      </c>
      <c r="K24" s="107">
        <f t="shared" si="18"/>
        <v>0</v>
      </c>
      <c r="L24" s="251">
        <f>IF(B24=1, F24*$L$8, "")</f>
        <v>0</v>
      </c>
      <c r="M24" s="282">
        <f t="shared" si="19"/>
        <v>47438548.772700101</v>
      </c>
      <c r="N24" s="283">
        <f>M24/C24-1</f>
        <v>0</v>
      </c>
      <c r="O24" s="108"/>
      <c r="P24" s="63" t="str">
        <f>IF($B24 = 2, ROUND(P$8*$C24, 0), "")</f>
        <v/>
      </c>
      <c r="Q24" s="92">
        <f>IF(B24=1,F24*$Q$8, "")</f>
        <v>0</v>
      </c>
      <c r="R24" s="63"/>
      <c r="S24" s="61">
        <f t="shared" si="20"/>
        <v>47438548.772700101</v>
      </c>
      <c r="T24" s="107">
        <f>IF($C24 &gt; 0, (S24-($C24+E24))/$C24, "")</f>
        <v>0</v>
      </c>
      <c r="U24" s="251">
        <f>IF(B24=1, F24*$U$8, "")</f>
        <v>0</v>
      </c>
      <c r="V24" s="282">
        <f t="shared" si="21"/>
        <v>47438548.772700101</v>
      </c>
      <c r="W24" s="287">
        <f>V24/C24-1</f>
        <v>0</v>
      </c>
    </row>
    <row r="25" spans="1:23" s="146" customFormat="1" ht="15.75" customHeight="1" thickTop="1" x14ac:dyDescent="0.25">
      <c r="A25" s="110" t="s">
        <v>66</v>
      </c>
      <c r="B25" s="110"/>
      <c r="C25" s="111">
        <v>370042054.97591764</v>
      </c>
      <c r="D25" s="112">
        <f t="shared" ref="D25:F25" si="22">SUM(D20:D24)</f>
        <v>36573866</v>
      </c>
      <c r="E25" s="112">
        <f t="shared" si="22"/>
        <v>0</v>
      </c>
      <c r="F25" s="115">
        <f t="shared" si="22"/>
        <v>333471871.97591758</v>
      </c>
      <c r="G25" s="112">
        <f>SUM(G20:G24)</f>
        <v>0</v>
      </c>
      <c r="H25" s="214">
        <f>SUM(H20:H24)</f>
        <v>0</v>
      </c>
      <c r="I25" s="112">
        <f>SUM(I20:I24)</f>
        <v>0</v>
      </c>
      <c r="J25" s="115">
        <f>SUM(J20:J24)</f>
        <v>370045737.97591758</v>
      </c>
      <c r="K25" s="116">
        <f t="shared" si="18"/>
        <v>9.9529227838173294E-6</v>
      </c>
      <c r="L25" s="115">
        <f>SUM(L20:L24)</f>
        <v>0</v>
      </c>
      <c r="M25" s="291">
        <f t="shared" si="19"/>
        <v>370045737.97591758</v>
      </c>
      <c r="N25" s="284">
        <f>M25/(C25+E25)-1</f>
        <v>9.9529227837180656E-6</v>
      </c>
      <c r="O25" s="117"/>
      <c r="P25" s="112">
        <f>SUM(P20:P24)</f>
        <v>0</v>
      </c>
      <c r="Q25" s="112">
        <f>SUM(Q20:Q24)</f>
        <v>0</v>
      </c>
      <c r="R25" s="112">
        <f>SUM(R20:R24)</f>
        <v>0</v>
      </c>
      <c r="S25" s="115">
        <f>SUM(S20:S24)</f>
        <v>370045737.97591758</v>
      </c>
      <c r="T25" s="116">
        <f t="shared" ref="T25" si="23">IF($C25 &gt; 0, (S25-($C25+E25))/$C25, "")</f>
        <v>9.9529227838173294E-6</v>
      </c>
      <c r="U25" s="115">
        <f>SUM(U20:U24)</f>
        <v>0</v>
      </c>
      <c r="V25" s="291">
        <f t="shared" si="21"/>
        <v>370045737.97591758</v>
      </c>
      <c r="W25" s="290">
        <f>V25/(C25+E25)-1</f>
        <v>9.9529227837180656E-6</v>
      </c>
    </row>
    <row r="26" spans="1:23" x14ac:dyDescent="0.25">
      <c r="A26" s="118"/>
      <c r="B26" s="118"/>
      <c r="C26" s="108"/>
      <c r="D26" s="119"/>
      <c r="E26" s="120"/>
      <c r="F26" s="120"/>
      <c r="G26" s="119"/>
      <c r="H26" s="120"/>
      <c r="I26" s="119"/>
      <c r="J26" s="122"/>
      <c r="K26" s="124"/>
      <c r="L26" s="124"/>
      <c r="M26" s="124"/>
      <c r="N26" s="124"/>
      <c r="O26" s="108"/>
      <c r="P26" s="119"/>
      <c r="Q26" s="120"/>
      <c r="R26" s="119"/>
      <c r="S26" s="122"/>
      <c r="T26" s="124"/>
      <c r="U26" s="124"/>
      <c r="V26" s="124"/>
      <c r="W26" s="124"/>
    </row>
    <row r="27" spans="1:23" x14ac:dyDescent="0.25">
      <c r="A27" s="109" t="s">
        <v>55</v>
      </c>
      <c r="B27" s="109">
        <v>1</v>
      </c>
      <c r="C27" s="60">
        <v>138952024.73652273</v>
      </c>
      <c r="D27" s="63"/>
      <c r="E27" s="92"/>
      <c r="F27" s="92">
        <f>IF($B27 = 1, C27-D27+E27, "")</f>
        <v>138952024.73652273</v>
      </c>
      <c r="G27" s="63" t="str">
        <f>IF($B27 = 2, ROUND(G$8*$C27, 0), "")</f>
        <v/>
      </c>
      <c r="H27" s="92">
        <f>IF(B27=1, F27*$H$8, "")</f>
        <v>0</v>
      </c>
      <c r="I27" s="63"/>
      <c r="J27" s="61">
        <f>F27</f>
        <v>138952024.73652273</v>
      </c>
      <c r="K27" s="107">
        <f t="shared" ref="K27:K32" si="24">IF($C27 &gt; 0, (J27-($C27+E27))/$C27, "")</f>
        <v>0</v>
      </c>
      <c r="L27" s="251">
        <f>IF(B27=1, F27*$L$8, "")</f>
        <v>0</v>
      </c>
      <c r="M27" s="251">
        <f>J27+L27</f>
        <v>138952024.73652273</v>
      </c>
      <c r="N27" s="284">
        <f t="shared" ref="N27:N32" si="25">M27/(C27+E27)-1</f>
        <v>0</v>
      </c>
      <c r="O27" s="108"/>
      <c r="P27" s="63" t="str">
        <f>IF($B27 = 2, ROUND(P$8*$C27, 0), "")</f>
        <v/>
      </c>
      <c r="Q27" s="92">
        <f>IF(B27=1,F27*$Q$8, "")</f>
        <v>0</v>
      </c>
      <c r="R27" s="63"/>
      <c r="S27" s="61">
        <f>J27</f>
        <v>138952024.73652273</v>
      </c>
      <c r="T27" s="107">
        <f>IF($C27 &gt; 0, (S27-($C27+E27))/$C27, "")</f>
        <v>0</v>
      </c>
      <c r="U27" s="251">
        <f>IF(B27=1, F27*$U$8, "")</f>
        <v>0</v>
      </c>
      <c r="V27" s="251">
        <f>S27+U27</f>
        <v>138952024.73652273</v>
      </c>
      <c r="W27" s="107">
        <f t="shared" ref="W27:W32" si="26">V27/(C27+E27)-1</f>
        <v>0</v>
      </c>
    </row>
    <row r="28" spans="1:23" x14ac:dyDescent="0.25">
      <c r="A28" s="109" t="s">
        <v>56</v>
      </c>
      <c r="B28" s="109">
        <v>1</v>
      </c>
      <c r="C28" s="60">
        <v>77960325.877869874</v>
      </c>
      <c r="D28" s="63"/>
      <c r="E28" s="92"/>
      <c r="F28" s="92">
        <f>IF($B28 = 1, C28-D28+E28, "")</f>
        <v>77960325.877869874</v>
      </c>
      <c r="G28" s="63" t="str">
        <f>IF($B28 = 2, ROUND(G$8*$C28, 0), "")</f>
        <v/>
      </c>
      <c r="H28" s="92">
        <f>IF(B28=1, F28*$H$8, "")</f>
        <v>0</v>
      </c>
      <c r="I28" s="63"/>
      <c r="J28" s="61">
        <f>F28</f>
        <v>77960325.877869874</v>
      </c>
      <c r="K28" s="107">
        <f t="shared" si="24"/>
        <v>0</v>
      </c>
      <c r="L28" s="251">
        <f>IF(B28=1, F28*$L$8, "")</f>
        <v>0</v>
      </c>
      <c r="M28" s="251">
        <f t="shared" ref="M28:M31" si="27">J28+L28</f>
        <v>77960325.877869874</v>
      </c>
      <c r="N28" s="284">
        <f t="shared" si="25"/>
        <v>0</v>
      </c>
      <c r="O28" s="108"/>
      <c r="P28" s="63" t="str">
        <f>IF($B28 = 2, ROUND(P$8*$C28, 0), "")</f>
        <v/>
      </c>
      <c r="Q28" s="92">
        <f>IF(B28=1,F28*$Q$8, "")</f>
        <v>0</v>
      </c>
      <c r="R28" s="63"/>
      <c r="S28" s="61">
        <f t="shared" ref="S28:S31" si="28">J28</f>
        <v>77960325.877869874</v>
      </c>
      <c r="T28" s="107">
        <f>IF($C28 &gt; 0, (S28-($C28+E28))/$C28, "")</f>
        <v>0</v>
      </c>
      <c r="U28" s="251">
        <f>IF(B28=1, F28*$U$8, "")</f>
        <v>0</v>
      </c>
      <c r="V28" s="251">
        <f t="shared" ref="V28:V31" si="29">S28+U28</f>
        <v>77960325.877869874</v>
      </c>
      <c r="W28" s="107">
        <f t="shared" si="26"/>
        <v>0</v>
      </c>
    </row>
    <row r="29" spans="1:23" x14ac:dyDescent="0.25">
      <c r="A29" s="109" t="s">
        <v>57</v>
      </c>
      <c r="B29" s="109">
        <v>1</v>
      </c>
      <c r="C29" s="60">
        <v>53831608.100641973</v>
      </c>
      <c r="D29" s="63"/>
      <c r="E29" s="92"/>
      <c r="F29" s="92">
        <f>IF($B29 = 1, C29-D29+E29, "")</f>
        <v>53831608.100641973</v>
      </c>
      <c r="G29" s="63" t="str">
        <f>IF($B29 = 2, ROUND(G$8*$C29, 0), "")</f>
        <v/>
      </c>
      <c r="H29" s="92">
        <f>IF(B29=1, F29*$H$8, "")</f>
        <v>0</v>
      </c>
      <c r="I29" s="63"/>
      <c r="J29" s="61">
        <f>F29</f>
        <v>53831608.100641973</v>
      </c>
      <c r="K29" s="107">
        <f t="shared" si="24"/>
        <v>0</v>
      </c>
      <c r="L29" s="251">
        <f>IF(B29=1, F29*$L$8, "")</f>
        <v>0</v>
      </c>
      <c r="M29" s="251">
        <f t="shared" si="27"/>
        <v>53831608.100641973</v>
      </c>
      <c r="N29" s="284">
        <f t="shared" si="25"/>
        <v>0</v>
      </c>
      <c r="O29" s="108"/>
      <c r="P29" s="63" t="str">
        <f>IF($B29 = 2, ROUND(P$8*$C29, 0), "")</f>
        <v/>
      </c>
      <c r="Q29" s="92">
        <f>IF(B29=1,F29*$Q$8, "")</f>
        <v>0</v>
      </c>
      <c r="R29" s="63"/>
      <c r="S29" s="61">
        <f t="shared" si="28"/>
        <v>53831608.100641973</v>
      </c>
      <c r="T29" s="107">
        <f>IF($C29 &gt; 0, (S29-($C29+E29))/$C29, "")</f>
        <v>0</v>
      </c>
      <c r="U29" s="251">
        <f>IF(B29=1, F29*$U$8, "")</f>
        <v>0</v>
      </c>
      <c r="V29" s="251">
        <f t="shared" si="29"/>
        <v>53831608.100641973</v>
      </c>
      <c r="W29" s="107">
        <f t="shared" si="26"/>
        <v>0</v>
      </c>
    </row>
    <row r="30" spans="1:23" x14ac:dyDescent="0.25">
      <c r="A30" s="109" t="s">
        <v>58</v>
      </c>
      <c r="B30" s="109">
        <v>1</v>
      </c>
      <c r="C30" s="60">
        <v>46789143.963580526</v>
      </c>
      <c r="D30" s="63"/>
      <c r="F30" s="92">
        <f>IF($B30 = 1, C30-D30+E30, "")</f>
        <v>46789143.963580526</v>
      </c>
      <c r="G30" s="63" t="str">
        <f>IF($B30 = 2, ROUND(G$8*$C30, 0), "")</f>
        <v/>
      </c>
      <c r="H30" s="92">
        <f>IF(B30=1, F30*$H$8, "")</f>
        <v>0</v>
      </c>
      <c r="I30" s="63"/>
      <c r="J30" s="61">
        <f>F30</f>
        <v>46789143.963580526</v>
      </c>
      <c r="K30" s="107">
        <f t="shared" si="24"/>
        <v>0</v>
      </c>
      <c r="L30" s="251">
        <f>IF(B30=1, F30*$L$8, "")</f>
        <v>0</v>
      </c>
      <c r="M30" s="251">
        <f t="shared" si="27"/>
        <v>46789143.963580526</v>
      </c>
      <c r="N30" s="284">
        <f t="shared" si="25"/>
        <v>0</v>
      </c>
      <c r="O30" s="108"/>
      <c r="P30" s="63" t="str">
        <f>IF($B30 = 2, ROUND(P$8*$C30, 0), "")</f>
        <v/>
      </c>
      <c r="Q30" s="92">
        <f>IF(B30=1,F30*$Q$8, "")</f>
        <v>0</v>
      </c>
      <c r="R30" s="63"/>
      <c r="S30" s="61">
        <f t="shared" si="28"/>
        <v>46789143.963580526</v>
      </c>
      <c r="T30" s="107">
        <f>IF($C30 &gt; 0, (S30-($C30+E30))/$C30, "")</f>
        <v>0</v>
      </c>
      <c r="U30" s="251">
        <f>IF(B30=1, F30*$U$8, "")</f>
        <v>0</v>
      </c>
      <c r="V30" s="251">
        <f t="shared" si="29"/>
        <v>46789143.963580526</v>
      </c>
      <c r="W30" s="107">
        <f t="shared" si="26"/>
        <v>0</v>
      </c>
    </row>
    <row r="31" spans="1:23" ht="15.75" customHeight="1" thickBot="1" x14ac:dyDescent="0.3">
      <c r="A31" s="109" t="s">
        <v>59</v>
      </c>
      <c r="B31" s="109">
        <v>1</v>
      </c>
      <c r="C31" s="60">
        <v>248772294.68364924</v>
      </c>
      <c r="D31" s="63"/>
      <c r="E31" s="92"/>
      <c r="F31" s="92">
        <f>IF($B31 = 1, C31-D31+E31, "")</f>
        <v>248772294.68364924</v>
      </c>
      <c r="G31" s="63" t="str">
        <f>IF($B31 = 2, ROUND(G$8*$C31, 0), "")</f>
        <v/>
      </c>
      <c r="H31" s="92">
        <f>IF(B31=1, F31*$H$8, "")</f>
        <v>0</v>
      </c>
      <c r="I31" s="63"/>
      <c r="J31" s="61">
        <f>F31</f>
        <v>248772294.68364924</v>
      </c>
      <c r="K31" s="107">
        <f t="shared" si="24"/>
        <v>0</v>
      </c>
      <c r="L31" s="251">
        <f>IF(B31=1, F31*$L$8, "")</f>
        <v>0</v>
      </c>
      <c r="M31" s="251">
        <f t="shared" si="27"/>
        <v>248772294.68364924</v>
      </c>
      <c r="N31" s="284">
        <f t="shared" si="25"/>
        <v>0</v>
      </c>
      <c r="O31" s="108"/>
      <c r="P31" s="63" t="str">
        <f>IF($B31 = 2, ROUND(P$8*$C31, 0), "")</f>
        <v/>
      </c>
      <c r="Q31" s="92">
        <f>IF(B31=1,F31*$Q$8, "")</f>
        <v>0</v>
      </c>
      <c r="R31" s="63"/>
      <c r="S31" s="61">
        <f t="shared" si="28"/>
        <v>248772294.68364924</v>
      </c>
      <c r="T31" s="107">
        <f>IF($C31 &gt; 0, (S31-($C31+E31))/$C31, "")</f>
        <v>0</v>
      </c>
      <c r="U31" s="251">
        <f>IF(B31=1, F31*$U$8, "")</f>
        <v>0</v>
      </c>
      <c r="V31" s="251">
        <f t="shared" si="29"/>
        <v>248772294.68364924</v>
      </c>
      <c r="W31" s="107">
        <f t="shared" si="26"/>
        <v>0</v>
      </c>
    </row>
    <row r="32" spans="1:23" s="146" customFormat="1" ht="15.75" customHeight="1" thickBot="1" x14ac:dyDescent="0.3">
      <c r="A32" s="125" t="s">
        <v>32</v>
      </c>
      <c r="B32" s="126"/>
      <c r="C32" s="127">
        <v>1517326480.7347708</v>
      </c>
      <c r="D32" s="88">
        <f t="shared" ref="D32:F32" si="30">SUM(D18,D25,D27:D31)</f>
        <v>170118414</v>
      </c>
      <c r="E32" s="88">
        <f>SUM(E18,E25,E27:E31)</f>
        <v>0</v>
      </c>
      <c r="F32" s="128">
        <f t="shared" si="30"/>
        <v>1347211749.734771</v>
      </c>
      <c r="G32" s="88">
        <f>SUM(G18,G25,G27:G31)</f>
        <v>0</v>
      </c>
      <c r="H32" s="253">
        <f>SUM(H18,H25,H27:H31)</f>
        <v>0</v>
      </c>
      <c r="I32" s="88">
        <f>SUM(I18,I25,I27:I31)</f>
        <v>0</v>
      </c>
      <c r="J32" s="130">
        <f>J18+J25+SUM(J27:J31)</f>
        <v>1517330163.7347708</v>
      </c>
      <c r="K32" s="131">
        <f t="shared" si="24"/>
        <v>2.4272956721987046E-6</v>
      </c>
      <c r="L32" s="130">
        <f>SUM(L18,L25,L27:L31)</f>
        <v>0</v>
      </c>
      <c r="M32" s="130">
        <f>SUM(M18,M25,M27:M31)</f>
        <v>1517330163.734771</v>
      </c>
      <c r="N32" s="131">
        <f t="shared" si="25"/>
        <v>2.4272956724580297E-6</v>
      </c>
      <c r="O32" s="91"/>
      <c r="P32" s="88">
        <f>SUM(P18,P25,P27:P31)</f>
        <v>0</v>
      </c>
      <c r="Q32" s="88">
        <f>SUM(Q18,Q25,Q27:Q31)</f>
        <v>0</v>
      </c>
      <c r="R32" s="88">
        <f>SUM(R18,R25,R27:R31)</f>
        <v>0</v>
      </c>
      <c r="S32" s="130">
        <f>S18+S25+SUM(S27:S31)</f>
        <v>1517330163.7347708</v>
      </c>
      <c r="T32" s="131">
        <f t="shared" ref="T32" si="31">IF($C32 &gt; 0, (S32-($C32+E32))/$C32, "")</f>
        <v>2.4272956721987046E-6</v>
      </c>
      <c r="U32" s="130">
        <f>SUM(U18,U25,U27:U31)</f>
        <v>0</v>
      </c>
      <c r="V32" s="130">
        <f>SUM(V18,V25,V27:V31)</f>
        <v>1517330163.734771</v>
      </c>
      <c r="W32" s="131">
        <f t="shared" si="26"/>
        <v>2.4272956724580297E-6</v>
      </c>
    </row>
    <row r="33" spans="1:22" x14ac:dyDescent="0.25">
      <c r="J33" s="92"/>
      <c r="M33" s="92"/>
      <c r="S33" s="92"/>
      <c r="U33" s="262"/>
    </row>
    <row r="34" spans="1:22" ht="15.75" customHeight="1" x14ac:dyDescent="0.25">
      <c r="A34" s="10"/>
      <c r="J34" s="23"/>
      <c r="R34" s="92"/>
      <c r="V34" s="92"/>
    </row>
    <row r="35" spans="1:22" x14ac:dyDescent="0.25">
      <c r="V35" s="231"/>
    </row>
    <row r="36" spans="1:22" x14ac:dyDescent="0.25">
      <c r="H36" s="92"/>
    </row>
    <row r="37" spans="1:22" x14ac:dyDescent="0.25">
      <c r="J37" s="92"/>
      <c r="S37" s="92"/>
    </row>
    <row r="38" spans="1:22" x14ac:dyDescent="0.25">
      <c r="S38" s="92"/>
    </row>
  </sheetData>
  <mergeCells count="22">
    <mergeCell ref="A5:A8"/>
    <mergeCell ref="G6:H6"/>
    <mergeCell ref="C5:C8"/>
    <mergeCell ref="V6:V8"/>
    <mergeCell ref="W6:W8"/>
    <mergeCell ref="P5:W5"/>
    <mergeCell ref="G5:N5"/>
    <mergeCell ref="U6:U7"/>
    <mergeCell ref="T6:T8"/>
    <mergeCell ref="K6:K8"/>
    <mergeCell ref="S6:S8"/>
    <mergeCell ref="R6:R8"/>
    <mergeCell ref="P6:Q6"/>
    <mergeCell ref="M6:M8"/>
    <mergeCell ref="J6:J8"/>
    <mergeCell ref="L6:L7"/>
    <mergeCell ref="N6:N8"/>
    <mergeCell ref="D5:F5"/>
    <mergeCell ref="D6:D8"/>
    <mergeCell ref="E6:E8"/>
    <mergeCell ref="F6:F8"/>
    <mergeCell ref="I6:I8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G17"/>
  <sheetViews>
    <sheetView zoomScale="80" zoomScaleNormal="80" workbookViewId="0">
      <selection activeCell="G33" sqref="G33"/>
    </sheetView>
  </sheetViews>
  <sheetFormatPr defaultRowHeight="15" x14ac:dyDescent="0.25"/>
  <cols>
    <col min="1" max="1" width="53.28515625" bestFit="1" customWidth="1"/>
    <col min="2" max="3" width="16.5703125" style="7" customWidth="1"/>
    <col min="4" max="4" width="8.28515625" style="8" bestFit="1" customWidth="1"/>
    <col min="5" max="5" width="9.28515625" customWidth="1"/>
    <col min="6" max="6" width="16.5703125" style="7" customWidth="1"/>
    <col min="7" max="7" width="8.28515625" style="8" bestFit="1" customWidth="1"/>
    <col min="9" max="9" width="13" bestFit="1" customWidth="1"/>
  </cols>
  <sheetData>
    <row r="1" spans="1:7" ht="15.75" customHeight="1" x14ac:dyDescent="0.25">
      <c r="A1" s="9" t="s">
        <v>76</v>
      </c>
    </row>
    <row r="2" spans="1:7" ht="15.75" customHeight="1" x14ac:dyDescent="0.25">
      <c r="A2" s="10"/>
    </row>
    <row r="3" spans="1:7" x14ac:dyDescent="0.25">
      <c r="A3" s="11" t="s">
        <v>77</v>
      </c>
    </row>
    <row r="4" spans="1:7" ht="15.75" customHeight="1" thickBot="1" x14ac:dyDescent="0.3"/>
    <row r="5" spans="1:7" ht="15.75" customHeight="1" thickBot="1" x14ac:dyDescent="0.3">
      <c r="A5" s="415"/>
      <c r="B5" s="444" t="s">
        <v>306</v>
      </c>
      <c r="C5" s="443" t="s">
        <v>240</v>
      </c>
      <c r="D5" s="418"/>
      <c r="E5" s="12"/>
      <c r="F5" s="443" t="s">
        <v>241</v>
      </c>
      <c r="G5" s="418"/>
    </row>
    <row r="6" spans="1:7" ht="49.5" customHeight="1" thickBot="1" x14ac:dyDescent="0.3">
      <c r="A6" s="427"/>
      <c r="B6" s="445"/>
      <c r="C6" s="13" t="s">
        <v>22</v>
      </c>
      <c r="D6" s="15" t="s">
        <v>309</v>
      </c>
      <c r="E6" s="16"/>
      <c r="F6" s="13" t="s">
        <v>22</v>
      </c>
      <c r="G6" s="15" t="s">
        <v>310</v>
      </c>
    </row>
    <row r="7" spans="1:7" ht="16.5" customHeight="1" x14ac:dyDescent="0.25">
      <c r="A7" s="104" t="s">
        <v>78</v>
      </c>
      <c r="B7" s="61">
        <v>111061864.59</v>
      </c>
      <c r="C7" s="61">
        <f t="shared" ref="C7:C14" si="0">B7*(1+D7)</f>
        <v>111061864.59</v>
      </c>
      <c r="D7" s="98">
        <f>'RUN Overview'!$H$7</f>
        <v>0</v>
      </c>
      <c r="E7" s="16"/>
      <c r="F7" s="61">
        <f>B7*(1+G7)</f>
        <v>111061864.59</v>
      </c>
      <c r="G7" s="98">
        <f>'RUN Overview'!$K$7</f>
        <v>0</v>
      </c>
    </row>
    <row r="8" spans="1:7" x14ac:dyDescent="0.25">
      <c r="A8" s="109" t="s">
        <v>79</v>
      </c>
      <c r="B8" s="61">
        <v>2417418.2400000002</v>
      </c>
      <c r="C8" s="61">
        <f t="shared" si="0"/>
        <v>2417418.2400000002</v>
      </c>
      <c r="D8" s="98">
        <f>'RUN Overview'!$H$7</f>
        <v>0</v>
      </c>
      <c r="E8" s="16"/>
      <c r="F8" s="61">
        <f t="shared" ref="F8:F14" si="1">B8*(1+G8)</f>
        <v>2417418.2400000002</v>
      </c>
      <c r="G8" s="98">
        <f>'RUN Overview'!$K$7</f>
        <v>0</v>
      </c>
    </row>
    <row r="9" spans="1:7" ht="16.5" customHeight="1" x14ac:dyDescent="0.25">
      <c r="A9" s="109" t="s">
        <v>80</v>
      </c>
      <c r="B9" s="61">
        <v>2172776.7600000002</v>
      </c>
      <c r="C9" s="61">
        <f t="shared" si="0"/>
        <v>2172776.7600000002</v>
      </c>
      <c r="D9" s="98">
        <f>'RUN Overview'!$H$7</f>
        <v>0</v>
      </c>
      <c r="E9" s="16"/>
      <c r="F9" s="61">
        <f t="shared" si="1"/>
        <v>2172776.7600000002</v>
      </c>
      <c r="G9" s="98">
        <f>'RUN Overview'!$K$7</f>
        <v>0</v>
      </c>
    </row>
    <row r="10" spans="1:7" ht="16.5" customHeight="1" x14ac:dyDescent="0.25">
      <c r="A10" s="109" t="s">
        <v>81</v>
      </c>
      <c r="B10" s="61">
        <v>2906524.04</v>
      </c>
      <c r="C10" s="61">
        <f t="shared" si="0"/>
        <v>2906524.04</v>
      </c>
      <c r="D10" s="98">
        <f>'RUN Overview'!$H$7</f>
        <v>0</v>
      </c>
      <c r="E10" s="16"/>
      <c r="F10" s="61">
        <f t="shared" si="1"/>
        <v>2906524.04</v>
      </c>
      <c r="G10" s="98">
        <f>'RUN Overview'!$K$7</f>
        <v>0</v>
      </c>
    </row>
    <row r="11" spans="1:7" ht="16.5" customHeight="1" x14ac:dyDescent="0.25">
      <c r="A11" s="109" t="s">
        <v>82</v>
      </c>
      <c r="B11" s="61">
        <v>2627533.09</v>
      </c>
      <c r="C11" s="61">
        <f>B11*(1+D11)</f>
        <v>2627533.09</v>
      </c>
      <c r="D11" s="98">
        <f>'RUN Overview'!$H$7</f>
        <v>0</v>
      </c>
      <c r="E11" s="16"/>
      <c r="F11" s="61">
        <f t="shared" si="1"/>
        <v>2627533.09</v>
      </c>
      <c r="G11" s="98">
        <f>'RUN Overview'!$K$7</f>
        <v>0</v>
      </c>
    </row>
    <row r="12" spans="1:7" ht="16.5" customHeight="1" x14ac:dyDescent="0.25">
      <c r="A12" s="109" t="s">
        <v>83</v>
      </c>
      <c r="B12" s="61">
        <v>2640475.04</v>
      </c>
      <c r="C12" s="61">
        <f t="shared" si="0"/>
        <v>2640475.04</v>
      </c>
      <c r="D12" s="98">
        <f>'RUN Overview'!$H$7</f>
        <v>0</v>
      </c>
      <c r="E12" s="16"/>
      <c r="F12" s="61">
        <f t="shared" si="1"/>
        <v>2640475.04</v>
      </c>
      <c r="G12" s="98">
        <f>'RUN Overview'!$K$7</f>
        <v>0</v>
      </c>
    </row>
    <row r="13" spans="1:7" x14ac:dyDescent="0.25">
      <c r="A13" s="109" t="s">
        <v>84</v>
      </c>
      <c r="B13" s="61">
        <v>2272975.16</v>
      </c>
      <c r="C13" s="61">
        <f t="shared" si="0"/>
        <v>2272975.16</v>
      </c>
      <c r="D13" s="98">
        <f>'RUN Overview'!$H$7</f>
        <v>0</v>
      </c>
      <c r="E13" s="16"/>
      <c r="F13" s="61">
        <f t="shared" si="1"/>
        <v>2272975.16</v>
      </c>
      <c r="G13" s="98">
        <f>'RUN Overview'!$K$7</f>
        <v>0</v>
      </c>
    </row>
    <row r="14" spans="1:7" ht="15.75" customHeight="1" thickBot="1" x14ac:dyDescent="0.3">
      <c r="A14" s="109" t="s">
        <v>85</v>
      </c>
      <c r="B14" s="61">
        <v>2324592.58</v>
      </c>
      <c r="C14" s="61">
        <f t="shared" si="0"/>
        <v>2324592.58</v>
      </c>
      <c r="D14" s="98">
        <f>'RUN Overview'!$H$7</f>
        <v>0</v>
      </c>
      <c r="E14" s="16"/>
      <c r="F14" s="61">
        <f t="shared" si="1"/>
        <v>2324592.58</v>
      </c>
      <c r="G14" s="98">
        <f>'RUN Overview'!$K$7</f>
        <v>0</v>
      </c>
    </row>
    <row r="15" spans="1:7" ht="15.75" customHeight="1" thickBot="1" x14ac:dyDescent="0.3">
      <c r="A15" s="125" t="s">
        <v>32</v>
      </c>
      <c r="B15" s="130">
        <v>128424159.50000001</v>
      </c>
      <c r="C15" s="130">
        <f>SUM(C7:C14)</f>
        <v>128424159.50000001</v>
      </c>
      <c r="D15" s="132">
        <f t="shared" ref="D15" si="2">(C15-$B15)/$B15</f>
        <v>0</v>
      </c>
      <c r="E15" s="85"/>
      <c r="F15" s="130">
        <f>SUM(F7:F14)</f>
        <v>128424159.50000001</v>
      </c>
      <c r="G15" s="132">
        <f t="shared" ref="G15" si="3">(F15-$B15)/$B15</f>
        <v>0</v>
      </c>
    </row>
    <row r="17" spans="1:6" ht="15.75" customHeight="1" x14ac:dyDescent="0.25">
      <c r="A17" s="10"/>
      <c r="F17" s="92"/>
    </row>
  </sheetData>
  <mergeCells count="4">
    <mergeCell ref="C5:D5"/>
    <mergeCell ref="F5:G5"/>
    <mergeCell ref="A5:A6"/>
    <mergeCell ref="B5:B6"/>
  </mergeCells>
  <pageMargins left="0.7" right="0.7" top="0.75" bottom="0.75" header="0.3" footer="0.3"/>
  <pageSetup scale="37" orientation="landscape" r:id="rId1"/>
  <headerFoot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theme="9" tint="0.39997558519241921"/>
  </sheetPr>
  <dimension ref="A1:Q29"/>
  <sheetViews>
    <sheetView zoomScale="80" zoomScaleNormal="80" workbookViewId="0">
      <selection activeCell="C33" sqref="C33"/>
    </sheetView>
  </sheetViews>
  <sheetFormatPr defaultRowHeight="15" x14ac:dyDescent="0.25"/>
  <cols>
    <col min="1" max="1" width="10.28515625" customWidth="1"/>
    <col min="2" max="2" width="12.42578125" customWidth="1"/>
    <col min="3" max="3" width="15.28515625" style="7" bestFit="1" customWidth="1"/>
    <col min="4" max="4" width="13.28515625" style="7" bestFit="1" customWidth="1"/>
    <col min="5" max="5" width="11" style="7" bestFit="1" customWidth="1"/>
    <col min="6" max="6" width="15.28515625" style="7" bestFit="1" customWidth="1"/>
    <col min="7" max="7" width="13.28515625" style="7" bestFit="1" customWidth="1"/>
    <col min="8" max="8" width="11" style="7" bestFit="1" customWidth="1"/>
    <col min="9" max="9" width="10.7109375" style="8" bestFit="1" customWidth="1"/>
    <col min="10" max="10" width="9.28515625" customWidth="1"/>
    <col min="11" max="11" width="15.28515625" style="7" bestFit="1" customWidth="1"/>
    <col min="12" max="12" width="13.28515625" style="7" bestFit="1" customWidth="1"/>
    <col min="13" max="13" width="11" style="7" bestFit="1" customWidth="1"/>
    <col min="14" max="14" width="10.7109375" style="95" bestFit="1" customWidth="1"/>
    <col min="17" max="17" width="13.5703125" bestFit="1" customWidth="1"/>
  </cols>
  <sheetData>
    <row r="1" spans="1:17" ht="15.75" customHeight="1" x14ac:dyDescent="0.25">
      <c r="A1" s="9" t="s">
        <v>86</v>
      </c>
    </row>
    <row r="2" spans="1:17" ht="15.75" customHeight="1" x14ac:dyDescent="0.25">
      <c r="A2" s="10"/>
    </row>
    <row r="3" spans="1:17" x14ac:dyDescent="0.25">
      <c r="A3" s="11" t="s">
        <v>87</v>
      </c>
    </row>
    <row r="4" spans="1:17" ht="15.75" customHeight="1" thickBot="1" x14ac:dyDescent="0.3"/>
    <row r="5" spans="1:17" ht="15.75" customHeight="1" x14ac:dyDescent="0.25">
      <c r="A5" s="415"/>
      <c r="B5" s="446" t="s">
        <v>311</v>
      </c>
      <c r="C5" s="448" t="s">
        <v>217</v>
      </c>
      <c r="D5" s="449"/>
      <c r="E5" s="450"/>
      <c r="F5" s="451" t="s">
        <v>240</v>
      </c>
      <c r="G5" s="452"/>
      <c r="H5" s="452"/>
      <c r="I5" s="453"/>
      <c r="J5" s="133"/>
      <c r="K5" s="451" t="s">
        <v>241</v>
      </c>
      <c r="L5" s="452"/>
      <c r="M5" s="452"/>
      <c r="N5" s="453"/>
    </row>
    <row r="6" spans="1:17" ht="48" customHeight="1" thickBot="1" x14ac:dyDescent="0.3">
      <c r="A6" s="427"/>
      <c r="B6" s="447"/>
      <c r="C6" s="134" t="s">
        <v>88</v>
      </c>
      <c r="D6" s="135" t="s">
        <v>89</v>
      </c>
      <c r="E6" s="136" t="s">
        <v>90</v>
      </c>
      <c r="F6" s="13" t="s">
        <v>88</v>
      </c>
      <c r="G6" s="14" t="s">
        <v>89</v>
      </c>
      <c r="H6" s="14" t="s">
        <v>90</v>
      </c>
      <c r="I6" s="137" t="s">
        <v>309</v>
      </c>
      <c r="J6" s="138"/>
      <c r="K6" s="13" t="s">
        <v>88</v>
      </c>
      <c r="L6" s="14" t="s">
        <v>89</v>
      </c>
      <c r="M6" s="14" t="s">
        <v>90</v>
      </c>
      <c r="N6" s="137" t="s">
        <v>310</v>
      </c>
    </row>
    <row r="7" spans="1:17" x14ac:dyDescent="0.25">
      <c r="A7" s="104" t="s">
        <v>36</v>
      </c>
      <c r="B7" s="378">
        <v>22447.341665</v>
      </c>
      <c r="C7" s="63">
        <v>211064941.74923897</v>
      </c>
      <c r="D7" s="97">
        <v>0</v>
      </c>
      <c r="E7" s="63">
        <f>(C7+D7)/B7</f>
        <v>9402.6698082620806</v>
      </c>
      <c r="F7" s="63">
        <f>VLOOKUP(A7, 'OPERATING Total Funding'!$A$9:$W$32, 13, 0)</f>
        <v>209473238.62923893</v>
      </c>
      <c r="G7" s="97">
        <v>0</v>
      </c>
      <c r="H7" s="97">
        <f t="shared" ref="H7:H14" si="0">ROUND(SUM(F7,G7)/$B7, 0)</f>
        <v>9332</v>
      </c>
      <c r="I7" s="98">
        <f>(H7-$E7)/$E7</f>
        <v>-7.5159300180873446E-3</v>
      </c>
      <c r="J7" s="139"/>
      <c r="K7" s="63">
        <f>VLOOKUP(A7, 'OPERATING Total Funding'!$A$9:$W$32, 22, 0)</f>
        <v>209473238.62923893</v>
      </c>
      <c r="L7" s="97">
        <v>0</v>
      </c>
      <c r="M7" s="97">
        <f t="shared" ref="M7:M14" si="1">ROUND(SUM(K7,L7)/$B7, 0)</f>
        <v>9332</v>
      </c>
      <c r="N7" s="98">
        <f>(M7-$E7)/$E7</f>
        <v>-7.5159300180873446E-3</v>
      </c>
    </row>
    <row r="8" spans="1:17" x14ac:dyDescent="0.25">
      <c r="A8" s="109" t="s">
        <v>40</v>
      </c>
      <c r="B8" s="378">
        <v>1610</v>
      </c>
      <c r="C8" s="63">
        <v>15877559.084717061</v>
      </c>
      <c r="D8" s="97">
        <v>0</v>
      </c>
      <c r="E8" s="63">
        <f t="shared" ref="E8:E14" si="2">(C8+D8)/B8</f>
        <v>9861.8379408180499</v>
      </c>
      <c r="F8" s="63">
        <f>VLOOKUP(A8, 'OPERATING Total Funding'!$A$9:$W$32, 13, 0)</f>
        <v>15749696.253717061</v>
      </c>
      <c r="G8" s="97">
        <v>0</v>
      </c>
      <c r="H8" s="97">
        <f t="shared" si="0"/>
        <v>9782</v>
      </c>
      <c r="I8" s="98">
        <f t="shared" ref="I8:I14" si="3">(H8-$E8)/$E8</f>
        <v>-8.0956451826896744E-3</v>
      </c>
      <c r="J8" s="139"/>
      <c r="K8" s="63">
        <f>VLOOKUP(A8, 'OPERATING Total Funding'!$A$9:$W$32, 22, 0)</f>
        <v>15749696.253717061</v>
      </c>
      <c r="L8" s="97">
        <v>0</v>
      </c>
      <c r="M8" s="97">
        <f t="shared" si="1"/>
        <v>9782</v>
      </c>
      <c r="N8" s="98">
        <f t="shared" ref="N8:N14" si="4">(M8-$E8)/$E8</f>
        <v>-8.0956451826896744E-3</v>
      </c>
    </row>
    <row r="9" spans="1:17" x14ac:dyDescent="0.25">
      <c r="A9" s="109" t="s">
        <v>41</v>
      </c>
      <c r="B9" s="378">
        <v>2228.6499980000003</v>
      </c>
      <c r="C9" s="63">
        <v>17545357.405981503</v>
      </c>
      <c r="D9" s="97">
        <v>0</v>
      </c>
      <c r="E9" s="63">
        <f t="shared" si="2"/>
        <v>7872.6392308019558</v>
      </c>
      <c r="F9" s="63">
        <f>VLOOKUP(A9, 'OPERATING Total Funding'!$A$9:$W$32, 13, 0)</f>
        <v>17429044.75952914</v>
      </c>
      <c r="G9" s="97">
        <v>0</v>
      </c>
      <c r="H9" s="97">
        <f t="shared" si="0"/>
        <v>7820</v>
      </c>
      <c r="I9" s="98">
        <f t="shared" si="3"/>
        <v>-6.6863512043080957E-3</v>
      </c>
      <c r="J9" s="139"/>
      <c r="K9" s="63">
        <f>VLOOKUP(A9, 'OPERATING Total Funding'!$A$9:$W$32, 22, 0)</f>
        <v>17429044.75952914</v>
      </c>
      <c r="L9" s="97">
        <v>0</v>
      </c>
      <c r="M9" s="97">
        <f t="shared" si="1"/>
        <v>7820</v>
      </c>
      <c r="N9" s="98">
        <f t="shared" si="4"/>
        <v>-6.6863512043080957E-3</v>
      </c>
    </row>
    <row r="10" spans="1:17" x14ac:dyDescent="0.25">
      <c r="A10" s="109" t="s">
        <v>42</v>
      </c>
      <c r="B10" s="378">
        <v>2478.8749979999998</v>
      </c>
      <c r="C10" s="63">
        <v>20803083.711308856</v>
      </c>
      <c r="D10" s="97">
        <v>0</v>
      </c>
      <c r="E10" s="63">
        <f t="shared" si="2"/>
        <v>8392.1471345239879</v>
      </c>
      <c r="F10" s="63">
        <f>VLOOKUP(A10, 'OPERATING Total Funding'!$A$9:$W$32, 13, 0)</f>
        <v>20683340.923701819</v>
      </c>
      <c r="G10" s="97">
        <v>0</v>
      </c>
      <c r="H10" s="97">
        <f t="shared" si="0"/>
        <v>8344</v>
      </c>
      <c r="I10" s="98">
        <f t="shared" si="3"/>
        <v>-5.7371652036363966E-3</v>
      </c>
      <c r="J10" s="139"/>
      <c r="K10" s="63">
        <f>VLOOKUP(A10, 'OPERATING Total Funding'!$A$9:$W$32, 22, 0)</f>
        <v>20683340.923701819</v>
      </c>
      <c r="L10" s="97">
        <v>0</v>
      </c>
      <c r="M10" s="97">
        <f t="shared" si="1"/>
        <v>8344</v>
      </c>
      <c r="N10" s="98">
        <f t="shared" si="4"/>
        <v>-5.7371652036363966E-3</v>
      </c>
    </row>
    <row r="11" spans="1:17" x14ac:dyDescent="0.25">
      <c r="A11" s="109" t="s">
        <v>43</v>
      </c>
      <c r="B11" s="378">
        <v>19607</v>
      </c>
      <c r="C11" s="63">
        <f>135000000+5120388</f>
        <v>140120388</v>
      </c>
      <c r="D11" s="97">
        <v>0</v>
      </c>
      <c r="E11" s="63">
        <f t="shared" si="2"/>
        <v>7146.447085224665</v>
      </c>
      <c r="F11" s="63">
        <f>VLOOKUP(A11, 'OPERATING Total Funding'!$A$9:$W$32, 13, 0)</f>
        <v>134999999.50916311</v>
      </c>
      <c r="G11" s="97">
        <v>0</v>
      </c>
      <c r="H11" s="97">
        <f t="shared" si="0"/>
        <v>6885</v>
      </c>
      <c r="I11" s="98">
        <f t="shared" si="3"/>
        <v>-3.6584205005198857E-2</v>
      </c>
      <c r="J11" s="139"/>
      <c r="K11" s="63">
        <f>VLOOKUP(A11, 'OPERATING Total Funding'!$A$9:$W$32, 22, 0)</f>
        <v>134999999.50916311</v>
      </c>
      <c r="L11" s="97">
        <v>0</v>
      </c>
      <c r="M11" s="97">
        <f t="shared" si="1"/>
        <v>6885</v>
      </c>
      <c r="N11" s="98">
        <f t="shared" si="4"/>
        <v>-3.6584205005198857E-2</v>
      </c>
      <c r="Q11" s="92"/>
    </row>
    <row r="12" spans="1:17" x14ac:dyDescent="0.25">
      <c r="A12" s="109" t="s">
        <v>44</v>
      </c>
      <c r="B12" s="378">
        <v>3302.3291630000003</v>
      </c>
      <c r="C12" s="63">
        <v>26789646.061080568</v>
      </c>
      <c r="D12" s="97">
        <v>0</v>
      </c>
      <c r="E12" s="63">
        <f t="shared" si="2"/>
        <v>8112.348811631945</v>
      </c>
      <c r="F12" s="63">
        <f>VLOOKUP(A12, 'OPERATING Total Funding'!$A$9:$W$32, 13, 0)</f>
        <v>26617832.603080567</v>
      </c>
      <c r="G12" s="97">
        <v>0</v>
      </c>
      <c r="H12" s="97">
        <f t="shared" si="0"/>
        <v>8060</v>
      </c>
      <c r="I12" s="98">
        <f t="shared" si="3"/>
        <v>-6.4529783971917316E-3</v>
      </c>
      <c r="J12" s="139"/>
      <c r="K12" s="63">
        <f>VLOOKUP(A12, 'OPERATING Total Funding'!$A$9:$W$32, 22, 0)</f>
        <v>26617832.603080567</v>
      </c>
      <c r="L12" s="97">
        <v>0</v>
      </c>
      <c r="M12" s="97">
        <f t="shared" si="1"/>
        <v>8060</v>
      </c>
      <c r="N12" s="98">
        <f t="shared" si="4"/>
        <v>-6.4529783971917316E-3</v>
      </c>
    </row>
    <row r="13" spans="1:17" ht="15.75" customHeight="1" thickBot="1" x14ac:dyDescent="0.3">
      <c r="A13" s="109" t="s">
        <v>45</v>
      </c>
      <c r="B13" s="378">
        <v>2249.4958319999996</v>
      </c>
      <c r="C13" s="63">
        <v>22534282.25565828</v>
      </c>
      <c r="D13" s="97">
        <v>0</v>
      </c>
      <c r="E13" s="63">
        <f t="shared" si="2"/>
        <v>10017.481221835971</v>
      </c>
      <c r="F13" s="63">
        <f>VLOOKUP(A13, 'OPERATING Total Funding'!$A$9:$W$32, 13, 0)</f>
        <v>22481327.718158279</v>
      </c>
      <c r="G13" s="97">
        <v>0</v>
      </c>
      <c r="H13" s="97">
        <f t="shared" si="0"/>
        <v>9994</v>
      </c>
      <c r="I13" s="98">
        <f t="shared" si="3"/>
        <v>-2.344024542295832E-3</v>
      </c>
      <c r="J13" s="139"/>
      <c r="K13" s="63">
        <f>VLOOKUP(A13, 'OPERATING Total Funding'!$A$9:$W$32, 22, 0)</f>
        <v>22481327.718158279</v>
      </c>
      <c r="L13" s="97">
        <v>0</v>
      </c>
      <c r="M13" s="97">
        <f t="shared" si="1"/>
        <v>9994</v>
      </c>
      <c r="N13" s="98">
        <f t="shared" si="4"/>
        <v>-2.344024542295832E-3</v>
      </c>
    </row>
    <row r="14" spans="1:17" ht="15.75" customHeight="1" thickTop="1" x14ac:dyDescent="0.25">
      <c r="A14" s="110" t="s">
        <v>65</v>
      </c>
      <c r="B14" s="379">
        <f>SUM(B7:B13)</f>
        <v>53923.691656000003</v>
      </c>
      <c r="C14" s="112">
        <f>SUM(C7:C13)</f>
        <v>454735258.26798522</v>
      </c>
      <c r="D14" s="114">
        <v>0</v>
      </c>
      <c r="E14" s="112">
        <f t="shared" si="2"/>
        <v>8432.9400362444867</v>
      </c>
      <c r="F14" s="112">
        <f>VLOOKUP(A14, 'OPERATING Total Funding'!$A$9:$W$32, 13, 0)</f>
        <v>580979028.39658892</v>
      </c>
      <c r="G14" s="114">
        <f>SUM(G7:G13)</f>
        <v>0</v>
      </c>
      <c r="H14" s="114">
        <f t="shared" si="0"/>
        <v>10774</v>
      </c>
      <c r="I14" s="140">
        <f t="shared" si="3"/>
        <v>0.27760898971102815</v>
      </c>
      <c r="J14" s="141"/>
      <c r="K14" s="112">
        <f>VLOOKUP(A14, 'OPERATING Total Funding'!$A$9:$W$32, 22, 0)</f>
        <v>580979028.39658892</v>
      </c>
      <c r="L14" s="114">
        <f>SUM(L7:L13)</f>
        <v>0</v>
      </c>
      <c r="M14" s="114">
        <f t="shared" si="1"/>
        <v>10774</v>
      </c>
      <c r="N14" s="140">
        <f t="shared" si="4"/>
        <v>0.27760898971102815</v>
      </c>
    </row>
    <row r="15" spans="1:17" x14ac:dyDescent="0.25">
      <c r="A15" s="118"/>
      <c r="B15" s="142"/>
      <c r="C15" s="119"/>
      <c r="D15" s="121"/>
      <c r="E15" s="119"/>
      <c r="F15" s="119"/>
      <c r="G15" s="121"/>
      <c r="H15" s="121"/>
      <c r="I15" s="143"/>
      <c r="J15" s="139"/>
      <c r="K15" s="119"/>
      <c r="L15" s="121"/>
      <c r="M15" s="121"/>
      <c r="N15" s="143"/>
    </row>
    <row r="16" spans="1:17" x14ac:dyDescent="0.25">
      <c r="A16" s="109" t="s">
        <v>50</v>
      </c>
      <c r="B16" s="378">
        <v>21835</v>
      </c>
      <c r="C16" s="63">
        <v>232471524.61707419</v>
      </c>
      <c r="D16" s="97">
        <v>-76235683</v>
      </c>
      <c r="E16" s="63">
        <f>(C16+D16)/B16</f>
        <v>7155.293868425656</v>
      </c>
      <c r="F16" s="63">
        <f>VLOOKUP(A16, 'OPERATING Total Funding'!$A$9:$W$32, 13, 0)</f>
        <v>252971844.37694469</v>
      </c>
      <c r="G16" s="97">
        <f>D16</f>
        <v>-76235683</v>
      </c>
      <c r="H16" s="97">
        <f>ROUND(SUM(F16,G16)/$B16, 0)</f>
        <v>8094</v>
      </c>
      <c r="I16" s="98">
        <f>(H16-$E16)/$E16</f>
        <v>0.13119043729518867</v>
      </c>
      <c r="J16" s="139"/>
      <c r="K16" s="63">
        <f>VLOOKUP(A16, 'OPERATING Total Funding'!$A$9:$W$32, 22, 0)</f>
        <v>252971844.37694469</v>
      </c>
      <c r="L16" s="97">
        <f>D16</f>
        <v>-76235683</v>
      </c>
      <c r="M16" s="97">
        <f>ROUND(SUM(K16,L16)/$B16, 0)</f>
        <v>8094</v>
      </c>
      <c r="N16" s="98">
        <f>(M16-$E16)/$E16</f>
        <v>0.13119043729518867</v>
      </c>
    </row>
    <row r="17" spans="1:14" x14ac:dyDescent="0.25">
      <c r="A17" s="109" t="s">
        <v>51</v>
      </c>
      <c r="B17" s="378">
        <v>4287.6249969999999</v>
      </c>
      <c r="C17" s="63">
        <v>50081908.058272801</v>
      </c>
      <c r="D17" s="97">
        <v>0</v>
      </c>
      <c r="E17" s="63">
        <f>(C17+D17)/B17</f>
        <v>11680.570967217169</v>
      </c>
      <c r="F17" s="63">
        <f>VLOOKUP(A17, 'OPERATING Total Funding'!$A$9:$W$32, 13, 0)</f>
        <v>50661478.826272801</v>
      </c>
      <c r="G17" s="97">
        <v>0</v>
      </c>
      <c r="H17" s="97">
        <f>ROUND(SUM(F17,G17)/$B17, 0)</f>
        <v>11816</v>
      </c>
      <c r="I17" s="98">
        <f>(H17-$E17)/$E17</f>
        <v>1.1594384654904966E-2</v>
      </c>
      <c r="J17" s="139"/>
      <c r="K17" s="63">
        <f>VLOOKUP(A17, 'OPERATING Total Funding'!$A$9:$W$32, 22, 0)</f>
        <v>50661478.826272801</v>
      </c>
      <c r="L17" s="97">
        <v>0</v>
      </c>
      <c r="M17" s="97">
        <f>ROUND(SUM(K17,L17)/$B17, 0)</f>
        <v>11816</v>
      </c>
      <c r="N17" s="98">
        <f>(M17-$E17)/$E17</f>
        <v>1.1594384654904966E-2</v>
      </c>
    </row>
    <row r="18" spans="1:14" ht="15.75" customHeight="1" thickBot="1" x14ac:dyDescent="0.3">
      <c r="A18" s="109" t="s">
        <v>53</v>
      </c>
      <c r="B18" s="378">
        <v>4476.6833300000008</v>
      </c>
      <c r="C18" s="63">
        <v>46622162.0015001</v>
      </c>
      <c r="D18" s="97">
        <v>0</v>
      </c>
      <c r="E18" s="63">
        <f>(C18+D18)/B18</f>
        <v>10414.442694453461</v>
      </c>
      <c r="F18" s="63">
        <f>VLOOKUP(A18, 'OPERATING Total Funding'!$A$9:$W$32, 13, 0)</f>
        <v>47438548.772700101</v>
      </c>
      <c r="G18" s="97">
        <v>0</v>
      </c>
      <c r="H18" s="97">
        <f>ROUND(SUM(F18,G18)/$B18, 0)</f>
        <v>10597</v>
      </c>
      <c r="I18" s="98">
        <f>(H18-$E18)/$E18</f>
        <v>1.7529243849386769E-2</v>
      </c>
      <c r="J18" s="139"/>
      <c r="K18" s="63">
        <f>VLOOKUP(A18, 'OPERATING Total Funding'!$A$9:$W$32, 22, 0)</f>
        <v>47438548.772700101</v>
      </c>
      <c r="L18" s="97">
        <v>0</v>
      </c>
      <c r="M18" s="97">
        <f>ROUND(SUM(K18,L18)/$B18, 0)</f>
        <v>10597</v>
      </c>
      <c r="N18" s="98">
        <f>(M18-$E18)/$E18</f>
        <v>1.7529243849386769E-2</v>
      </c>
    </row>
    <row r="19" spans="1:14" ht="15.75" customHeight="1" thickTop="1" x14ac:dyDescent="0.25">
      <c r="A19" s="110" t="s">
        <v>66</v>
      </c>
      <c r="B19" s="379">
        <f>SUM(B16:B18)</f>
        <v>30599.308326999999</v>
      </c>
      <c r="C19" s="112">
        <f>SUM(C16:C18)</f>
        <v>329175594.6768471</v>
      </c>
      <c r="D19" s="114">
        <v>-76235683</v>
      </c>
      <c r="E19" s="112">
        <f>(C19+D19)/B19</f>
        <v>8266.1970320963028</v>
      </c>
      <c r="F19" s="112">
        <f>VLOOKUP(A19, 'OPERATING Total Funding'!$A$9:$W$32, 13, 0)</f>
        <v>370045737.97591758</v>
      </c>
      <c r="G19" s="114">
        <f>SUM(G16:G18)</f>
        <v>-76235683</v>
      </c>
      <c r="H19" s="114">
        <f>ROUND(SUM(F19,G19)/$B19, 0)</f>
        <v>9602</v>
      </c>
      <c r="I19" s="140">
        <f>(H19-$E19)/$E19</f>
        <v>0.16159824919693916</v>
      </c>
      <c r="J19" s="141"/>
      <c r="K19" s="112">
        <f>VLOOKUP(A19, 'OPERATING Total Funding'!$A$9:$W$32, 22, 0)</f>
        <v>370045737.97591758</v>
      </c>
      <c r="L19" s="114">
        <f>SUM(L16:L18)</f>
        <v>-76235683</v>
      </c>
      <c r="M19" s="114">
        <f>ROUND(SUM(K19,L19)/$B19, 0)</f>
        <v>9602</v>
      </c>
      <c r="N19" s="140">
        <f>(M19-$E19)/$E19</f>
        <v>0.16159824919693916</v>
      </c>
    </row>
    <row r="20" spans="1:14" x14ac:dyDescent="0.25">
      <c r="A20" s="118"/>
      <c r="B20" s="142"/>
      <c r="C20" s="119"/>
      <c r="D20" s="121"/>
      <c r="E20" s="119"/>
      <c r="F20" s="119"/>
      <c r="G20" s="121"/>
      <c r="H20" s="121"/>
      <c r="I20" s="143"/>
      <c r="J20" s="139"/>
      <c r="K20" s="119"/>
      <c r="L20" s="121"/>
      <c r="M20" s="121"/>
      <c r="N20" s="143"/>
    </row>
    <row r="21" spans="1:14" x14ac:dyDescent="0.25">
      <c r="A21" s="109" t="s">
        <v>55</v>
      </c>
      <c r="B21" s="378">
        <v>13235.258330000001</v>
      </c>
      <c r="C21" s="63">
        <v>137036667.04212269</v>
      </c>
      <c r="D21" s="97">
        <v>0</v>
      </c>
      <c r="E21" s="63">
        <f t="shared" ref="E21:E26" si="5">(C21+D21)/B21</f>
        <v>10353.909506360402</v>
      </c>
      <c r="F21" s="63">
        <f>VLOOKUP(A21, 'OPERATING Total Funding'!$A$9:$W$32, 13, 0)</f>
        <v>138952024.73652273</v>
      </c>
      <c r="G21" s="97">
        <v>0</v>
      </c>
      <c r="H21" s="97">
        <f t="shared" ref="H21:H25" si="6">ROUND(SUM(F21,G21)/$B21, 0)</f>
        <v>10499</v>
      </c>
      <c r="I21" s="98">
        <f t="shared" ref="I21:I25" si="7">(H21-$E21)/$E21</f>
        <v>1.4013112008605945E-2</v>
      </c>
      <c r="J21" s="139"/>
      <c r="K21" s="63">
        <f>VLOOKUP(A21, 'OPERATING Total Funding'!$A$9:$W$32, 22, 0)</f>
        <v>138952024.73652273</v>
      </c>
      <c r="L21" s="97">
        <v>0</v>
      </c>
      <c r="M21" s="97">
        <f t="shared" ref="M21:M26" si="8">ROUND(SUM(K21,L21)/$B21, 0)</f>
        <v>10499</v>
      </c>
      <c r="N21" s="98">
        <f t="shared" ref="N21:N26" si="9">(M21-$E21)/$E21</f>
        <v>1.4013112008605945E-2</v>
      </c>
    </row>
    <row r="22" spans="1:14" x14ac:dyDescent="0.25">
      <c r="A22" s="109" t="s">
        <v>56</v>
      </c>
      <c r="B22" s="378">
        <v>5623.2124980000008</v>
      </c>
      <c r="C22" s="63">
        <v>76924790.458969876</v>
      </c>
      <c r="D22" s="97">
        <v>0</v>
      </c>
      <c r="E22" s="63">
        <f t="shared" si="5"/>
        <v>13679.865465928879</v>
      </c>
      <c r="F22" s="63">
        <f>VLOOKUP(A22, 'OPERATING Total Funding'!$A$9:$W$32, 13, 0)</f>
        <v>77960325.877869874</v>
      </c>
      <c r="G22" s="97">
        <v>0</v>
      </c>
      <c r="H22" s="97">
        <f t="shared" si="6"/>
        <v>13864</v>
      </c>
      <c r="I22" s="98">
        <f t="shared" si="7"/>
        <v>1.3460259132644798E-2</v>
      </c>
      <c r="J22" s="139"/>
      <c r="K22" s="63">
        <f>VLOOKUP(A22, 'OPERATING Total Funding'!$A$9:$W$32, 22, 0)</f>
        <v>77960325.877869874</v>
      </c>
      <c r="L22" s="97">
        <v>0</v>
      </c>
      <c r="M22" s="97">
        <f t="shared" si="8"/>
        <v>13864</v>
      </c>
      <c r="N22" s="98">
        <f t="shared" si="9"/>
        <v>1.3460259132644798E-2</v>
      </c>
    </row>
    <row r="23" spans="1:14" x14ac:dyDescent="0.25">
      <c r="A23" s="109" t="s">
        <v>57</v>
      </c>
      <c r="B23" s="378">
        <v>4994.7249979999997</v>
      </c>
      <c r="C23" s="63">
        <v>53122179.580941975</v>
      </c>
      <c r="D23" s="97">
        <v>0</v>
      </c>
      <c r="E23" s="63">
        <f t="shared" si="5"/>
        <v>10635.656538090343</v>
      </c>
      <c r="F23" s="63">
        <f>VLOOKUP(A23, 'OPERATING Total Funding'!$A$9:$W$32, 13, 0)</f>
        <v>53831608.100641973</v>
      </c>
      <c r="G23" s="97">
        <v>0</v>
      </c>
      <c r="H23" s="97">
        <f t="shared" si="6"/>
        <v>10778</v>
      </c>
      <c r="I23" s="98">
        <f t="shared" si="7"/>
        <v>1.3383608374327503E-2</v>
      </c>
      <c r="J23" s="139"/>
      <c r="K23" s="63">
        <f>VLOOKUP(A23, 'OPERATING Total Funding'!$A$9:$W$32, 22, 0)</f>
        <v>53831608.100641973</v>
      </c>
      <c r="L23" s="97">
        <v>0</v>
      </c>
      <c r="M23" s="97">
        <f t="shared" si="8"/>
        <v>10778</v>
      </c>
      <c r="N23" s="98">
        <f t="shared" si="9"/>
        <v>1.3383608374327503E-2</v>
      </c>
    </row>
    <row r="24" spans="1:14" x14ac:dyDescent="0.25">
      <c r="A24" s="109" t="s">
        <v>58</v>
      </c>
      <c r="B24" s="378">
        <v>2714.9999990000001</v>
      </c>
      <c r="C24" s="63">
        <v>46077537.963580526</v>
      </c>
      <c r="D24" s="97">
        <v>0</v>
      </c>
      <c r="E24" s="63">
        <f t="shared" si="5"/>
        <v>16971.468869448247</v>
      </c>
      <c r="F24" s="63">
        <f>VLOOKUP(A24, 'OPERATING Total Funding'!$A$9:$W$32, 13, 0)</f>
        <v>46789143.963580526</v>
      </c>
      <c r="G24" s="97">
        <v>0</v>
      </c>
      <c r="H24" s="97">
        <f t="shared" si="6"/>
        <v>17234</v>
      </c>
      <c r="I24" s="98">
        <f t="shared" si="7"/>
        <v>1.5468969278455183E-2</v>
      </c>
      <c r="J24" s="139"/>
      <c r="K24" s="63">
        <f>VLOOKUP(A24, 'OPERATING Total Funding'!$A$9:$W$32, 22, 0)</f>
        <v>46789143.963580526</v>
      </c>
      <c r="L24" s="97">
        <v>0</v>
      </c>
      <c r="M24" s="97">
        <f t="shared" si="8"/>
        <v>17234</v>
      </c>
      <c r="N24" s="98">
        <f t="shared" si="9"/>
        <v>1.5468969278455183E-2</v>
      </c>
    </row>
    <row r="25" spans="1:14" ht="15.75" customHeight="1" thickBot="1" x14ac:dyDescent="0.3">
      <c r="A25" s="109" t="s">
        <v>59</v>
      </c>
      <c r="B25" s="378">
        <v>31650.333305999997</v>
      </c>
      <c r="C25" s="63">
        <v>245049319.88038951</v>
      </c>
      <c r="D25" s="97">
        <v>0</v>
      </c>
      <c r="E25" s="63">
        <f t="shared" si="5"/>
        <v>7742.3930266773896</v>
      </c>
      <c r="F25" s="63">
        <f>VLOOKUP(A25, 'OPERATING Total Funding'!$A$9:$W$32, 13, 0)</f>
        <v>248772294.68364924</v>
      </c>
      <c r="G25" s="97">
        <v>0</v>
      </c>
      <c r="H25" s="97">
        <f t="shared" si="6"/>
        <v>7860</v>
      </c>
      <c r="I25" s="98">
        <f t="shared" si="7"/>
        <v>1.5190003002609245E-2</v>
      </c>
      <c r="J25" s="139"/>
      <c r="K25" s="63">
        <f>VLOOKUP(A25, 'OPERATING Total Funding'!$A$9:$W$32, 22, 0)</f>
        <v>248772294.68364924</v>
      </c>
      <c r="L25" s="97">
        <v>0</v>
      </c>
      <c r="M25" s="97">
        <f t="shared" si="8"/>
        <v>7860</v>
      </c>
      <c r="N25" s="98">
        <f t="shared" si="9"/>
        <v>1.5190003002609245E-2</v>
      </c>
    </row>
    <row r="26" spans="1:14" ht="15.75" customHeight="1" thickBot="1" x14ac:dyDescent="0.3">
      <c r="A26" s="125" t="s">
        <v>32</v>
      </c>
      <c r="B26" s="88">
        <f>B14+B19+SUM(B21:B25)</f>
        <v>142741.529114</v>
      </c>
      <c r="C26" s="88">
        <f>C14+C19+SUM(C21:C25)</f>
        <v>1342121347.870837</v>
      </c>
      <c r="D26" s="129">
        <v>-76235683</v>
      </c>
      <c r="E26" s="88">
        <f t="shared" si="5"/>
        <v>8868.3767977561874</v>
      </c>
      <c r="F26" s="88">
        <f>VLOOKUP(A26, 'OPERATING Total Funding'!$A$9:$W$32, 13, 0)</f>
        <v>1517330163.734771</v>
      </c>
      <c r="G26" s="129">
        <f>SUM(G14,G19,G21:G25)</f>
        <v>-76235683</v>
      </c>
      <c r="H26" s="129">
        <f>ROUND(SUM(F26,G26)/$B26, 0)</f>
        <v>10096</v>
      </c>
      <c r="I26" s="144">
        <f>(H26-$E26)/$E26</f>
        <v>0.13842704592281385</v>
      </c>
      <c r="J26" s="145"/>
      <c r="K26" s="88">
        <f>VLOOKUP(A26, 'OPERATING Total Funding'!$A$9:$W$32, 22, 0)</f>
        <v>1517330163.734771</v>
      </c>
      <c r="L26" s="129">
        <f>SUM(L14,L19,L21:L25)</f>
        <v>-76235683</v>
      </c>
      <c r="M26" s="129">
        <f t="shared" si="8"/>
        <v>10096</v>
      </c>
      <c r="N26" s="144">
        <f t="shared" si="9"/>
        <v>0.13842704592281385</v>
      </c>
    </row>
    <row r="28" spans="1:14" x14ac:dyDescent="0.25">
      <c r="A28" t="s">
        <v>367</v>
      </c>
    </row>
    <row r="29" spans="1:14" x14ac:dyDescent="0.25">
      <c r="A29" t="s">
        <v>368</v>
      </c>
    </row>
  </sheetData>
  <mergeCells count="5">
    <mergeCell ref="A5:A6"/>
    <mergeCell ref="B5:B6"/>
    <mergeCell ref="C5:E5"/>
    <mergeCell ref="F5:I5"/>
    <mergeCell ref="K5:N5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913-AB48-4AD9-BC46-4A72AD0A82BB}">
  <sheetPr>
    <tabColor rgb="FF00B050"/>
  </sheetPr>
  <dimension ref="A1:I135"/>
  <sheetViews>
    <sheetView topLeftCell="B1" workbookViewId="0">
      <selection activeCell="D123" sqref="D123"/>
    </sheetView>
  </sheetViews>
  <sheetFormatPr defaultRowHeight="15" x14ac:dyDescent="0.25"/>
  <cols>
    <col min="1" max="1" width="9.28515625" style="216" hidden="1" customWidth="1"/>
    <col min="3" max="3" width="40.42578125" bestFit="1" customWidth="1"/>
    <col min="4" max="5" width="10.28515625" bestFit="1" customWidth="1"/>
    <col min="6" max="6" width="10.42578125" bestFit="1" customWidth="1"/>
    <col min="7" max="7" width="11.28515625" customWidth="1"/>
    <col min="8" max="9" width="14" bestFit="1" customWidth="1"/>
  </cols>
  <sheetData>
    <row r="1" spans="1:9" ht="15.75" x14ac:dyDescent="0.25">
      <c r="B1" s="9" t="s">
        <v>67</v>
      </c>
    </row>
    <row r="3" spans="1:9" ht="15.75" x14ac:dyDescent="0.25">
      <c r="B3" s="315" t="s">
        <v>312</v>
      </c>
      <c r="C3" s="315" t="s">
        <v>313</v>
      </c>
      <c r="D3" s="316" t="s">
        <v>314</v>
      </c>
      <c r="E3" s="316" t="s">
        <v>315</v>
      </c>
      <c r="F3" s="317" t="s">
        <v>316</v>
      </c>
      <c r="G3" s="316" t="s">
        <v>317</v>
      </c>
      <c r="H3" s="316" t="s">
        <v>343</v>
      </c>
      <c r="I3" s="316" t="s">
        <v>344</v>
      </c>
    </row>
    <row r="4" spans="1:9" ht="15.75" x14ac:dyDescent="0.25">
      <c r="B4" s="315"/>
      <c r="C4" s="315"/>
      <c r="D4" s="316"/>
      <c r="E4" s="316"/>
      <c r="F4" s="317"/>
      <c r="G4" s="316"/>
    </row>
    <row r="5" spans="1:9" ht="15.75" customHeight="1" x14ac:dyDescent="0.25">
      <c r="A5" s="216" t="s">
        <v>55</v>
      </c>
      <c r="B5" s="454" t="s">
        <v>318</v>
      </c>
      <c r="C5" t="s">
        <v>319</v>
      </c>
      <c r="D5" s="321">
        <v>0.36375105130361646</v>
      </c>
      <c r="E5" s="321">
        <v>0.37008941183182226</v>
      </c>
      <c r="F5" s="322">
        <f>E5/D5-1</f>
        <v>1.742499576424672E-2</v>
      </c>
      <c r="G5" s="323">
        <v>0.25</v>
      </c>
      <c r="H5" s="225">
        <f>VLOOKUP($A5,'OPERATING Total Funding'!$A$9:$V$32,12,0)*$G5</f>
        <v>0</v>
      </c>
      <c r="I5" s="225">
        <f>VLOOKUP($A5,'OPERATING Total Funding'!$A$9:$V$32,21,0)*$G5</f>
        <v>0</v>
      </c>
    </row>
    <row r="6" spans="1:9" x14ac:dyDescent="0.25">
      <c r="A6" s="216" t="s">
        <v>55</v>
      </c>
      <c r="B6" s="454"/>
      <c r="C6" t="s">
        <v>320</v>
      </c>
      <c r="D6" s="324">
        <v>786</v>
      </c>
      <c r="E6" s="324">
        <f>D6</f>
        <v>786</v>
      </c>
      <c r="F6" s="322">
        <f t="shared" ref="F6:F12" si="0">E6/D6-1</f>
        <v>0</v>
      </c>
      <c r="G6" s="323">
        <v>0.1</v>
      </c>
      <c r="H6" s="225">
        <f>VLOOKUP($A6,'OPERATING Total Funding'!$A$9:$V$32,12,0)*$G6</f>
        <v>0</v>
      </c>
      <c r="I6" s="225">
        <f>VLOOKUP($A6,'OPERATING Total Funding'!$A$9:$V$32,21,0)*$G6</f>
        <v>0</v>
      </c>
    </row>
    <row r="7" spans="1:9" x14ac:dyDescent="0.25">
      <c r="A7" s="216" t="s">
        <v>55</v>
      </c>
      <c r="B7" s="454"/>
      <c r="C7" t="s">
        <v>321</v>
      </c>
      <c r="D7" s="321">
        <v>0.46134524141780631</v>
      </c>
      <c r="E7" s="321">
        <f>D7</f>
        <v>0.46134524141780631</v>
      </c>
      <c r="F7" s="322">
        <f t="shared" si="0"/>
        <v>0</v>
      </c>
      <c r="G7" s="323">
        <v>0.25</v>
      </c>
      <c r="H7" s="225">
        <f>VLOOKUP($A7,'OPERATING Total Funding'!$A$9:$V$32,12,0)*$G7</f>
        <v>0</v>
      </c>
      <c r="I7" s="225">
        <f>VLOOKUP($A7,'OPERATING Total Funding'!$A$9:$V$32,21,0)*$G7</f>
        <v>0</v>
      </c>
    </row>
    <row r="8" spans="1:9" x14ac:dyDescent="0.25">
      <c r="A8" s="216" t="s">
        <v>55</v>
      </c>
      <c r="B8" s="454"/>
      <c r="C8" t="s">
        <v>322</v>
      </c>
      <c r="D8" s="324">
        <v>3570</v>
      </c>
      <c r="E8" s="324">
        <v>3520.412375220084</v>
      </c>
      <c r="F8" s="322">
        <f t="shared" si="0"/>
        <v>-1.3890090974766345E-2</v>
      </c>
      <c r="G8" s="323">
        <v>0.05</v>
      </c>
      <c r="H8" s="225">
        <f>VLOOKUP($A8,'OPERATING Total Funding'!$A$9:$V$32,12,0)*$G8</f>
        <v>0</v>
      </c>
      <c r="I8" s="225">
        <f>VLOOKUP($A8,'OPERATING Total Funding'!$A$9:$V$32,21,0)*$G8</f>
        <v>0</v>
      </c>
    </row>
    <row r="9" spans="1:9" x14ac:dyDescent="0.25">
      <c r="A9" s="216" t="s">
        <v>55</v>
      </c>
      <c r="B9" s="454"/>
      <c r="C9" t="s">
        <v>323</v>
      </c>
      <c r="D9" s="324">
        <v>855</v>
      </c>
      <c r="E9" s="324">
        <v>854.62532862708474</v>
      </c>
      <c r="F9" s="322">
        <f t="shared" si="0"/>
        <v>-4.3821213206463039E-4</v>
      </c>
      <c r="G9" s="323">
        <v>0.1</v>
      </c>
      <c r="H9" s="225">
        <f>VLOOKUP($A9,'OPERATING Total Funding'!$A$9:$V$32,12,0)*$G9</f>
        <v>0</v>
      </c>
      <c r="I9" s="225">
        <f>VLOOKUP($A9,'OPERATING Total Funding'!$A$9:$V$32,21,0)*$G9</f>
        <v>0</v>
      </c>
    </row>
    <row r="10" spans="1:9" x14ac:dyDescent="0.25">
      <c r="A10" s="216" t="s">
        <v>55</v>
      </c>
      <c r="B10" s="454"/>
      <c r="C10" t="s">
        <v>324</v>
      </c>
      <c r="D10" s="324">
        <v>251</v>
      </c>
      <c r="E10" s="324">
        <v>232.96689256072474</v>
      </c>
      <c r="F10" s="322">
        <f t="shared" si="0"/>
        <v>-7.1845049558865615E-2</v>
      </c>
      <c r="G10" s="323">
        <v>0.05</v>
      </c>
      <c r="H10" s="225">
        <f>VLOOKUP($A10,'OPERATING Total Funding'!$A$9:$V$32,12,0)*$G10</f>
        <v>0</v>
      </c>
      <c r="I10" s="225">
        <f>VLOOKUP($A10,'OPERATING Total Funding'!$A$9:$V$32,21,0)*$G10</f>
        <v>0</v>
      </c>
    </row>
    <row r="11" spans="1:9" x14ac:dyDescent="0.25">
      <c r="A11" s="216" t="s">
        <v>55</v>
      </c>
      <c r="B11" s="454"/>
      <c r="C11" t="s">
        <v>325</v>
      </c>
      <c r="D11" s="324">
        <v>531</v>
      </c>
      <c r="E11" s="324">
        <v>503.71021444156162</v>
      </c>
      <c r="F11" s="322">
        <f t="shared" si="0"/>
        <v>-5.1393193142068472E-2</v>
      </c>
      <c r="G11" s="323">
        <v>0.05</v>
      </c>
      <c r="H11" s="225">
        <f>VLOOKUP($A11,'OPERATING Total Funding'!$A$9:$V$32,12,0)*$G11</f>
        <v>0</v>
      </c>
      <c r="I11" s="225">
        <f>VLOOKUP($A11,'OPERATING Total Funding'!$A$9:$V$32,21,0)*$G11</f>
        <v>0</v>
      </c>
    </row>
    <row r="12" spans="1:9" x14ac:dyDescent="0.25">
      <c r="A12" s="216" t="s">
        <v>55</v>
      </c>
      <c r="B12" s="454"/>
      <c r="C12" t="s">
        <v>326</v>
      </c>
      <c r="D12" s="325">
        <v>0.53</v>
      </c>
      <c r="E12" s="325">
        <f>D12</f>
        <v>0.53</v>
      </c>
      <c r="F12" s="322">
        <f t="shared" si="0"/>
        <v>0</v>
      </c>
      <c r="G12" s="323">
        <v>0.15</v>
      </c>
      <c r="H12" s="225">
        <f>VLOOKUP($A12,'OPERATING Total Funding'!$A$9:$V$32,12,0)*$G12</f>
        <v>0</v>
      </c>
      <c r="I12" s="225">
        <f>VLOOKUP($A12,'OPERATING Total Funding'!$A$9:$V$32,21,0)*$G12</f>
        <v>0</v>
      </c>
    </row>
    <row r="13" spans="1:9" x14ac:dyDescent="0.25">
      <c r="F13" s="326"/>
      <c r="G13" s="228"/>
      <c r="H13" s="319"/>
      <c r="I13" s="319"/>
    </row>
    <row r="14" spans="1:9" ht="15.75" customHeight="1" x14ac:dyDescent="0.25">
      <c r="A14" s="216" t="s">
        <v>56</v>
      </c>
      <c r="B14" s="454" t="s">
        <v>327</v>
      </c>
      <c r="C14" t="s">
        <v>319</v>
      </c>
      <c r="D14" s="321">
        <v>0.42660142348754398</v>
      </c>
      <c r="E14" s="321">
        <v>0.42660142348754398</v>
      </c>
      <c r="F14" s="322">
        <f>E14/D14-1</f>
        <v>0</v>
      </c>
      <c r="G14" s="323">
        <v>0.15</v>
      </c>
      <c r="H14" s="225">
        <f>VLOOKUP($A14,'OPERATING Total Funding'!$A$9:$V$32,12,0)*$G14</f>
        <v>0</v>
      </c>
      <c r="I14" s="225">
        <f>VLOOKUP($A14,'OPERATING Total Funding'!$A$9:$V$32,21,0)*$G14</f>
        <v>0</v>
      </c>
    </row>
    <row r="15" spans="1:9" x14ac:dyDescent="0.25">
      <c r="A15" s="216" t="s">
        <v>56</v>
      </c>
      <c r="B15" s="454"/>
      <c r="C15" t="s">
        <v>320</v>
      </c>
      <c r="D15" s="324">
        <v>894</v>
      </c>
      <c r="E15" s="324">
        <f>D15</f>
        <v>894</v>
      </c>
      <c r="F15" s="322">
        <f t="shared" ref="F15:F20" si="1">E15/D15-1</f>
        <v>0</v>
      </c>
      <c r="G15" s="323">
        <v>0.1</v>
      </c>
      <c r="H15" s="225">
        <f>VLOOKUP($A15,'OPERATING Total Funding'!$A$9:$V$32,12,0)*$G15</f>
        <v>0</v>
      </c>
      <c r="I15" s="225">
        <f>VLOOKUP($A15,'OPERATING Total Funding'!$A$9:$V$32,21,0)*$G15</f>
        <v>0</v>
      </c>
    </row>
    <row r="16" spans="1:9" x14ac:dyDescent="0.25">
      <c r="A16" s="216" t="s">
        <v>56</v>
      </c>
      <c r="B16" s="454"/>
      <c r="C16" t="s">
        <v>321</v>
      </c>
      <c r="D16" s="321">
        <v>0.32700135685210313</v>
      </c>
      <c r="E16" s="321">
        <v>0.34798134980928808</v>
      </c>
      <c r="F16" s="322">
        <f t="shared" si="1"/>
        <v>6.4158733649150701E-2</v>
      </c>
      <c r="G16" s="323">
        <v>0.25</v>
      </c>
      <c r="H16" s="225">
        <f>VLOOKUP($A16,'OPERATING Total Funding'!$A$9:$V$32,12,0)*$G16</f>
        <v>0</v>
      </c>
      <c r="I16" s="225">
        <f>VLOOKUP($A16,'OPERATING Total Funding'!$A$9:$V$32,21,0)*$G16</f>
        <v>0</v>
      </c>
    </row>
    <row r="17" spans="1:9" x14ac:dyDescent="0.25">
      <c r="A17" s="216" t="s">
        <v>56</v>
      </c>
      <c r="B17" s="454"/>
      <c r="C17" t="s">
        <v>322</v>
      </c>
      <c r="D17" s="324">
        <v>1485</v>
      </c>
      <c r="E17" s="324">
        <v>1401.3421639598275</v>
      </c>
      <c r="F17" s="322">
        <f t="shared" si="1"/>
        <v>-5.6335243124695289E-2</v>
      </c>
      <c r="G17" s="323">
        <v>0.1</v>
      </c>
      <c r="H17" s="225">
        <f>VLOOKUP($A17,'OPERATING Total Funding'!$A$9:$V$32,12,0)*$G17</f>
        <v>0</v>
      </c>
      <c r="I17" s="225">
        <f>VLOOKUP($A17,'OPERATING Total Funding'!$A$9:$V$32,21,0)*$G17</f>
        <v>0</v>
      </c>
    </row>
    <row r="18" spans="1:9" x14ac:dyDescent="0.25">
      <c r="A18" s="216" t="s">
        <v>56</v>
      </c>
      <c r="B18" s="454"/>
      <c r="C18" t="s">
        <v>323</v>
      </c>
      <c r="D18" s="324">
        <v>384</v>
      </c>
      <c r="E18" s="324">
        <v>353.59503100797576</v>
      </c>
      <c r="F18" s="322">
        <f t="shared" si="1"/>
        <v>-7.9179606750063081E-2</v>
      </c>
      <c r="G18" s="323">
        <v>0.15</v>
      </c>
      <c r="H18" s="225">
        <f>VLOOKUP($A18,'OPERATING Total Funding'!$A$9:$V$32,12,0)*$G18</f>
        <v>0</v>
      </c>
      <c r="I18" s="225">
        <f>VLOOKUP($A18,'OPERATING Total Funding'!$A$9:$V$32,21,0)*$G18</f>
        <v>0</v>
      </c>
    </row>
    <row r="19" spans="1:9" x14ac:dyDescent="0.25">
      <c r="A19" s="216" t="s">
        <v>56</v>
      </c>
      <c r="B19" s="454"/>
      <c r="C19" t="s">
        <v>324</v>
      </c>
      <c r="D19" s="324">
        <v>254</v>
      </c>
      <c r="E19" s="324">
        <v>243.65763344172774</v>
      </c>
      <c r="F19" s="322">
        <f t="shared" si="1"/>
        <v>-4.0717978575875002E-2</v>
      </c>
      <c r="G19" s="323">
        <v>0.05</v>
      </c>
      <c r="H19" s="225">
        <f>VLOOKUP($A19,'OPERATING Total Funding'!$A$9:$V$32,12,0)*$G19</f>
        <v>0</v>
      </c>
      <c r="I19" s="225">
        <f>VLOOKUP($A19,'OPERATING Total Funding'!$A$9:$V$32,21,0)*$G19</f>
        <v>0</v>
      </c>
    </row>
    <row r="20" spans="1:9" x14ac:dyDescent="0.25">
      <c r="A20" s="216" t="s">
        <v>56</v>
      </c>
      <c r="B20" s="454"/>
      <c r="C20" t="s">
        <v>325</v>
      </c>
      <c r="D20" s="324">
        <v>164</v>
      </c>
      <c r="E20" s="324">
        <v>154.67799919069651</v>
      </c>
      <c r="F20" s="322">
        <f t="shared" si="1"/>
        <v>-5.6841468349411506E-2</v>
      </c>
      <c r="G20" s="323">
        <v>0.05</v>
      </c>
      <c r="H20" s="225">
        <f>VLOOKUP($A20,'OPERATING Total Funding'!$A$9:$V$32,12,0)*$G20</f>
        <v>0</v>
      </c>
      <c r="I20" s="225">
        <f>VLOOKUP($A20,'OPERATING Total Funding'!$A$9:$V$32,21,0)*$G20</f>
        <v>0</v>
      </c>
    </row>
    <row r="21" spans="1:9" x14ac:dyDescent="0.25">
      <c r="A21" s="216" t="s">
        <v>56</v>
      </c>
      <c r="B21" s="454"/>
      <c r="C21" t="s">
        <v>326</v>
      </c>
      <c r="D21" s="327">
        <v>0.56079999999999997</v>
      </c>
      <c r="E21" s="327">
        <f>D21</f>
        <v>0.56079999999999997</v>
      </c>
      <c r="F21" s="322">
        <f>(E21/D21)-1</f>
        <v>0</v>
      </c>
      <c r="G21" s="323">
        <v>0.15</v>
      </c>
      <c r="H21" s="225">
        <f>VLOOKUP($A21,'OPERATING Total Funding'!$A$9:$V$32,12,0)*$G21</f>
        <v>0</v>
      </c>
      <c r="I21" s="225">
        <f>VLOOKUP($A21,'OPERATING Total Funding'!$A$9:$V$32,21,0)*$G21</f>
        <v>0</v>
      </c>
    </row>
    <row r="22" spans="1:9" x14ac:dyDescent="0.25">
      <c r="F22" s="326"/>
      <c r="G22" s="228"/>
      <c r="H22" s="319"/>
      <c r="I22" s="319"/>
    </row>
    <row r="23" spans="1:9" ht="15.75" customHeight="1" x14ac:dyDescent="0.25">
      <c r="A23" s="216" t="s">
        <v>36</v>
      </c>
      <c r="B23" s="454" t="s">
        <v>218</v>
      </c>
      <c r="C23" t="s">
        <v>319</v>
      </c>
      <c r="D23" s="321">
        <v>0.24774381368267831</v>
      </c>
      <c r="E23" s="321">
        <f>D23</f>
        <v>0.24774381368267831</v>
      </c>
      <c r="F23" s="322">
        <f>E23/D23-1</f>
        <v>0</v>
      </c>
      <c r="G23" s="323">
        <v>0.25</v>
      </c>
      <c r="H23" s="225">
        <f>VLOOKUP($A23,'OPERATING Total Funding'!$A$9:$V$32,12,0)*$G23</f>
        <v>0</v>
      </c>
      <c r="I23" s="225">
        <f>VLOOKUP($A23,'OPERATING Total Funding'!$A$9:$V$32,21,0)*$G23</f>
        <v>0</v>
      </c>
    </row>
    <row r="24" spans="1:9" x14ac:dyDescent="0.25">
      <c r="A24" s="216" t="s">
        <v>36</v>
      </c>
      <c r="B24" s="454"/>
      <c r="C24" t="s">
        <v>321</v>
      </c>
      <c r="D24" s="321">
        <v>0.67391304347826086</v>
      </c>
      <c r="E24" s="321">
        <f>D24</f>
        <v>0.67391304347826086</v>
      </c>
      <c r="F24" s="322">
        <f t="shared" ref="F24:F29" si="2">E24/D24-1</f>
        <v>0</v>
      </c>
      <c r="G24" s="323">
        <v>0.25</v>
      </c>
      <c r="H24" s="225">
        <f>VLOOKUP($A24,'OPERATING Total Funding'!$A$9:$V$32,12,0)*$G24</f>
        <v>0</v>
      </c>
      <c r="I24" s="225">
        <f>VLOOKUP($A24,'OPERATING Total Funding'!$A$9:$V$32,21,0)*$G24</f>
        <v>0</v>
      </c>
    </row>
    <row r="25" spans="1:9" x14ac:dyDescent="0.25">
      <c r="A25" s="216" t="s">
        <v>36</v>
      </c>
      <c r="B25" s="454"/>
      <c r="C25" t="s">
        <v>322</v>
      </c>
      <c r="D25" s="324">
        <v>5362</v>
      </c>
      <c r="E25" s="324">
        <v>5302.5927959563251</v>
      </c>
      <c r="F25" s="322">
        <f t="shared" si="2"/>
        <v>-1.1079299523251596E-2</v>
      </c>
      <c r="G25" s="323">
        <v>0.05</v>
      </c>
      <c r="H25" s="225">
        <f>VLOOKUP($A25,'OPERATING Total Funding'!$A$9:$V$32,12,0)*$G25</f>
        <v>0</v>
      </c>
      <c r="I25" s="225">
        <f>VLOOKUP($A25,'OPERATING Total Funding'!$A$9:$V$32,21,0)*$G25</f>
        <v>0</v>
      </c>
    </row>
    <row r="26" spans="1:9" x14ac:dyDescent="0.25">
      <c r="A26" s="216" t="s">
        <v>36</v>
      </c>
      <c r="B26" s="454"/>
      <c r="C26" t="s">
        <v>323</v>
      </c>
      <c r="D26" s="324">
        <v>954</v>
      </c>
      <c r="E26" s="324">
        <v>908.18394235238168</v>
      </c>
      <c r="F26" s="322">
        <f t="shared" si="2"/>
        <v>-4.8025217659977248E-2</v>
      </c>
      <c r="G26" s="323">
        <v>0.1</v>
      </c>
      <c r="H26" s="225">
        <f>VLOOKUP($A26,'OPERATING Total Funding'!$A$9:$V$32,12,0)*$G26</f>
        <v>0</v>
      </c>
      <c r="I26" s="225">
        <f>VLOOKUP($A26,'OPERATING Total Funding'!$A$9:$V$32,21,0)*$G26</f>
        <v>0</v>
      </c>
    </row>
    <row r="27" spans="1:9" x14ac:dyDescent="0.25">
      <c r="A27" s="216" t="s">
        <v>36</v>
      </c>
      <c r="B27" s="454"/>
      <c r="C27" t="s">
        <v>325</v>
      </c>
      <c r="D27" s="324">
        <v>1758</v>
      </c>
      <c r="E27" s="324">
        <v>1752.0406474620645</v>
      </c>
      <c r="F27" s="322">
        <f t="shared" si="2"/>
        <v>-3.3898478600316029E-3</v>
      </c>
      <c r="G27" s="323">
        <v>0.05</v>
      </c>
      <c r="H27" s="225">
        <f>VLOOKUP($A27,'OPERATING Total Funding'!$A$9:$V$32,12,0)*$G27</f>
        <v>0</v>
      </c>
      <c r="I27" s="225">
        <f>VLOOKUP($A27,'OPERATING Total Funding'!$A$9:$V$32,21,0)*$G27</f>
        <v>0</v>
      </c>
    </row>
    <row r="28" spans="1:9" x14ac:dyDescent="0.25">
      <c r="A28" s="216" t="s">
        <v>36</v>
      </c>
      <c r="B28" s="454"/>
      <c r="C28" t="s">
        <v>328</v>
      </c>
      <c r="D28" s="324">
        <v>751309</v>
      </c>
      <c r="E28" s="324">
        <v>767122.76549027406</v>
      </c>
      <c r="F28" s="322">
        <f t="shared" si="2"/>
        <v>2.1048284381358418E-2</v>
      </c>
      <c r="G28" s="323">
        <v>0.1</v>
      </c>
      <c r="H28" s="225">
        <f>VLOOKUP($A28,'OPERATING Total Funding'!$A$9:$V$32,12,0)*$G28</f>
        <v>0</v>
      </c>
      <c r="I28" s="225">
        <f>VLOOKUP($A28,'OPERATING Total Funding'!$A$9:$V$32,21,0)*$G28</f>
        <v>0</v>
      </c>
    </row>
    <row r="29" spans="1:9" x14ac:dyDescent="0.25">
      <c r="A29" s="216" t="s">
        <v>36</v>
      </c>
      <c r="B29" s="454"/>
      <c r="C29" t="s">
        <v>326</v>
      </c>
      <c r="D29" s="325">
        <v>0.32800000000000001</v>
      </c>
      <c r="E29" s="325">
        <v>0.33323592401590235</v>
      </c>
      <c r="F29" s="322">
        <f t="shared" si="2"/>
        <v>1.5963182975311963E-2</v>
      </c>
      <c r="G29" s="323">
        <v>0.2</v>
      </c>
      <c r="H29" s="225">
        <f>VLOOKUP($A29,'OPERATING Total Funding'!$A$9:$V$32,12,0)*$G29</f>
        <v>0</v>
      </c>
      <c r="I29" s="225">
        <f>VLOOKUP($A29,'OPERATING Total Funding'!$A$9:$V$32,21,0)*$G29</f>
        <v>0</v>
      </c>
    </row>
    <row r="30" spans="1:9" x14ac:dyDescent="0.25">
      <c r="B30" s="320"/>
      <c r="D30" s="324"/>
      <c r="E30" s="324"/>
      <c r="F30" s="322"/>
      <c r="G30" s="323"/>
      <c r="H30" s="319"/>
      <c r="I30" s="319"/>
    </row>
    <row r="31" spans="1:9" ht="15.75" customHeight="1" x14ac:dyDescent="0.25">
      <c r="A31" s="216" t="s">
        <v>40</v>
      </c>
      <c r="B31" s="454" t="s">
        <v>329</v>
      </c>
      <c r="C31" t="s">
        <v>319</v>
      </c>
      <c r="D31" s="321">
        <v>0.41459502806736165</v>
      </c>
      <c r="E31" s="321">
        <f>D31</f>
        <v>0.41459502806736165</v>
      </c>
      <c r="F31" s="322">
        <f>E31/D31-1</f>
        <v>0</v>
      </c>
      <c r="G31" s="323">
        <v>0.1</v>
      </c>
      <c r="H31" s="225">
        <f>VLOOKUP($A31,'OPERATING Total Funding'!$A$9:$V$32,12,0)*$G31</f>
        <v>0</v>
      </c>
      <c r="I31" s="225">
        <f>VLOOKUP($A31,'OPERATING Total Funding'!$A$9:$V$32,21,0)*$G31</f>
        <v>0</v>
      </c>
    </row>
    <row r="32" spans="1:9" ht="15.75" customHeight="1" x14ac:dyDescent="0.25">
      <c r="A32" s="216" t="s">
        <v>40</v>
      </c>
      <c r="B32" s="454" t="s">
        <v>40</v>
      </c>
      <c r="C32" t="s">
        <v>320</v>
      </c>
      <c r="D32" s="324">
        <v>815</v>
      </c>
      <c r="E32" s="324">
        <f>D32</f>
        <v>815</v>
      </c>
      <c r="F32" s="322">
        <f t="shared" ref="F32:F37" si="3">E32/D32-1</f>
        <v>0</v>
      </c>
      <c r="G32" s="323">
        <v>0.2</v>
      </c>
      <c r="H32" s="225">
        <f>VLOOKUP($A32,'OPERATING Total Funding'!$A$9:$V$32,12,0)*$G32</f>
        <v>0</v>
      </c>
      <c r="I32" s="225">
        <f>VLOOKUP($A32,'OPERATING Total Funding'!$A$9:$V$32,21,0)*$G32</f>
        <v>0</v>
      </c>
    </row>
    <row r="33" spans="1:9" ht="15.75" customHeight="1" x14ac:dyDescent="0.25">
      <c r="A33" s="216" t="s">
        <v>40</v>
      </c>
      <c r="B33" s="454" t="s">
        <v>40</v>
      </c>
      <c r="C33" t="s">
        <v>321</v>
      </c>
      <c r="D33" s="321">
        <v>0.31</v>
      </c>
      <c r="E33" s="321">
        <f>D33</f>
        <v>0.31</v>
      </c>
      <c r="F33" s="322">
        <f t="shared" si="3"/>
        <v>0</v>
      </c>
      <c r="G33" s="323">
        <v>0.25</v>
      </c>
      <c r="H33" s="225">
        <f>VLOOKUP($A33,'OPERATING Total Funding'!$A$9:$V$32,12,0)*$G33</f>
        <v>0</v>
      </c>
      <c r="I33" s="225">
        <f>VLOOKUP($A33,'OPERATING Total Funding'!$A$9:$V$32,21,0)*$G33</f>
        <v>0</v>
      </c>
    </row>
    <row r="34" spans="1:9" ht="15.75" customHeight="1" x14ac:dyDescent="0.25">
      <c r="A34" s="216" t="s">
        <v>40</v>
      </c>
      <c r="B34" s="454" t="s">
        <v>40</v>
      </c>
      <c r="C34" t="s">
        <v>322</v>
      </c>
      <c r="D34" s="324">
        <v>461</v>
      </c>
      <c r="E34" s="324">
        <v>421.3927566287083</v>
      </c>
      <c r="F34" s="322">
        <f t="shared" si="3"/>
        <v>-8.5915929221890841E-2</v>
      </c>
      <c r="G34" s="323">
        <v>0.05</v>
      </c>
      <c r="H34" s="225">
        <f>VLOOKUP($A34,'OPERATING Total Funding'!$A$9:$V$32,12,0)*$G34</f>
        <v>0</v>
      </c>
      <c r="I34" s="225">
        <f>VLOOKUP($A34,'OPERATING Total Funding'!$A$9:$V$32,21,0)*$G34</f>
        <v>0</v>
      </c>
    </row>
    <row r="35" spans="1:9" ht="15.75" customHeight="1" x14ac:dyDescent="0.25">
      <c r="A35" s="216" t="s">
        <v>40</v>
      </c>
      <c r="B35" s="454" t="s">
        <v>40</v>
      </c>
      <c r="C35" t="s">
        <v>323</v>
      </c>
      <c r="D35" s="324">
        <v>168</v>
      </c>
      <c r="E35" s="324">
        <v>155.51153934828562</v>
      </c>
      <c r="F35" s="322">
        <f t="shared" si="3"/>
        <v>-7.4336075307823712E-2</v>
      </c>
      <c r="G35" s="323">
        <v>0.15</v>
      </c>
      <c r="H35" s="225">
        <f>VLOOKUP($A35,'OPERATING Total Funding'!$A$9:$V$32,12,0)*$G35</f>
        <v>0</v>
      </c>
      <c r="I35" s="225">
        <f>VLOOKUP($A35,'OPERATING Total Funding'!$A$9:$V$32,21,0)*$G35</f>
        <v>0</v>
      </c>
    </row>
    <row r="36" spans="1:9" ht="15.75" customHeight="1" x14ac:dyDescent="0.25">
      <c r="A36" s="216" t="s">
        <v>40</v>
      </c>
      <c r="B36" s="454" t="s">
        <v>40</v>
      </c>
      <c r="C36" t="s">
        <v>324</v>
      </c>
      <c r="D36" s="324">
        <v>193</v>
      </c>
      <c r="E36" s="324">
        <v>166.33595003143932</v>
      </c>
      <c r="F36" s="322">
        <f t="shared" si="3"/>
        <v>-0.13815569931896721</v>
      </c>
      <c r="G36" s="323">
        <v>0.05</v>
      </c>
      <c r="H36" s="225">
        <f>VLOOKUP($A36,'OPERATING Total Funding'!$A$9:$V$32,12,0)*$G36</f>
        <v>0</v>
      </c>
      <c r="I36" s="225">
        <f>VLOOKUP($A36,'OPERATING Total Funding'!$A$9:$V$32,21,0)*$G36</f>
        <v>0</v>
      </c>
    </row>
    <row r="37" spans="1:9" ht="15.75" customHeight="1" x14ac:dyDescent="0.25">
      <c r="A37" s="216" t="s">
        <v>40</v>
      </c>
      <c r="B37" s="454" t="s">
        <v>40</v>
      </c>
      <c r="C37" t="s">
        <v>325</v>
      </c>
      <c r="D37" s="324">
        <v>128</v>
      </c>
      <c r="E37" s="324">
        <v>105.90083445627209</v>
      </c>
      <c r="F37" s="322">
        <f t="shared" si="3"/>
        <v>-0.17264973081037427</v>
      </c>
      <c r="G37" s="323">
        <v>0.05</v>
      </c>
      <c r="H37" s="225">
        <f>VLOOKUP($A37,'OPERATING Total Funding'!$A$9:$V$32,12,0)*$G37</f>
        <v>0</v>
      </c>
      <c r="I37" s="225">
        <f>VLOOKUP($A37,'OPERATING Total Funding'!$A$9:$V$32,21,0)*$G37</f>
        <v>0</v>
      </c>
    </row>
    <row r="38" spans="1:9" x14ac:dyDescent="0.25">
      <c r="A38" s="216" t="s">
        <v>40</v>
      </c>
      <c r="B38" s="454"/>
      <c r="C38" t="s">
        <v>326</v>
      </c>
      <c r="D38" s="325">
        <v>0.57540000000000002</v>
      </c>
      <c r="E38" s="325">
        <v>0.57687501821615517</v>
      </c>
      <c r="F38" s="322">
        <f>(E38/D38)-1</f>
        <v>2.5634657910238445E-3</v>
      </c>
      <c r="G38" s="323">
        <v>0.15</v>
      </c>
      <c r="H38" s="225">
        <f>VLOOKUP($A38,'OPERATING Total Funding'!$A$9:$V$32,12,0)*$G38</f>
        <v>0</v>
      </c>
      <c r="I38" s="225">
        <f>VLOOKUP($A38,'OPERATING Total Funding'!$A$9:$V$32,21,0)*$G38</f>
        <v>0</v>
      </c>
    </row>
    <row r="39" spans="1:9" x14ac:dyDescent="0.25">
      <c r="B39" s="320"/>
      <c r="D39" s="325"/>
      <c r="E39" s="325"/>
      <c r="F39" s="322"/>
      <c r="G39" s="323"/>
      <c r="H39" s="319"/>
      <c r="I39" s="319"/>
    </row>
    <row r="40" spans="1:9" ht="15.75" customHeight="1" x14ac:dyDescent="0.25">
      <c r="A40" s="314" t="s">
        <v>43</v>
      </c>
      <c r="B40" s="454" t="s">
        <v>330</v>
      </c>
      <c r="C40" t="s">
        <v>319</v>
      </c>
      <c r="D40" s="325">
        <v>0.38496229483956823</v>
      </c>
      <c r="E40" s="325">
        <v>0.39327000433961035</v>
      </c>
      <c r="F40" s="322">
        <f>E40/D40-1</f>
        <v>2.1580579738346373E-2</v>
      </c>
      <c r="G40" s="323">
        <v>0.2</v>
      </c>
      <c r="H40" s="225">
        <f>VLOOKUP($A40,'OPERATING Total Funding'!$A$9:$V$32,12,0)*$G40</f>
        <v>0</v>
      </c>
      <c r="I40" s="225">
        <f>VLOOKUP($A40,'OPERATING Total Funding'!$A$9:$V$32,21,0)*$G40</f>
        <v>0</v>
      </c>
    </row>
    <row r="41" spans="1:9" ht="15.75" customHeight="1" x14ac:dyDescent="0.25">
      <c r="A41" s="314" t="s">
        <v>43</v>
      </c>
      <c r="B41" s="454" t="s">
        <v>40</v>
      </c>
      <c r="C41" t="s">
        <v>320</v>
      </c>
      <c r="D41" s="324">
        <v>2825</v>
      </c>
      <c r="E41" s="324">
        <f>D41</f>
        <v>2825</v>
      </c>
      <c r="F41" s="322">
        <f t="shared" ref="F41:F47" si="4">E41/D41-1</f>
        <v>0</v>
      </c>
      <c r="G41" s="323">
        <v>0.1</v>
      </c>
      <c r="H41" s="225">
        <f>VLOOKUP($A41,'OPERATING Total Funding'!$A$9:$V$32,12,0)*$G41</f>
        <v>0</v>
      </c>
      <c r="I41" s="225">
        <f>VLOOKUP($A41,'OPERATING Total Funding'!$A$9:$V$32,21,0)*$G41</f>
        <v>0</v>
      </c>
    </row>
    <row r="42" spans="1:9" ht="15.75" customHeight="1" x14ac:dyDescent="0.25">
      <c r="A42" s="314" t="s">
        <v>43</v>
      </c>
      <c r="B42" s="454" t="s">
        <v>40</v>
      </c>
      <c r="C42" t="s">
        <v>321</v>
      </c>
      <c r="D42" s="325">
        <v>0.36842105263157893</v>
      </c>
      <c r="E42" s="325">
        <f>D42</f>
        <v>0.36842105263157893</v>
      </c>
      <c r="F42" s="322">
        <f t="shared" si="4"/>
        <v>0</v>
      </c>
      <c r="G42" s="323">
        <v>0.25</v>
      </c>
      <c r="H42" s="225">
        <f>VLOOKUP($A42,'OPERATING Total Funding'!$A$9:$V$32,12,0)*$G42</f>
        <v>0</v>
      </c>
      <c r="I42" s="225">
        <f>VLOOKUP($A42,'OPERATING Total Funding'!$A$9:$V$32,21,0)*$G42</f>
        <v>0</v>
      </c>
    </row>
    <row r="43" spans="1:9" ht="15.75" customHeight="1" x14ac:dyDescent="0.25">
      <c r="A43" s="314" t="s">
        <v>43</v>
      </c>
      <c r="B43" s="454" t="s">
        <v>40</v>
      </c>
      <c r="C43" t="s">
        <v>322</v>
      </c>
      <c r="D43" s="328">
        <v>5141</v>
      </c>
      <c r="E43" s="328">
        <v>5035.6090859682909</v>
      </c>
      <c r="F43" s="322">
        <f t="shared" si="4"/>
        <v>-2.0500080535247878E-2</v>
      </c>
      <c r="G43" s="323">
        <v>0.1</v>
      </c>
      <c r="H43" s="225">
        <f>VLOOKUP($A43,'OPERATING Total Funding'!$A$9:$V$32,12,0)*$G43</f>
        <v>0</v>
      </c>
      <c r="I43" s="225">
        <f>VLOOKUP($A43,'OPERATING Total Funding'!$A$9:$V$32,21,0)*$G43</f>
        <v>0</v>
      </c>
    </row>
    <row r="44" spans="1:9" ht="15.75" customHeight="1" x14ac:dyDescent="0.25">
      <c r="A44" s="314" t="s">
        <v>43</v>
      </c>
      <c r="B44" s="454" t="s">
        <v>40</v>
      </c>
      <c r="C44" t="s">
        <v>323</v>
      </c>
      <c r="D44" s="328">
        <v>1229</v>
      </c>
      <c r="E44" s="328">
        <v>1201.4146558153695</v>
      </c>
      <c r="F44" s="322">
        <f t="shared" si="4"/>
        <v>-2.2445357351204565E-2</v>
      </c>
      <c r="G44" s="323">
        <v>0.1</v>
      </c>
      <c r="H44" s="225">
        <f>VLOOKUP($A44,'OPERATING Total Funding'!$A$9:$V$32,12,0)*$G44</f>
        <v>0</v>
      </c>
      <c r="I44" s="225">
        <f>VLOOKUP($A44,'OPERATING Total Funding'!$A$9:$V$32,21,0)*$G44</f>
        <v>0</v>
      </c>
    </row>
    <row r="45" spans="1:9" ht="15.75" customHeight="1" x14ac:dyDescent="0.25">
      <c r="A45" s="314" t="s">
        <v>43</v>
      </c>
      <c r="B45" s="454" t="s">
        <v>40</v>
      </c>
      <c r="C45" t="s">
        <v>324</v>
      </c>
      <c r="D45" s="328">
        <v>986</v>
      </c>
      <c r="E45" s="328">
        <v>946.63258906633337</v>
      </c>
      <c r="F45" s="322">
        <f t="shared" si="4"/>
        <v>-3.9926380257268357E-2</v>
      </c>
      <c r="G45" s="323">
        <v>0.05</v>
      </c>
      <c r="H45" s="225">
        <f>VLOOKUP($A45,'OPERATING Total Funding'!$A$9:$V$32,12,0)*$G45</f>
        <v>0</v>
      </c>
      <c r="I45" s="225">
        <f>VLOOKUP($A45,'OPERATING Total Funding'!$A$9:$V$32,21,0)*$G45</f>
        <v>0</v>
      </c>
    </row>
    <row r="46" spans="1:9" ht="15.75" customHeight="1" x14ac:dyDescent="0.25">
      <c r="A46" s="314" t="s">
        <v>43</v>
      </c>
      <c r="B46" s="454" t="s">
        <v>40</v>
      </c>
      <c r="C46" t="s">
        <v>325</v>
      </c>
      <c r="D46" s="328">
        <v>2027</v>
      </c>
      <c r="E46" s="328">
        <v>2016.2403162742803</v>
      </c>
      <c r="F46" s="322">
        <f t="shared" si="4"/>
        <v>-5.3081814137738714E-3</v>
      </c>
      <c r="G46" s="323">
        <v>0.05</v>
      </c>
      <c r="H46" s="225">
        <f>VLOOKUP($A46,'OPERATING Total Funding'!$A$9:$V$32,12,0)*$G46</f>
        <v>0</v>
      </c>
      <c r="I46" s="225">
        <f>VLOOKUP($A46,'OPERATING Total Funding'!$A$9:$V$32,21,0)*$G46</f>
        <v>0</v>
      </c>
    </row>
    <row r="47" spans="1:9" x14ac:dyDescent="0.25">
      <c r="A47" s="314" t="s">
        <v>43</v>
      </c>
      <c r="B47" s="454"/>
      <c r="C47" t="s">
        <v>326</v>
      </c>
      <c r="D47" s="325">
        <v>0.68940000000000001</v>
      </c>
      <c r="E47" s="325">
        <v>0.6957197388061318</v>
      </c>
      <c r="F47" s="322">
        <f t="shared" si="4"/>
        <v>9.1670130637246938E-3</v>
      </c>
      <c r="G47" s="323">
        <v>0.15</v>
      </c>
      <c r="H47" s="225">
        <f>VLOOKUP($A47,'OPERATING Total Funding'!$A$9:$V$32,12,0)*$G47</f>
        <v>0</v>
      </c>
      <c r="I47" s="225">
        <f>VLOOKUP($A47,'OPERATING Total Funding'!$A$9:$V$32,21,0)*$G47</f>
        <v>0</v>
      </c>
    </row>
    <row r="48" spans="1:9" x14ac:dyDescent="0.25">
      <c r="B48" s="320"/>
      <c r="D48" s="325"/>
      <c r="E48" s="325"/>
      <c r="F48" s="322"/>
      <c r="G48" s="323"/>
      <c r="H48" s="319"/>
      <c r="I48" s="319"/>
    </row>
    <row r="49" spans="1:9" ht="15.75" customHeight="1" x14ac:dyDescent="0.25">
      <c r="A49" s="216" t="s">
        <v>41</v>
      </c>
      <c r="B49" s="454" t="s">
        <v>331</v>
      </c>
      <c r="C49" t="s">
        <v>319</v>
      </c>
      <c r="D49" s="321">
        <v>0.35409678965021563</v>
      </c>
      <c r="E49" s="321">
        <f>D49</f>
        <v>0.35409678965021563</v>
      </c>
      <c r="F49" s="322">
        <f>E49/D49-1</f>
        <v>0</v>
      </c>
      <c r="G49" s="323">
        <v>0.1</v>
      </c>
      <c r="H49" s="225">
        <f>VLOOKUP($A49,'OPERATING Total Funding'!$A$9:$V$32,12,0)*$G49</f>
        <v>0</v>
      </c>
      <c r="I49" s="225">
        <f>VLOOKUP($A49,'OPERATING Total Funding'!$A$9:$V$32,21,0)*$G49</f>
        <v>0</v>
      </c>
    </row>
    <row r="50" spans="1:9" ht="15.75" customHeight="1" x14ac:dyDescent="0.25">
      <c r="A50" s="216" t="s">
        <v>41</v>
      </c>
      <c r="B50" s="454" t="s">
        <v>41</v>
      </c>
      <c r="C50" t="s">
        <v>320</v>
      </c>
      <c r="D50" s="324">
        <v>535</v>
      </c>
      <c r="E50" s="324">
        <f>D50</f>
        <v>535</v>
      </c>
      <c r="F50" s="322">
        <f t="shared" ref="F50:F55" si="5">E50/D50-1</f>
        <v>0</v>
      </c>
      <c r="G50" s="323">
        <v>0.2</v>
      </c>
      <c r="H50" s="225">
        <f>VLOOKUP($A50,'OPERATING Total Funding'!$A$9:$V$32,12,0)*$G50</f>
        <v>0</v>
      </c>
      <c r="I50" s="225">
        <f>VLOOKUP($A50,'OPERATING Total Funding'!$A$9:$V$32,21,0)*$G50</f>
        <v>0</v>
      </c>
    </row>
    <row r="51" spans="1:9" ht="15.75" customHeight="1" x14ac:dyDescent="0.25">
      <c r="A51" s="216" t="s">
        <v>41</v>
      </c>
      <c r="B51" s="454" t="s">
        <v>41</v>
      </c>
      <c r="C51" t="s">
        <v>321</v>
      </c>
      <c r="D51" s="321">
        <v>0.32203389830508472</v>
      </c>
      <c r="E51" s="321">
        <v>0.32683273130463231</v>
      </c>
      <c r="F51" s="322">
        <f t="shared" si="5"/>
        <v>1.4901639314384596E-2</v>
      </c>
      <c r="G51" s="323">
        <v>0.25</v>
      </c>
      <c r="H51" s="225">
        <f>VLOOKUP($A51,'OPERATING Total Funding'!$A$9:$V$32,12,0)*$G51</f>
        <v>0</v>
      </c>
      <c r="I51" s="225">
        <f>VLOOKUP($A51,'OPERATING Total Funding'!$A$9:$V$32,21,0)*$G51</f>
        <v>0</v>
      </c>
    </row>
    <row r="52" spans="1:9" ht="15.75" customHeight="1" x14ac:dyDescent="0.25">
      <c r="A52" s="216" t="s">
        <v>41</v>
      </c>
      <c r="B52" s="454" t="s">
        <v>41</v>
      </c>
      <c r="C52" t="s">
        <v>322</v>
      </c>
      <c r="D52" s="324">
        <v>588</v>
      </c>
      <c r="E52" s="324">
        <v>572.03568849320288</v>
      </c>
      <c r="F52" s="322">
        <f t="shared" si="5"/>
        <v>-2.7150189637410116E-2</v>
      </c>
      <c r="G52" s="323">
        <v>0.05</v>
      </c>
      <c r="H52" s="225">
        <f>VLOOKUP($A52,'OPERATING Total Funding'!$A$9:$V$32,12,0)*$G52</f>
        <v>0</v>
      </c>
      <c r="I52" s="225">
        <f>VLOOKUP($A52,'OPERATING Total Funding'!$A$9:$V$32,21,0)*$G52</f>
        <v>0</v>
      </c>
    </row>
    <row r="53" spans="1:9" ht="15.75" customHeight="1" x14ac:dyDescent="0.25">
      <c r="A53" s="216" t="s">
        <v>41</v>
      </c>
      <c r="B53" s="454" t="s">
        <v>41</v>
      </c>
      <c r="C53" t="s">
        <v>323</v>
      </c>
      <c r="D53" s="324">
        <v>170</v>
      </c>
      <c r="E53" s="324">
        <v>160.04919183048432</v>
      </c>
      <c r="F53" s="322">
        <f t="shared" si="5"/>
        <v>-5.8534165703033381E-2</v>
      </c>
      <c r="G53" s="323">
        <v>0.15</v>
      </c>
      <c r="H53" s="225">
        <f>VLOOKUP($A53,'OPERATING Total Funding'!$A$9:$V$32,12,0)*$G53</f>
        <v>0</v>
      </c>
      <c r="I53" s="225">
        <f>VLOOKUP($A53,'OPERATING Total Funding'!$A$9:$V$32,21,0)*$G53</f>
        <v>0</v>
      </c>
    </row>
    <row r="54" spans="1:9" ht="15.75" customHeight="1" x14ac:dyDescent="0.25">
      <c r="A54" s="216" t="s">
        <v>41</v>
      </c>
      <c r="B54" s="454" t="s">
        <v>41</v>
      </c>
      <c r="C54" t="s">
        <v>324</v>
      </c>
      <c r="D54" s="324">
        <v>125</v>
      </c>
      <c r="E54" s="324">
        <v>110.25779638241117</v>
      </c>
      <c r="F54" s="322">
        <f t="shared" si="5"/>
        <v>-0.11793762894071058</v>
      </c>
      <c r="G54" s="323">
        <v>0.05</v>
      </c>
      <c r="H54" s="225">
        <f>VLOOKUP($A54,'OPERATING Total Funding'!$A$9:$V$32,12,0)*$G54</f>
        <v>0</v>
      </c>
      <c r="I54" s="225">
        <f>VLOOKUP($A54,'OPERATING Total Funding'!$A$9:$V$32,21,0)*$G54</f>
        <v>0</v>
      </c>
    </row>
    <row r="55" spans="1:9" ht="15.75" customHeight="1" x14ac:dyDescent="0.25">
      <c r="A55" s="216" t="s">
        <v>41</v>
      </c>
      <c r="B55" s="454" t="s">
        <v>41</v>
      </c>
      <c r="C55" t="s">
        <v>325</v>
      </c>
      <c r="D55" s="324">
        <v>277</v>
      </c>
      <c r="E55" s="324">
        <v>265.31529288877897</v>
      </c>
      <c r="F55" s="322">
        <f t="shared" si="5"/>
        <v>-4.2183058163252851E-2</v>
      </c>
      <c r="G55" s="323">
        <v>0.05</v>
      </c>
      <c r="H55" s="225">
        <f>VLOOKUP($A55,'OPERATING Total Funding'!$A$9:$V$32,12,0)*$G55</f>
        <v>0</v>
      </c>
      <c r="I55" s="225">
        <f>VLOOKUP($A55,'OPERATING Total Funding'!$A$9:$V$32,21,0)*$G55</f>
        <v>0</v>
      </c>
    </row>
    <row r="56" spans="1:9" x14ac:dyDescent="0.25">
      <c r="A56" s="216" t="s">
        <v>41</v>
      </c>
      <c r="B56" s="454"/>
      <c r="C56" t="s">
        <v>326</v>
      </c>
      <c r="D56" s="325">
        <v>0.77800000000000002</v>
      </c>
      <c r="E56" s="325">
        <f>D56</f>
        <v>0.77800000000000002</v>
      </c>
      <c r="F56" s="322">
        <f>(E56/D56)-1</f>
        <v>0</v>
      </c>
      <c r="G56" s="323">
        <v>0.15</v>
      </c>
      <c r="H56" s="225">
        <f>VLOOKUP($A56,'OPERATING Total Funding'!$A$9:$V$32,12,0)*$G56</f>
        <v>0</v>
      </c>
      <c r="I56" s="225">
        <f>VLOOKUP($A56,'OPERATING Total Funding'!$A$9:$V$32,21,0)*$G56</f>
        <v>0</v>
      </c>
    </row>
    <row r="57" spans="1:9" x14ac:dyDescent="0.25">
      <c r="B57" s="320"/>
      <c r="D57" s="325"/>
      <c r="E57" s="325"/>
      <c r="F57" s="322"/>
      <c r="G57" s="323"/>
      <c r="H57" s="319"/>
      <c r="I57" s="319"/>
    </row>
    <row r="58" spans="1:9" ht="15.75" customHeight="1" x14ac:dyDescent="0.25">
      <c r="A58" s="216" t="s">
        <v>42</v>
      </c>
      <c r="B58" s="454" t="s">
        <v>332</v>
      </c>
      <c r="C58" t="s">
        <v>319</v>
      </c>
      <c r="D58" s="325">
        <v>0.43125839677563815</v>
      </c>
      <c r="E58" s="325">
        <v>0.4394416814686361</v>
      </c>
      <c r="F58" s="322">
        <f>E58/D58-1</f>
        <v>1.8975363156245484E-2</v>
      </c>
      <c r="G58" s="323">
        <v>0.1</v>
      </c>
      <c r="H58" s="225">
        <f>VLOOKUP($A58,'OPERATING Total Funding'!$A$9:$V$32,12,0)*$G58</f>
        <v>0</v>
      </c>
      <c r="I58" s="225">
        <f>VLOOKUP($A58,'OPERATING Total Funding'!$A$9:$V$32,21,0)*$G58</f>
        <v>0</v>
      </c>
    </row>
    <row r="59" spans="1:9" ht="15.75" customHeight="1" x14ac:dyDescent="0.25">
      <c r="A59" s="216" t="s">
        <v>42</v>
      </c>
      <c r="B59" s="454"/>
      <c r="C59" t="s">
        <v>320</v>
      </c>
      <c r="D59" s="324">
        <v>743</v>
      </c>
      <c r="E59" s="324">
        <f>D59</f>
        <v>743</v>
      </c>
      <c r="F59" s="322">
        <f t="shared" ref="F59:F64" si="6">E59/D59-1</f>
        <v>0</v>
      </c>
      <c r="G59" s="323">
        <v>0.2</v>
      </c>
      <c r="H59" s="225">
        <f>VLOOKUP($A59,'OPERATING Total Funding'!$A$9:$V$32,12,0)*$G59</f>
        <v>0</v>
      </c>
      <c r="I59" s="225">
        <f>VLOOKUP($A59,'OPERATING Total Funding'!$A$9:$V$32,21,0)*$G59</f>
        <v>0</v>
      </c>
    </row>
    <row r="60" spans="1:9" ht="15.75" customHeight="1" x14ac:dyDescent="0.25">
      <c r="A60" s="216" t="s">
        <v>42</v>
      </c>
      <c r="B60" s="454"/>
      <c r="C60" t="s">
        <v>321</v>
      </c>
      <c r="D60" s="325">
        <v>0.20491803278688525</v>
      </c>
      <c r="E60" s="325">
        <f>D60</f>
        <v>0.20491803278688525</v>
      </c>
      <c r="F60" s="322">
        <f t="shared" si="6"/>
        <v>0</v>
      </c>
      <c r="G60" s="323">
        <v>0.25</v>
      </c>
      <c r="H60" s="225">
        <f>VLOOKUP($A60,'OPERATING Total Funding'!$A$9:$V$32,12,0)*$G60</f>
        <v>0</v>
      </c>
      <c r="I60" s="225">
        <f>VLOOKUP($A60,'OPERATING Total Funding'!$A$9:$V$32,21,0)*$G60</f>
        <v>0</v>
      </c>
    </row>
    <row r="61" spans="1:9" ht="15.75" customHeight="1" x14ac:dyDescent="0.25">
      <c r="A61" s="216" t="s">
        <v>42</v>
      </c>
      <c r="B61" s="454"/>
      <c r="C61" t="s">
        <v>322</v>
      </c>
      <c r="D61" s="324">
        <v>612</v>
      </c>
      <c r="E61" s="324">
        <v>603.25634208182532</v>
      </c>
      <c r="F61" s="322">
        <f t="shared" si="6"/>
        <v>-1.4287022742115463E-2</v>
      </c>
      <c r="G61" s="323">
        <v>0.05</v>
      </c>
      <c r="H61" s="225">
        <f>VLOOKUP($A61,'OPERATING Total Funding'!$A$9:$V$32,12,0)*$G61</f>
        <v>0</v>
      </c>
      <c r="I61" s="225">
        <f>VLOOKUP($A61,'OPERATING Total Funding'!$A$9:$V$32,21,0)*$G61</f>
        <v>0</v>
      </c>
    </row>
    <row r="62" spans="1:9" ht="15.75" customHeight="1" x14ac:dyDescent="0.25">
      <c r="A62" s="216" t="s">
        <v>42</v>
      </c>
      <c r="B62" s="454"/>
      <c r="C62" t="s">
        <v>323</v>
      </c>
      <c r="D62" s="324">
        <v>195</v>
      </c>
      <c r="E62" s="324">
        <v>191.0417007230576</v>
      </c>
      <c r="F62" s="322">
        <f t="shared" si="6"/>
        <v>-2.0298970650986625E-2</v>
      </c>
      <c r="G62" s="323">
        <v>0.15</v>
      </c>
      <c r="H62" s="225">
        <f>VLOOKUP($A62,'OPERATING Total Funding'!$A$9:$V$32,12,0)*$G62</f>
        <v>0</v>
      </c>
      <c r="I62" s="225">
        <f>VLOOKUP($A62,'OPERATING Total Funding'!$A$9:$V$32,21,0)*$G62</f>
        <v>0</v>
      </c>
    </row>
    <row r="63" spans="1:9" ht="15.75" customHeight="1" x14ac:dyDescent="0.25">
      <c r="A63" s="216" t="s">
        <v>42</v>
      </c>
      <c r="B63" s="454"/>
      <c r="C63" t="s">
        <v>324</v>
      </c>
      <c r="D63" s="324">
        <v>182</v>
      </c>
      <c r="E63" s="324">
        <v>169.93607039937558</v>
      </c>
      <c r="F63" s="322">
        <f t="shared" si="6"/>
        <v>-6.6285327475958389E-2</v>
      </c>
      <c r="G63" s="323">
        <v>0.05</v>
      </c>
      <c r="H63" s="225">
        <f>VLOOKUP($A63,'OPERATING Total Funding'!$A$9:$V$32,12,0)*$G63</f>
        <v>0</v>
      </c>
      <c r="I63" s="225">
        <f>VLOOKUP($A63,'OPERATING Total Funding'!$A$9:$V$32,21,0)*$G63</f>
        <v>0</v>
      </c>
    </row>
    <row r="64" spans="1:9" ht="15.75" customHeight="1" x14ac:dyDescent="0.25">
      <c r="A64" s="216" t="s">
        <v>42</v>
      </c>
      <c r="B64" s="454"/>
      <c r="C64" t="s">
        <v>325</v>
      </c>
      <c r="D64" s="324">
        <v>120</v>
      </c>
      <c r="E64" s="324">
        <v>120</v>
      </c>
      <c r="F64" s="322">
        <f t="shared" si="6"/>
        <v>0</v>
      </c>
      <c r="G64" s="323">
        <v>0.05</v>
      </c>
      <c r="H64" s="225">
        <f>VLOOKUP($A64,'OPERATING Total Funding'!$A$9:$V$32,12,0)*$G64</f>
        <v>0</v>
      </c>
      <c r="I64" s="225">
        <f>VLOOKUP($A64,'OPERATING Total Funding'!$A$9:$V$32,21,0)*$G64</f>
        <v>0</v>
      </c>
    </row>
    <row r="65" spans="1:9" x14ac:dyDescent="0.25">
      <c r="A65" s="216" t="s">
        <v>42</v>
      </c>
      <c r="B65" s="454"/>
      <c r="C65" t="s">
        <v>326</v>
      </c>
      <c r="D65" s="325">
        <v>0.68989999999999996</v>
      </c>
      <c r="E65" s="325">
        <v>0.70315757786903588</v>
      </c>
      <c r="F65" s="322">
        <f>(E65/D65)-1</f>
        <v>1.9216665993674331E-2</v>
      </c>
      <c r="G65" s="323">
        <v>0.15</v>
      </c>
      <c r="H65" s="225">
        <f>VLOOKUP($A65,'OPERATING Total Funding'!$A$9:$V$32,12,0)*$G65</f>
        <v>0</v>
      </c>
      <c r="I65" s="225">
        <f>VLOOKUP($A65,'OPERATING Total Funding'!$A$9:$V$32,21,0)*$G65</f>
        <v>0</v>
      </c>
    </row>
    <row r="66" spans="1:9" x14ac:dyDescent="0.25">
      <c r="B66" s="320"/>
      <c r="D66" s="324"/>
      <c r="E66" s="324"/>
      <c r="F66" s="322"/>
      <c r="G66" s="323"/>
      <c r="H66" s="319"/>
      <c r="I66" s="319"/>
    </row>
    <row r="67" spans="1:9" ht="15.75" customHeight="1" x14ac:dyDescent="0.25">
      <c r="A67" s="216" t="s">
        <v>44</v>
      </c>
      <c r="B67" s="454" t="s">
        <v>333</v>
      </c>
      <c r="C67" t="s">
        <v>319</v>
      </c>
      <c r="D67" s="325">
        <v>0.42300066093853272</v>
      </c>
      <c r="E67" s="325">
        <v>0.42855940475123061</v>
      </c>
      <c r="F67" s="322">
        <f>E67/D67-1</f>
        <v>1.3141217794706117E-2</v>
      </c>
      <c r="G67" s="323">
        <v>0.1</v>
      </c>
      <c r="H67" s="225">
        <f>VLOOKUP($A67,'OPERATING Total Funding'!$A$9:$V$32,12,0)*$G67</f>
        <v>0</v>
      </c>
      <c r="I67" s="225">
        <f>VLOOKUP($A67,'OPERATING Total Funding'!$A$9:$V$32,21,0)*$G67</f>
        <v>0</v>
      </c>
    </row>
    <row r="68" spans="1:9" ht="15.75" customHeight="1" x14ac:dyDescent="0.25">
      <c r="A68" s="216" t="s">
        <v>44</v>
      </c>
      <c r="B68" s="454" t="s">
        <v>44</v>
      </c>
      <c r="C68" t="s">
        <v>320</v>
      </c>
      <c r="D68" s="324">
        <v>803</v>
      </c>
      <c r="E68" s="324">
        <f>D68</f>
        <v>803</v>
      </c>
      <c r="F68" s="322">
        <f t="shared" ref="F68:F73" si="7">E68/D68-1</f>
        <v>0</v>
      </c>
      <c r="G68" s="323">
        <v>0.2</v>
      </c>
      <c r="H68" s="225">
        <f>VLOOKUP($A68,'OPERATING Total Funding'!$A$9:$V$32,12,0)*$G68</f>
        <v>0</v>
      </c>
      <c r="I68" s="225">
        <f>VLOOKUP($A68,'OPERATING Total Funding'!$A$9:$V$32,21,0)*$G68</f>
        <v>0</v>
      </c>
    </row>
    <row r="69" spans="1:9" ht="15.75" customHeight="1" x14ac:dyDescent="0.25">
      <c r="A69" s="216" t="s">
        <v>44</v>
      </c>
      <c r="B69" s="454" t="s">
        <v>44</v>
      </c>
      <c r="C69" t="s">
        <v>321</v>
      </c>
      <c r="D69" s="325">
        <v>0.19277108433734941</v>
      </c>
      <c r="E69" s="325">
        <f>D69</f>
        <v>0.19277108433734941</v>
      </c>
      <c r="F69" s="322">
        <f t="shared" si="7"/>
        <v>0</v>
      </c>
      <c r="G69" s="323">
        <v>0.25</v>
      </c>
      <c r="H69" s="225">
        <f>VLOOKUP($A69,'OPERATING Total Funding'!$A$9:$V$32,12,0)*$G69</f>
        <v>0</v>
      </c>
      <c r="I69" s="225">
        <f>VLOOKUP($A69,'OPERATING Total Funding'!$A$9:$V$32,21,0)*$G69</f>
        <v>0</v>
      </c>
    </row>
    <row r="70" spans="1:9" ht="15.75" customHeight="1" x14ac:dyDescent="0.25">
      <c r="A70" s="216" t="s">
        <v>44</v>
      </c>
      <c r="B70" s="454" t="s">
        <v>44</v>
      </c>
      <c r="C70" t="s">
        <v>322</v>
      </c>
      <c r="D70" s="324">
        <v>744</v>
      </c>
      <c r="E70" s="324">
        <v>699.94999956459924</v>
      </c>
      <c r="F70" s="322">
        <f t="shared" si="7"/>
        <v>-5.9206989832527923E-2</v>
      </c>
      <c r="G70" s="323">
        <v>0.05</v>
      </c>
      <c r="H70" s="225">
        <f>VLOOKUP($A70,'OPERATING Total Funding'!$A$9:$V$32,12,0)*$G70</f>
        <v>0</v>
      </c>
      <c r="I70" s="225">
        <f>VLOOKUP($A70,'OPERATING Total Funding'!$A$9:$V$32,21,0)*$G70</f>
        <v>0</v>
      </c>
    </row>
    <row r="71" spans="1:9" ht="15.75" customHeight="1" x14ac:dyDescent="0.25">
      <c r="A71" s="216" t="s">
        <v>44</v>
      </c>
      <c r="B71" s="454" t="s">
        <v>44</v>
      </c>
      <c r="C71" t="s">
        <v>323</v>
      </c>
      <c r="D71" s="324">
        <v>218</v>
      </c>
      <c r="E71" s="324">
        <v>201.14300728884371</v>
      </c>
      <c r="F71" s="322">
        <f t="shared" si="7"/>
        <v>-7.7325654638331631E-2</v>
      </c>
      <c r="G71" s="323">
        <v>0.15</v>
      </c>
      <c r="H71" s="225">
        <f>VLOOKUP($A71,'OPERATING Total Funding'!$A$9:$V$32,12,0)*$G71</f>
        <v>0</v>
      </c>
      <c r="I71" s="225">
        <f>VLOOKUP($A71,'OPERATING Total Funding'!$A$9:$V$32,21,0)*$G71</f>
        <v>0</v>
      </c>
    </row>
    <row r="72" spans="1:9" ht="15.75" customHeight="1" x14ac:dyDescent="0.25">
      <c r="A72" s="216" t="s">
        <v>44</v>
      </c>
      <c r="B72" s="454" t="s">
        <v>44</v>
      </c>
      <c r="C72" t="s">
        <v>324</v>
      </c>
      <c r="D72" s="324">
        <v>213</v>
      </c>
      <c r="E72" s="324">
        <v>201.00119258279628</v>
      </c>
      <c r="F72" s="322">
        <f t="shared" si="7"/>
        <v>-5.6332429188749922E-2</v>
      </c>
      <c r="G72" s="323">
        <v>0.05</v>
      </c>
      <c r="H72" s="225">
        <f>VLOOKUP($A72,'OPERATING Total Funding'!$A$9:$V$32,12,0)*$G72</f>
        <v>0</v>
      </c>
      <c r="I72" s="225">
        <f>VLOOKUP($A72,'OPERATING Total Funding'!$A$9:$V$32,21,0)*$G72</f>
        <v>0</v>
      </c>
    </row>
    <row r="73" spans="1:9" ht="15.75" customHeight="1" x14ac:dyDescent="0.25">
      <c r="A73" s="216" t="s">
        <v>44</v>
      </c>
      <c r="B73" s="454" t="s">
        <v>44</v>
      </c>
      <c r="C73" t="s">
        <v>325</v>
      </c>
      <c r="D73" s="324">
        <v>287</v>
      </c>
      <c r="E73" s="324">
        <v>290.06421107675175</v>
      </c>
      <c r="F73" s="322">
        <f t="shared" si="7"/>
        <v>1.0676693647218682E-2</v>
      </c>
      <c r="G73" s="323">
        <v>0.05</v>
      </c>
      <c r="H73" s="225">
        <f>VLOOKUP($A73,'OPERATING Total Funding'!$A$9:$V$32,12,0)*$G73</f>
        <v>0</v>
      </c>
      <c r="I73" s="225">
        <f>VLOOKUP($A73,'OPERATING Total Funding'!$A$9:$V$32,21,0)*$G73</f>
        <v>0</v>
      </c>
    </row>
    <row r="74" spans="1:9" x14ac:dyDescent="0.25">
      <c r="A74" s="216" t="s">
        <v>44</v>
      </c>
      <c r="B74" s="454"/>
      <c r="C74" t="s">
        <v>326</v>
      </c>
      <c r="D74" s="325">
        <v>0.75829999999999997</v>
      </c>
      <c r="E74" s="325">
        <v>0.76279362952775398</v>
      </c>
      <c r="F74" s="322">
        <f>(E74/D74)-1</f>
        <v>5.925925791578468E-3</v>
      </c>
      <c r="G74" s="323">
        <v>0.15</v>
      </c>
      <c r="H74" s="225">
        <f>VLOOKUP($A74,'OPERATING Total Funding'!$A$9:$V$32,12,0)*$G74</f>
        <v>0</v>
      </c>
      <c r="I74" s="225">
        <f>VLOOKUP($A74,'OPERATING Total Funding'!$A$9:$V$32,21,0)*$G74</f>
        <v>0</v>
      </c>
    </row>
    <row r="75" spans="1:9" x14ac:dyDescent="0.25">
      <c r="B75" s="320"/>
      <c r="D75" s="324"/>
      <c r="E75" s="324"/>
      <c r="F75" s="322"/>
      <c r="G75" s="323"/>
      <c r="H75" s="319"/>
      <c r="I75" s="319"/>
    </row>
    <row r="76" spans="1:9" ht="15.75" customHeight="1" x14ac:dyDescent="0.25">
      <c r="A76" s="216" t="s">
        <v>45</v>
      </c>
      <c r="B76" s="454" t="s">
        <v>334</v>
      </c>
      <c r="C76" t="s">
        <v>319</v>
      </c>
      <c r="D76" s="325">
        <v>0.34264079507808803</v>
      </c>
      <c r="E76" s="325">
        <v>0.34998737916366046</v>
      </c>
      <c r="F76" s="322">
        <f>E76/D76-1</f>
        <v>2.144106653703659E-2</v>
      </c>
      <c r="G76" s="323">
        <v>0.1</v>
      </c>
      <c r="H76" s="225">
        <f>VLOOKUP($A76,'OPERATING Total Funding'!$A$9:$V$32,12,0)*$G76</f>
        <v>0</v>
      </c>
      <c r="I76" s="225">
        <f>VLOOKUP($A76,'OPERATING Total Funding'!$A$9:$V$32,21,0)*$G76</f>
        <v>0</v>
      </c>
    </row>
    <row r="77" spans="1:9" ht="15.75" customHeight="1" x14ac:dyDescent="0.25">
      <c r="A77" s="216" t="s">
        <v>45</v>
      </c>
      <c r="B77" s="454" t="s">
        <v>45</v>
      </c>
      <c r="C77" t="s">
        <v>320</v>
      </c>
      <c r="D77" s="324">
        <v>513</v>
      </c>
      <c r="E77" s="324">
        <f>D77</f>
        <v>513</v>
      </c>
      <c r="F77" s="322">
        <f t="shared" ref="F77:F82" si="8">E77/D77-1</f>
        <v>0</v>
      </c>
      <c r="G77" s="323">
        <v>0.2</v>
      </c>
      <c r="H77" s="225">
        <f>VLOOKUP($A77,'OPERATING Total Funding'!$A$9:$V$32,12,0)*$G77</f>
        <v>0</v>
      </c>
      <c r="I77" s="225">
        <f>VLOOKUP($A77,'OPERATING Total Funding'!$A$9:$V$32,21,0)*$G77</f>
        <v>0</v>
      </c>
    </row>
    <row r="78" spans="1:9" ht="15.75" customHeight="1" x14ac:dyDescent="0.25">
      <c r="A78" s="216" t="s">
        <v>45</v>
      </c>
      <c r="B78" s="454" t="s">
        <v>45</v>
      </c>
      <c r="C78" t="s">
        <v>321</v>
      </c>
      <c r="D78" s="325">
        <v>0.27938931297709924</v>
      </c>
      <c r="E78" s="325">
        <f>D78</f>
        <v>0.27938931297709924</v>
      </c>
      <c r="F78" s="322">
        <f t="shared" si="8"/>
        <v>0</v>
      </c>
      <c r="G78" s="323">
        <v>0.25</v>
      </c>
      <c r="H78" s="225">
        <f>VLOOKUP($A78,'OPERATING Total Funding'!$A$9:$V$32,12,0)*$G78</f>
        <v>0</v>
      </c>
      <c r="I78" s="225">
        <f>VLOOKUP($A78,'OPERATING Total Funding'!$A$9:$V$32,21,0)*$G78</f>
        <v>0</v>
      </c>
    </row>
    <row r="79" spans="1:9" ht="15.75" customHeight="1" x14ac:dyDescent="0.25">
      <c r="A79" s="216" t="s">
        <v>45</v>
      </c>
      <c r="B79" s="454" t="s">
        <v>45</v>
      </c>
      <c r="C79" t="s">
        <v>322</v>
      </c>
      <c r="D79" s="324">
        <v>634</v>
      </c>
      <c r="E79" s="324">
        <v>638.5649046753623</v>
      </c>
      <c r="F79" s="322">
        <f t="shared" si="8"/>
        <v>7.2001651030950686E-3</v>
      </c>
      <c r="G79" s="323">
        <v>0.05</v>
      </c>
      <c r="H79" s="225">
        <f>VLOOKUP($A79,'OPERATING Total Funding'!$A$9:$V$32,12,0)*$G79</f>
        <v>0</v>
      </c>
      <c r="I79" s="225">
        <f>VLOOKUP($A79,'OPERATING Total Funding'!$A$9:$V$32,21,0)*$G79</f>
        <v>0</v>
      </c>
    </row>
    <row r="80" spans="1:9" ht="15.75" customHeight="1" x14ac:dyDescent="0.25">
      <c r="A80" s="216" t="s">
        <v>45</v>
      </c>
      <c r="B80" s="454" t="s">
        <v>45</v>
      </c>
      <c r="C80" t="s">
        <v>323</v>
      </c>
      <c r="D80" s="324">
        <v>184</v>
      </c>
      <c r="E80" s="324">
        <v>189.14953535965179</v>
      </c>
      <c r="F80" s="322">
        <f t="shared" si="8"/>
        <v>2.7986605215498894E-2</v>
      </c>
      <c r="G80" s="323">
        <v>0.15</v>
      </c>
      <c r="H80" s="225">
        <f>VLOOKUP($A80,'OPERATING Total Funding'!$A$9:$V$32,12,0)*$G80</f>
        <v>0</v>
      </c>
      <c r="I80" s="225">
        <f>VLOOKUP($A80,'OPERATING Total Funding'!$A$9:$V$32,21,0)*$G80</f>
        <v>0</v>
      </c>
    </row>
    <row r="81" spans="1:9" ht="15.75" customHeight="1" x14ac:dyDescent="0.25">
      <c r="A81" s="216" t="s">
        <v>45</v>
      </c>
      <c r="B81" s="454" t="s">
        <v>45</v>
      </c>
      <c r="C81" t="s">
        <v>324</v>
      </c>
      <c r="D81" s="324">
        <v>156</v>
      </c>
      <c r="E81" s="324">
        <v>154.89097023121377</v>
      </c>
      <c r="F81" s="322">
        <f t="shared" si="8"/>
        <v>-7.1091651845270887E-3</v>
      </c>
      <c r="G81" s="323">
        <v>0.05</v>
      </c>
      <c r="H81" s="225">
        <f>VLOOKUP($A81,'OPERATING Total Funding'!$A$9:$V$32,12,0)*$G81</f>
        <v>0</v>
      </c>
      <c r="I81" s="225">
        <f>VLOOKUP($A81,'OPERATING Total Funding'!$A$9:$V$32,21,0)*$G81</f>
        <v>0</v>
      </c>
    </row>
    <row r="82" spans="1:9" ht="15.75" customHeight="1" x14ac:dyDescent="0.25">
      <c r="A82" s="216" t="s">
        <v>45</v>
      </c>
      <c r="B82" s="454" t="s">
        <v>45</v>
      </c>
      <c r="C82" t="s">
        <v>325</v>
      </c>
      <c r="D82" s="324">
        <v>265</v>
      </c>
      <c r="E82" s="324">
        <v>330.42057699524378</v>
      </c>
      <c r="F82" s="322">
        <f t="shared" si="8"/>
        <v>0.24687010186884439</v>
      </c>
      <c r="G82" s="323">
        <v>0.05</v>
      </c>
      <c r="H82" s="225">
        <f>VLOOKUP($A82,'OPERATING Total Funding'!$A$9:$V$32,12,0)*$G82</f>
        <v>0</v>
      </c>
      <c r="I82" s="225">
        <f>VLOOKUP($A82,'OPERATING Total Funding'!$A$9:$V$32,21,0)*$G82</f>
        <v>0</v>
      </c>
    </row>
    <row r="83" spans="1:9" x14ac:dyDescent="0.25">
      <c r="A83" s="216" t="s">
        <v>45</v>
      </c>
      <c r="B83" s="454"/>
      <c r="C83" t="s">
        <v>326</v>
      </c>
      <c r="D83" s="325">
        <v>0.45889999999999997</v>
      </c>
      <c r="E83" s="325">
        <v>0.47079148658731801</v>
      </c>
      <c r="F83" s="322">
        <f>(E83/D83)-1</f>
        <v>2.5913023724815964E-2</v>
      </c>
      <c r="G83" s="323">
        <v>0.15</v>
      </c>
      <c r="H83" s="225">
        <f>VLOOKUP($A83,'OPERATING Total Funding'!$A$9:$V$32,12,0)*$G83</f>
        <v>0</v>
      </c>
      <c r="I83" s="225">
        <f>VLOOKUP($A83,'OPERATING Total Funding'!$A$9:$V$32,21,0)*$G83</f>
        <v>0</v>
      </c>
    </row>
    <row r="84" spans="1:9" x14ac:dyDescent="0.25">
      <c r="F84" s="326"/>
      <c r="G84" s="228"/>
      <c r="H84" s="319"/>
      <c r="I84" s="319"/>
    </row>
    <row r="85" spans="1:9" ht="15.75" customHeight="1" x14ac:dyDescent="0.25">
      <c r="A85" s="216" t="s">
        <v>53</v>
      </c>
      <c r="B85" s="454" t="s">
        <v>335</v>
      </c>
      <c r="C85" t="s">
        <v>319</v>
      </c>
      <c r="D85" s="325">
        <v>0.35809875403784031</v>
      </c>
      <c r="E85" s="325">
        <v>0.36081221185717571</v>
      </c>
      <c r="F85" s="322">
        <f>E85/D85-1</f>
        <v>7.5774008949740512E-3</v>
      </c>
      <c r="G85" s="323">
        <v>0.1</v>
      </c>
      <c r="H85" s="225">
        <f>VLOOKUP($A85,'OPERATING Total Funding'!$A$9:$V$32,12,0)*$G85</f>
        <v>0</v>
      </c>
      <c r="I85" s="225">
        <f>VLOOKUP($A85,'OPERATING Total Funding'!$A$9:$V$32,21,0)*$G85</f>
        <v>0</v>
      </c>
    </row>
    <row r="86" spans="1:9" ht="15.75" customHeight="1" x14ac:dyDescent="0.25">
      <c r="A86" s="216" t="s">
        <v>53</v>
      </c>
      <c r="B86" s="454" t="s">
        <v>336</v>
      </c>
      <c r="C86" t="s">
        <v>320</v>
      </c>
      <c r="D86" s="324">
        <v>877</v>
      </c>
      <c r="E86" s="324">
        <f>D86</f>
        <v>877</v>
      </c>
      <c r="F86" s="322">
        <f t="shared" ref="F86:F92" si="9">E86/D86-1</f>
        <v>0</v>
      </c>
      <c r="G86" s="323">
        <v>0.2</v>
      </c>
      <c r="H86" s="225">
        <f>VLOOKUP($A86,'OPERATING Total Funding'!$A$9:$V$32,12,0)*$G86</f>
        <v>0</v>
      </c>
      <c r="I86" s="225">
        <f>VLOOKUP($A86,'OPERATING Total Funding'!$A$9:$V$32,21,0)*$G86</f>
        <v>0</v>
      </c>
    </row>
    <row r="87" spans="1:9" ht="15.75" customHeight="1" x14ac:dyDescent="0.25">
      <c r="A87" s="216" t="s">
        <v>53</v>
      </c>
      <c r="B87" s="454" t="s">
        <v>336</v>
      </c>
      <c r="C87" t="s">
        <v>321</v>
      </c>
      <c r="D87" s="325">
        <v>0.26235465116279072</v>
      </c>
      <c r="E87" s="325">
        <v>0.28847795784787511</v>
      </c>
      <c r="F87" s="322">
        <f t="shared" si="9"/>
        <v>9.9572493071125034E-2</v>
      </c>
      <c r="G87" s="323">
        <v>0.25</v>
      </c>
      <c r="H87" s="225">
        <f>VLOOKUP($A87,'OPERATING Total Funding'!$A$9:$V$32,12,0)*$G87</f>
        <v>0</v>
      </c>
      <c r="I87" s="225">
        <f>VLOOKUP($A87,'OPERATING Total Funding'!$A$9:$V$32,21,0)*$G87</f>
        <v>0</v>
      </c>
    </row>
    <row r="88" spans="1:9" ht="15.75" customHeight="1" x14ac:dyDescent="0.25">
      <c r="A88" s="216" t="s">
        <v>53</v>
      </c>
      <c r="B88" s="454" t="s">
        <v>336</v>
      </c>
      <c r="C88" t="s">
        <v>322</v>
      </c>
      <c r="D88" s="324">
        <v>1108</v>
      </c>
      <c r="E88" s="324">
        <v>1093.0389523800727</v>
      </c>
      <c r="F88" s="322">
        <f t="shared" si="9"/>
        <v>-1.350275055950112E-2</v>
      </c>
      <c r="G88" s="323">
        <v>0.05</v>
      </c>
      <c r="H88" s="225">
        <f>VLOOKUP($A88,'OPERATING Total Funding'!$A$9:$V$32,12,0)*$G88</f>
        <v>0</v>
      </c>
      <c r="I88" s="225">
        <f>VLOOKUP($A88,'OPERATING Total Funding'!$A$9:$V$32,21,0)*$G88</f>
        <v>0</v>
      </c>
    </row>
    <row r="89" spans="1:9" ht="15.75" customHeight="1" x14ac:dyDescent="0.25">
      <c r="A89" s="216" t="s">
        <v>53</v>
      </c>
      <c r="B89" s="454" t="s">
        <v>336</v>
      </c>
      <c r="C89" t="s">
        <v>323</v>
      </c>
      <c r="D89" s="324">
        <v>330</v>
      </c>
      <c r="E89" s="324">
        <v>322.14084454658393</v>
      </c>
      <c r="F89" s="322">
        <f t="shared" si="9"/>
        <v>-2.3815622586109253E-2</v>
      </c>
      <c r="G89" s="323">
        <v>0.15</v>
      </c>
      <c r="H89" s="225">
        <f>VLOOKUP($A89,'OPERATING Total Funding'!$A$9:$V$32,12,0)*$G89</f>
        <v>0</v>
      </c>
      <c r="I89" s="225">
        <f>VLOOKUP($A89,'OPERATING Total Funding'!$A$9:$V$32,21,0)*$G89</f>
        <v>0</v>
      </c>
    </row>
    <row r="90" spans="1:9" ht="15.75" customHeight="1" x14ac:dyDescent="0.25">
      <c r="A90" s="216" t="s">
        <v>53</v>
      </c>
      <c r="B90" s="454" t="s">
        <v>336</v>
      </c>
      <c r="C90" t="s">
        <v>324</v>
      </c>
      <c r="D90" s="324">
        <v>225</v>
      </c>
      <c r="E90" s="324">
        <v>202</v>
      </c>
      <c r="F90" s="322">
        <f t="shared" si="9"/>
        <v>-0.10222222222222221</v>
      </c>
      <c r="G90" s="323">
        <v>0.05</v>
      </c>
      <c r="H90" s="225">
        <f>VLOOKUP($A90,'OPERATING Total Funding'!$A$9:$V$32,12,0)*$G90</f>
        <v>0</v>
      </c>
      <c r="I90" s="225">
        <f>VLOOKUP($A90,'OPERATING Total Funding'!$A$9:$V$32,21,0)*$G90</f>
        <v>0</v>
      </c>
    </row>
    <row r="91" spans="1:9" ht="15.75" customHeight="1" x14ac:dyDescent="0.25">
      <c r="A91" s="216" t="s">
        <v>53</v>
      </c>
      <c r="B91" s="454" t="s">
        <v>336</v>
      </c>
      <c r="C91" t="s">
        <v>325</v>
      </c>
      <c r="D91" s="324">
        <v>283</v>
      </c>
      <c r="E91" s="324">
        <v>297</v>
      </c>
      <c r="F91" s="322">
        <f t="shared" si="9"/>
        <v>4.9469964664310861E-2</v>
      </c>
      <c r="G91" s="323">
        <v>0.05</v>
      </c>
      <c r="H91" s="225">
        <f>VLOOKUP($A91,'OPERATING Total Funding'!$A$9:$V$32,12,0)*$G91</f>
        <v>0</v>
      </c>
      <c r="I91" s="225">
        <f>VLOOKUP($A91,'OPERATING Total Funding'!$A$9:$V$32,21,0)*$G91</f>
        <v>0</v>
      </c>
    </row>
    <row r="92" spans="1:9" x14ac:dyDescent="0.25">
      <c r="A92" s="216" t="s">
        <v>53</v>
      </c>
      <c r="B92" s="454"/>
      <c r="C92" t="s">
        <v>326</v>
      </c>
      <c r="D92" s="325">
        <v>0.73760000000000003</v>
      </c>
      <c r="E92" s="325">
        <v>0.7386550109217731</v>
      </c>
      <c r="F92" s="322">
        <f t="shared" si="9"/>
        <v>1.430329340798675E-3</v>
      </c>
      <c r="G92" s="323">
        <v>0.15</v>
      </c>
      <c r="H92" s="225">
        <f>VLOOKUP($A92,'OPERATING Total Funding'!$A$9:$V$32,12,0)*$G92</f>
        <v>0</v>
      </c>
      <c r="I92" s="225">
        <f>VLOOKUP($A92,'OPERATING Total Funding'!$A$9:$V$32,21,0)*$G92</f>
        <v>0</v>
      </c>
    </row>
    <row r="93" spans="1:9" x14ac:dyDescent="0.25">
      <c r="B93" s="320"/>
      <c r="D93" s="325"/>
      <c r="E93" s="325"/>
      <c r="F93" s="322"/>
      <c r="G93" s="323"/>
      <c r="H93" s="319"/>
      <c r="I93" s="319"/>
    </row>
    <row r="94" spans="1:9" ht="15.75" customHeight="1" x14ac:dyDescent="0.25">
      <c r="A94" s="216" t="s">
        <v>51</v>
      </c>
      <c r="B94" s="454" t="s">
        <v>337</v>
      </c>
      <c r="C94" t="s">
        <v>319</v>
      </c>
      <c r="D94" s="321">
        <v>0.37517697026899482</v>
      </c>
      <c r="E94" s="321">
        <v>0.38175787950511375</v>
      </c>
      <c r="F94" s="322">
        <f>E94/D94-1</f>
        <v>1.7540813423064128E-2</v>
      </c>
      <c r="G94" s="323">
        <v>0.1</v>
      </c>
      <c r="H94" s="225">
        <f>VLOOKUP($A94,'OPERATING Total Funding'!$A$9:$V$32,12,0)*$G94</f>
        <v>0</v>
      </c>
      <c r="I94" s="225">
        <f>VLOOKUP($A94,'OPERATING Total Funding'!$A$9:$V$32,21,0)*$G94</f>
        <v>0</v>
      </c>
    </row>
    <row r="95" spans="1:9" ht="15.75" customHeight="1" x14ac:dyDescent="0.25">
      <c r="A95" s="216" t="s">
        <v>51</v>
      </c>
      <c r="B95" s="454" t="s">
        <v>51</v>
      </c>
      <c r="C95" t="s">
        <v>320</v>
      </c>
      <c r="D95" s="324">
        <v>990</v>
      </c>
      <c r="E95" s="324">
        <f>D95</f>
        <v>990</v>
      </c>
      <c r="F95" s="322">
        <f t="shared" ref="F95:F100" si="10">E95/D95-1</f>
        <v>0</v>
      </c>
      <c r="G95" s="323">
        <v>0.2</v>
      </c>
      <c r="H95" s="225">
        <f>VLOOKUP($A95,'OPERATING Total Funding'!$A$9:$V$32,12,0)*$G95</f>
        <v>0</v>
      </c>
      <c r="I95" s="225">
        <f>VLOOKUP($A95,'OPERATING Total Funding'!$A$9:$V$32,21,0)*$G95</f>
        <v>0</v>
      </c>
    </row>
    <row r="96" spans="1:9" ht="15.75" customHeight="1" x14ac:dyDescent="0.25">
      <c r="A96" s="216" t="s">
        <v>51</v>
      </c>
      <c r="B96" s="454" t="s">
        <v>51</v>
      </c>
      <c r="C96" t="s">
        <v>321</v>
      </c>
      <c r="D96" s="321">
        <v>0.25187265917602997</v>
      </c>
      <c r="E96" s="321">
        <f>D96</f>
        <v>0.25187265917602997</v>
      </c>
      <c r="F96" s="322">
        <f t="shared" si="10"/>
        <v>0</v>
      </c>
      <c r="G96" s="323">
        <v>0.25</v>
      </c>
      <c r="H96" s="225">
        <f>VLOOKUP($A96,'OPERATING Total Funding'!$A$9:$V$32,12,0)*$G96</f>
        <v>0</v>
      </c>
      <c r="I96" s="225">
        <f>VLOOKUP($A96,'OPERATING Total Funding'!$A$9:$V$32,21,0)*$G96</f>
        <v>0</v>
      </c>
    </row>
    <row r="97" spans="1:9" ht="15.75" customHeight="1" x14ac:dyDescent="0.25">
      <c r="A97" s="216" t="s">
        <v>51</v>
      </c>
      <c r="B97" s="454" t="s">
        <v>51</v>
      </c>
      <c r="C97" t="s">
        <v>322</v>
      </c>
      <c r="D97" s="324">
        <v>1038</v>
      </c>
      <c r="E97" s="324">
        <v>957.2920815591757</v>
      </c>
      <c r="F97" s="322">
        <f t="shared" si="10"/>
        <v>-7.7753293295591774E-2</v>
      </c>
      <c r="G97" s="323">
        <v>0.05</v>
      </c>
      <c r="H97" s="225">
        <f>VLOOKUP($A97,'OPERATING Total Funding'!$A$9:$V$32,12,0)*$G97</f>
        <v>0</v>
      </c>
      <c r="I97" s="225">
        <f>VLOOKUP($A97,'OPERATING Total Funding'!$A$9:$V$32,21,0)*$G97</f>
        <v>0</v>
      </c>
    </row>
    <row r="98" spans="1:9" ht="15.75" customHeight="1" x14ac:dyDescent="0.25">
      <c r="A98" s="216" t="s">
        <v>51</v>
      </c>
      <c r="B98" s="454" t="s">
        <v>51</v>
      </c>
      <c r="C98" t="s">
        <v>323</v>
      </c>
      <c r="D98" s="324">
        <v>303</v>
      </c>
      <c r="E98" s="324">
        <v>273.0432284791633</v>
      </c>
      <c r="F98" s="322">
        <f t="shared" si="10"/>
        <v>-9.8867232742035349E-2</v>
      </c>
      <c r="G98" s="323">
        <v>0.15</v>
      </c>
      <c r="H98" s="225">
        <f>VLOOKUP($A98,'OPERATING Total Funding'!$A$9:$V$32,12,0)*$G98</f>
        <v>0</v>
      </c>
      <c r="I98" s="225">
        <f>VLOOKUP($A98,'OPERATING Total Funding'!$A$9:$V$32,21,0)*$G98</f>
        <v>0</v>
      </c>
    </row>
    <row r="99" spans="1:9" ht="15.75" customHeight="1" x14ac:dyDescent="0.25">
      <c r="A99" s="216" t="s">
        <v>51</v>
      </c>
      <c r="B99" s="454" t="s">
        <v>51</v>
      </c>
      <c r="C99" t="s">
        <v>324</v>
      </c>
      <c r="D99" s="324">
        <v>286</v>
      </c>
      <c r="E99" s="324">
        <v>248.29470964559385</v>
      </c>
      <c r="F99" s="322">
        <f t="shared" si="10"/>
        <v>-0.13183667956086065</v>
      </c>
      <c r="G99" s="323">
        <v>0.05</v>
      </c>
      <c r="H99" s="225">
        <f>VLOOKUP($A99,'OPERATING Total Funding'!$A$9:$V$32,12,0)*$G99</f>
        <v>0</v>
      </c>
      <c r="I99" s="225">
        <f>VLOOKUP($A99,'OPERATING Total Funding'!$A$9:$V$32,21,0)*$G99</f>
        <v>0</v>
      </c>
    </row>
    <row r="100" spans="1:9" ht="15.75" customHeight="1" x14ac:dyDescent="0.25">
      <c r="A100" s="216" t="s">
        <v>51</v>
      </c>
      <c r="B100" s="454" t="s">
        <v>51</v>
      </c>
      <c r="C100" t="s">
        <v>325</v>
      </c>
      <c r="D100" s="324">
        <v>273</v>
      </c>
      <c r="E100" s="324">
        <v>245.56870142486383</v>
      </c>
      <c r="F100" s="322">
        <f t="shared" si="10"/>
        <v>-0.100480947161671</v>
      </c>
      <c r="G100" s="323">
        <v>0.05</v>
      </c>
      <c r="H100" s="225">
        <f>VLOOKUP($A100,'OPERATING Total Funding'!$A$9:$V$32,12,0)*$G100</f>
        <v>0</v>
      </c>
      <c r="I100" s="225">
        <f>VLOOKUP($A100,'OPERATING Total Funding'!$A$9:$V$32,21,0)*$G100</f>
        <v>0</v>
      </c>
    </row>
    <row r="101" spans="1:9" x14ac:dyDescent="0.25">
      <c r="A101" s="216" t="s">
        <v>51</v>
      </c>
      <c r="B101" s="454"/>
      <c r="C101" t="s">
        <v>326</v>
      </c>
      <c r="D101" s="325">
        <v>0.4652</v>
      </c>
      <c r="E101" s="325">
        <v>0.46508759059916949</v>
      </c>
      <c r="F101" s="322">
        <f>(E101/D101)-1</f>
        <v>-2.4163671717647439E-4</v>
      </c>
      <c r="G101" s="323">
        <v>0.15</v>
      </c>
      <c r="H101" s="225">
        <f>VLOOKUP($A101,'OPERATING Total Funding'!$A$9:$V$32,12,0)*$G101</f>
        <v>0</v>
      </c>
      <c r="I101" s="225">
        <f>VLOOKUP($A101,'OPERATING Total Funding'!$A$9:$V$32,21,0)*$G101</f>
        <v>0</v>
      </c>
    </row>
    <row r="102" spans="1:9" x14ac:dyDescent="0.25">
      <c r="B102" s="320"/>
      <c r="D102" s="324"/>
      <c r="E102" s="324"/>
      <c r="F102" s="322"/>
      <c r="G102" s="323"/>
      <c r="H102" s="319"/>
      <c r="I102" s="319"/>
    </row>
    <row r="103" spans="1:9" ht="15.75" customHeight="1" x14ac:dyDescent="0.25">
      <c r="A103" s="216" t="s">
        <v>50</v>
      </c>
      <c r="B103" s="454" t="s">
        <v>338</v>
      </c>
      <c r="C103" t="s">
        <v>319</v>
      </c>
      <c r="D103" s="321">
        <v>0.20417989960045077</v>
      </c>
      <c r="E103" s="321">
        <f>D103</f>
        <v>0.20417989960045077</v>
      </c>
      <c r="F103" s="322">
        <f>E103/D103-1</f>
        <v>0</v>
      </c>
      <c r="G103" s="323">
        <v>0.1</v>
      </c>
      <c r="H103" s="225">
        <f>VLOOKUP($A103,'OPERATING Total Funding'!$A$9:$V$32,12,0)*$G103</f>
        <v>0</v>
      </c>
      <c r="I103" s="225">
        <f>VLOOKUP($A103,'OPERATING Total Funding'!$A$9:$V$32,21,0)*$G103</f>
        <v>0</v>
      </c>
    </row>
    <row r="104" spans="1:9" x14ac:dyDescent="0.25">
      <c r="A104" s="216" t="s">
        <v>50</v>
      </c>
      <c r="B104" s="454"/>
      <c r="C104" t="s">
        <v>321</v>
      </c>
      <c r="D104" s="325">
        <v>0.66972477064220182</v>
      </c>
      <c r="E104" s="325">
        <v>0.67547099372069663</v>
      </c>
      <c r="F104" s="322">
        <f t="shared" ref="F104:F109" si="11">E104/D104-1</f>
        <v>8.5799769254237823E-3</v>
      </c>
      <c r="G104" s="323">
        <v>0.25</v>
      </c>
      <c r="H104" s="225">
        <f>VLOOKUP($A104,'OPERATING Total Funding'!$A$9:$V$32,12,0)*$G104</f>
        <v>0</v>
      </c>
      <c r="I104" s="225">
        <f>VLOOKUP($A104,'OPERATING Total Funding'!$A$9:$V$32,21,0)*$G104</f>
        <v>0</v>
      </c>
    </row>
    <row r="105" spans="1:9" x14ac:dyDescent="0.25">
      <c r="A105" s="216" t="s">
        <v>50</v>
      </c>
      <c r="B105" s="454"/>
      <c r="C105" t="s">
        <v>322</v>
      </c>
      <c r="D105" s="324">
        <v>5443</v>
      </c>
      <c r="E105" s="324">
        <v>5476.7899509354347</v>
      </c>
      <c r="F105" s="322">
        <f t="shared" si="11"/>
        <v>6.2079645297510311E-3</v>
      </c>
      <c r="G105" s="323">
        <v>0.05</v>
      </c>
      <c r="H105" s="225">
        <f>VLOOKUP($A105,'OPERATING Total Funding'!$A$9:$V$32,12,0)*$G105</f>
        <v>0</v>
      </c>
      <c r="I105" s="225">
        <f>VLOOKUP($A105,'OPERATING Total Funding'!$A$9:$V$32,21,0)*$G105</f>
        <v>0</v>
      </c>
    </row>
    <row r="106" spans="1:9" x14ac:dyDescent="0.25">
      <c r="A106" s="216" t="s">
        <v>50</v>
      </c>
      <c r="B106" s="454"/>
      <c r="C106" t="s">
        <v>323</v>
      </c>
      <c r="D106" s="324">
        <v>908</v>
      </c>
      <c r="E106" s="324">
        <v>879.51708948716487</v>
      </c>
      <c r="F106" s="322">
        <f t="shared" si="11"/>
        <v>-3.136884417713115E-2</v>
      </c>
      <c r="G106" s="323">
        <v>0.1</v>
      </c>
      <c r="H106" s="225">
        <f>VLOOKUP($A106,'OPERATING Total Funding'!$A$9:$V$32,12,0)*$G106</f>
        <v>0</v>
      </c>
      <c r="I106" s="225">
        <f>VLOOKUP($A106,'OPERATING Total Funding'!$A$9:$V$32,21,0)*$G106</f>
        <v>0</v>
      </c>
    </row>
    <row r="107" spans="1:9" x14ac:dyDescent="0.25">
      <c r="A107" s="216" t="s">
        <v>50</v>
      </c>
      <c r="B107" s="454"/>
      <c r="C107" t="s">
        <v>325</v>
      </c>
      <c r="D107" s="324">
        <v>2679</v>
      </c>
      <c r="E107" s="324">
        <v>2699.948106804487</v>
      </c>
      <c r="F107" s="322">
        <f t="shared" si="11"/>
        <v>7.8193754402713367E-3</v>
      </c>
      <c r="G107" s="323">
        <v>0.2</v>
      </c>
      <c r="H107" s="225">
        <f>VLOOKUP($A107,'OPERATING Total Funding'!$A$9:$V$32,12,0)*$G107</f>
        <v>0</v>
      </c>
      <c r="I107" s="225">
        <f>VLOOKUP($A107,'OPERATING Total Funding'!$A$9:$V$32,21,0)*$G107</f>
        <v>0</v>
      </c>
    </row>
    <row r="108" spans="1:9" x14ac:dyDescent="0.25">
      <c r="A108" s="216" t="s">
        <v>50</v>
      </c>
      <c r="B108" s="454"/>
      <c r="C108" t="s">
        <v>328</v>
      </c>
      <c r="D108" s="324">
        <v>754627</v>
      </c>
      <c r="E108" s="324">
        <v>781767.63421751407</v>
      </c>
      <c r="F108" s="322">
        <f t="shared" si="11"/>
        <v>3.5965628340244971E-2</v>
      </c>
      <c r="G108" s="323">
        <v>0.1</v>
      </c>
      <c r="H108" s="225">
        <f>VLOOKUP($A108,'OPERATING Total Funding'!$A$9:$V$32,12,0)*$G108</f>
        <v>0</v>
      </c>
      <c r="I108" s="225">
        <f>VLOOKUP($A108,'OPERATING Total Funding'!$A$9:$V$32,21,0)*$G108</f>
        <v>0</v>
      </c>
    </row>
    <row r="109" spans="1:9" x14ac:dyDescent="0.25">
      <c r="A109" s="216" t="s">
        <v>50</v>
      </c>
      <c r="B109" s="454"/>
      <c r="C109" t="s">
        <v>326</v>
      </c>
      <c r="D109" s="325">
        <v>0.34560982119028555</v>
      </c>
      <c r="E109" s="325">
        <v>0.34978234848956141</v>
      </c>
      <c r="F109" s="322">
        <f t="shared" si="11"/>
        <v>1.2072941923078506E-2</v>
      </c>
      <c r="G109" s="323">
        <v>0.2</v>
      </c>
      <c r="H109" s="225">
        <f>VLOOKUP($A109,'OPERATING Total Funding'!$A$9:$V$32,12,0)*$G109</f>
        <v>0</v>
      </c>
      <c r="I109" s="225">
        <f>VLOOKUP($A109,'OPERATING Total Funding'!$A$9:$V$32,21,0)*$G109</f>
        <v>0</v>
      </c>
    </row>
    <row r="110" spans="1:9" x14ac:dyDescent="0.25">
      <c r="F110" s="322"/>
      <c r="G110" s="228"/>
      <c r="H110" s="319"/>
      <c r="I110" s="319"/>
    </row>
    <row r="111" spans="1:9" ht="15.75" customHeight="1" x14ac:dyDescent="0.25">
      <c r="A111" s="216" t="s">
        <v>57</v>
      </c>
      <c r="B111" s="454" t="s">
        <v>57</v>
      </c>
      <c r="C111" t="s">
        <v>319</v>
      </c>
      <c r="D111" s="321">
        <v>0.29941927990708478</v>
      </c>
      <c r="E111" s="321">
        <f>D111</f>
        <v>0.29941927990708478</v>
      </c>
      <c r="F111" s="322">
        <f>E111/D111-1</f>
        <v>0</v>
      </c>
      <c r="G111" s="323">
        <v>0.2</v>
      </c>
      <c r="H111" s="225">
        <f>VLOOKUP($A111,'OPERATING Total Funding'!$A$9:$V$32,12,0)*$G111</f>
        <v>0</v>
      </c>
      <c r="I111" s="225">
        <f>VLOOKUP($A111,'OPERATING Total Funding'!$A$9:$V$32,21,0)*$G111</f>
        <v>0</v>
      </c>
    </row>
    <row r="112" spans="1:9" ht="15.75" customHeight="1" x14ac:dyDescent="0.25">
      <c r="A112" s="216" t="s">
        <v>57</v>
      </c>
      <c r="B112" s="454"/>
      <c r="C112" t="s">
        <v>320</v>
      </c>
      <c r="D112" s="324">
        <v>584</v>
      </c>
      <c r="E112" s="324">
        <f>D112</f>
        <v>584</v>
      </c>
      <c r="F112" s="322">
        <f t="shared" ref="F112:F117" si="12">E112/D112-1</f>
        <v>0</v>
      </c>
      <c r="G112" s="323">
        <v>0.1</v>
      </c>
      <c r="H112" s="225">
        <f>VLOOKUP($A112,'OPERATING Total Funding'!$A$9:$V$32,12,0)*$G112</f>
        <v>0</v>
      </c>
      <c r="I112" s="225">
        <f>VLOOKUP($A112,'OPERATING Total Funding'!$A$9:$V$32,21,0)*$G112</f>
        <v>0</v>
      </c>
    </row>
    <row r="113" spans="1:9" ht="15.75" customHeight="1" x14ac:dyDescent="0.25">
      <c r="A113" s="216" t="s">
        <v>57</v>
      </c>
      <c r="B113" s="454"/>
      <c r="C113" t="s">
        <v>321</v>
      </c>
      <c r="D113" s="321">
        <v>0.38328792007266121</v>
      </c>
      <c r="E113" s="321">
        <v>0.38845395564725749</v>
      </c>
      <c r="F113" s="322">
        <f t="shared" si="12"/>
        <v>1.3478211297702547E-2</v>
      </c>
      <c r="G113" s="323">
        <v>0.25</v>
      </c>
      <c r="H113" s="225">
        <f>VLOOKUP($A113,'OPERATING Total Funding'!$A$9:$V$32,12,0)*$G113</f>
        <v>0</v>
      </c>
      <c r="I113" s="225">
        <f>VLOOKUP($A113,'OPERATING Total Funding'!$A$9:$V$32,21,0)*$G113</f>
        <v>0</v>
      </c>
    </row>
    <row r="114" spans="1:9" ht="15.75" customHeight="1" x14ac:dyDescent="0.25">
      <c r="A114" s="216" t="s">
        <v>57</v>
      </c>
      <c r="B114" s="454"/>
      <c r="C114" t="s">
        <v>322</v>
      </c>
      <c r="D114" s="324">
        <v>1537</v>
      </c>
      <c r="E114" s="324">
        <v>1463.0315350294577</v>
      </c>
      <c r="F114" s="322">
        <f t="shared" si="12"/>
        <v>-4.8125221190983947E-2</v>
      </c>
      <c r="G114" s="323">
        <v>0.1</v>
      </c>
      <c r="H114" s="225">
        <f>VLOOKUP($A114,'OPERATING Total Funding'!$A$9:$V$32,12,0)*$G114</f>
        <v>0</v>
      </c>
      <c r="I114" s="225">
        <f>VLOOKUP($A114,'OPERATING Total Funding'!$A$9:$V$32,21,0)*$G114</f>
        <v>0</v>
      </c>
    </row>
    <row r="115" spans="1:9" ht="15.75" customHeight="1" x14ac:dyDescent="0.25">
      <c r="A115" s="216" t="s">
        <v>57</v>
      </c>
      <c r="B115" s="454"/>
      <c r="C115" t="s">
        <v>323</v>
      </c>
      <c r="D115" s="324">
        <v>272</v>
      </c>
      <c r="E115" s="324">
        <v>244.10358097686915</v>
      </c>
      <c r="F115" s="322">
        <f t="shared" si="12"/>
        <v>-0.10256036405562807</v>
      </c>
      <c r="G115" s="323">
        <v>0.1</v>
      </c>
      <c r="H115" s="225">
        <f>VLOOKUP($A115,'OPERATING Total Funding'!$A$9:$V$32,12,0)*$G115</f>
        <v>0</v>
      </c>
      <c r="I115" s="225">
        <f>VLOOKUP($A115,'OPERATING Total Funding'!$A$9:$V$32,21,0)*$G115</f>
        <v>0</v>
      </c>
    </row>
    <row r="116" spans="1:9" ht="15.75" customHeight="1" x14ac:dyDescent="0.25">
      <c r="A116" s="216" t="s">
        <v>57</v>
      </c>
      <c r="B116" s="454"/>
      <c r="C116" t="s">
        <v>324</v>
      </c>
      <c r="D116" s="324">
        <v>170</v>
      </c>
      <c r="E116" s="324">
        <v>141.67026768584708</v>
      </c>
      <c r="F116" s="322">
        <f t="shared" si="12"/>
        <v>-0.16664548420089953</v>
      </c>
      <c r="G116" s="323">
        <v>0.05</v>
      </c>
      <c r="H116" s="225">
        <f>VLOOKUP($A116,'OPERATING Total Funding'!$A$9:$V$32,12,0)*$G116</f>
        <v>0</v>
      </c>
      <c r="I116" s="225">
        <f>VLOOKUP($A116,'OPERATING Total Funding'!$A$9:$V$32,21,0)*$G116</f>
        <v>0</v>
      </c>
    </row>
    <row r="117" spans="1:9" ht="15.75" customHeight="1" x14ac:dyDescent="0.25">
      <c r="A117" s="216" t="s">
        <v>57</v>
      </c>
      <c r="B117" s="454"/>
      <c r="C117" t="s">
        <v>325</v>
      </c>
      <c r="D117" s="324">
        <v>138</v>
      </c>
      <c r="E117" s="324">
        <v>119.41862675957323</v>
      </c>
      <c r="F117" s="322">
        <f t="shared" si="12"/>
        <v>-0.13464763217700559</v>
      </c>
      <c r="G117" s="323">
        <v>0.05</v>
      </c>
      <c r="H117" s="225">
        <f>VLOOKUP($A117,'OPERATING Total Funding'!$A$9:$V$32,12,0)*$G117</f>
        <v>0</v>
      </c>
      <c r="I117" s="225">
        <f>VLOOKUP($A117,'OPERATING Total Funding'!$A$9:$V$32,21,0)*$G117</f>
        <v>0</v>
      </c>
    </row>
    <row r="118" spans="1:9" x14ac:dyDescent="0.25">
      <c r="A118" s="216" t="s">
        <v>57</v>
      </c>
      <c r="B118" s="454"/>
      <c r="C118" t="s">
        <v>326</v>
      </c>
      <c r="D118" s="325">
        <v>0.64929999999999999</v>
      </c>
      <c r="E118" s="325">
        <f>D118</f>
        <v>0.64929999999999999</v>
      </c>
      <c r="F118" s="322">
        <f>(E118/D118)-1</f>
        <v>0</v>
      </c>
      <c r="G118" s="323">
        <v>0.15</v>
      </c>
      <c r="H118" s="225">
        <f>VLOOKUP($A118,'OPERATING Total Funding'!$A$9:$V$32,12,0)*$G118</f>
        <v>0</v>
      </c>
      <c r="I118" s="225">
        <f>VLOOKUP($A118,'OPERATING Total Funding'!$A$9:$V$32,21,0)*$G118</f>
        <v>0</v>
      </c>
    </row>
    <row r="119" spans="1:9" x14ac:dyDescent="0.25">
      <c r="F119" s="326"/>
      <c r="G119" s="228"/>
      <c r="H119" s="319"/>
      <c r="I119" s="319"/>
    </row>
    <row r="120" spans="1:9" ht="15.75" customHeight="1" x14ac:dyDescent="0.25">
      <c r="A120" s="216" t="s">
        <v>58</v>
      </c>
      <c r="B120" s="454" t="s">
        <v>115</v>
      </c>
      <c r="C120" t="s">
        <v>319</v>
      </c>
      <c r="D120" s="321">
        <v>0.39752991123118486</v>
      </c>
      <c r="E120" s="321">
        <f>D120</f>
        <v>0.39752991123118486</v>
      </c>
      <c r="F120" s="322">
        <f>E120/D120-1</f>
        <v>0</v>
      </c>
      <c r="G120" s="318">
        <v>0.2</v>
      </c>
      <c r="H120" s="225">
        <f>VLOOKUP($A120,'OPERATING Total Funding'!$A$9:$V$32,12,0)*$G120</f>
        <v>0</v>
      </c>
      <c r="I120" s="225">
        <f>VLOOKUP($A120,'OPERATING Total Funding'!$A$9:$V$32,21,0)*$G120</f>
        <v>0</v>
      </c>
    </row>
    <row r="121" spans="1:9" ht="15.75" customHeight="1" x14ac:dyDescent="0.25">
      <c r="A121" s="216" t="s">
        <v>58</v>
      </c>
      <c r="B121" s="454"/>
      <c r="C121" t="s">
        <v>320</v>
      </c>
      <c r="D121" s="324">
        <v>882</v>
      </c>
      <c r="E121" s="324">
        <f>D121</f>
        <v>882</v>
      </c>
      <c r="F121" s="322">
        <f t="shared" ref="F121:F126" si="13">E121/D121-1</f>
        <v>0</v>
      </c>
      <c r="G121" s="318">
        <v>0.1</v>
      </c>
      <c r="H121" s="225">
        <f>VLOOKUP($A121,'OPERATING Total Funding'!$A$9:$V$32,12,0)*$G121</f>
        <v>0</v>
      </c>
      <c r="I121" s="225">
        <f>VLOOKUP($A121,'OPERATING Total Funding'!$A$9:$V$32,21,0)*$G121</f>
        <v>0</v>
      </c>
    </row>
    <row r="122" spans="1:9" ht="15.75" customHeight="1" x14ac:dyDescent="0.25">
      <c r="A122" s="216" t="s">
        <v>58</v>
      </c>
      <c r="B122" s="454"/>
      <c r="C122" t="s">
        <v>321</v>
      </c>
      <c r="D122" s="329">
        <v>0.31178160919540232</v>
      </c>
      <c r="E122" s="329">
        <v>0.36144010922669734</v>
      </c>
      <c r="F122" s="322">
        <f t="shared" si="13"/>
        <v>0.15927334572249463</v>
      </c>
      <c r="G122" s="330">
        <v>0.15</v>
      </c>
      <c r="H122" s="225">
        <f>VLOOKUP($A122,'OPERATING Total Funding'!$A$9:$V$32,12,0)*$G122</f>
        <v>0</v>
      </c>
      <c r="I122" s="225">
        <f>VLOOKUP($A122,'OPERATING Total Funding'!$A$9:$V$32,21,0)*$G122</f>
        <v>0</v>
      </c>
    </row>
    <row r="123" spans="1:9" ht="15.75" customHeight="1" x14ac:dyDescent="0.25">
      <c r="A123" s="216" t="s">
        <v>58</v>
      </c>
      <c r="B123" s="454"/>
      <c r="C123" t="s">
        <v>322</v>
      </c>
      <c r="D123" s="324">
        <v>2384</v>
      </c>
      <c r="E123" s="324">
        <v>2462.3667174349234</v>
      </c>
      <c r="F123" s="322">
        <f t="shared" si="13"/>
        <v>3.2871945232769928E-2</v>
      </c>
      <c r="G123" s="318">
        <v>0.1</v>
      </c>
      <c r="H123" s="225">
        <f>VLOOKUP($A123,'OPERATING Total Funding'!$A$9:$V$32,12,0)*$G123</f>
        <v>0</v>
      </c>
      <c r="I123" s="225">
        <f>VLOOKUP($A123,'OPERATING Total Funding'!$A$9:$V$32,21,0)*$G123</f>
        <v>0</v>
      </c>
    </row>
    <row r="124" spans="1:9" ht="15.75" customHeight="1" x14ac:dyDescent="0.25">
      <c r="A124" s="216" t="s">
        <v>58</v>
      </c>
      <c r="B124" s="454"/>
      <c r="C124" t="s">
        <v>323</v>
      </c>
      <c r="D124" s="324">
        <v>1054</v>
      </c>
      <c r="E124" s="324">
        <v>1087.0928445126517</v>
      </c>
      <c r="F124" s="322">
        <f t="shared" si="13"/>
        <v>3.1397385685627777E-2</v>
      </c>
      <c r="G124" s="318">
        <v>0.1</v>
      </c>
      <c r="H124" s="225">
        <f>VLOOKUP($A124,'OPERATING Total Funding'!$A$9:$V$32,12,0)*$G124</f>
        <v>0</v>
      </c>
      <c r="I124" s="225">
        <f>VLOOKUP($A124,'OPERATING Total Funding'!$A$9:$V$32,21,0)*$G124</f>
        <v>0</v>
      </c>
    </row>
    <row r="125" spans="1:9" ht="15.75" customHeight="1" x14ac:dyDescent="0.25">
      <c r="A125" s="216" t="s">
        <v>58</v>
      </c>
      <c r="B125" s="454"/>
      <c r="C125" t="s">
        <v>324</v>
      </c>
      <c r="D125" s="324">
        <v>386</v>
      </c>
      <c r="E125" s="324">
        <v>380.18031066099104</v>
      </c>
      <c r="F125" s="322">
        <f t="shared" si="13"/>
        <v>-1.5076915386033618E-2</v>
      </c>
      <c r="G125" s="318">
        <v>0.1</v>
      </c>
      <c r="H125" s="225">
        <f>VLOOKUP($A125,'OPERATING Total Funding'!$A$9:$V$32,12,0)*$G125</f>
        <v>0</v>
      </c>
      <c r="I125" s="225">
        <f>VLOOKUP($A125,'OPERATING Total Funding'!$A$9:$V$32,21,0)*$G125</f>
        <v>0</v>
      </c>
    </row>
    <row r="126" spans="1:9" ht="15.75" customHeight="1" x14ac:dyDescent="0.25">
      <c r="A126" s="216" t="s">
        <v>58</v>
      </c>
      <c r="B126" s="454"/>
      <c r="C126" t="s">
        <v>325</v>
      </c>
      <c r="D126" s="324">
        <v>314</v>
      </c>
      <c r="E126" s="324">
        <v>320.6461179210653</v>
      </c>
      <c r="F126" s="322">
        <f t="shared" si="13"/>
        <v>2.1165980640335258E-2</v>
      </c>
      <c r="G126" s="318">
        <v>0.1</v>
      </c>
      <c r="H126" s="225">
        <f>VLOOKUP($A126,'OPERATING Total Funding'!$A$9:$V$32,12,0)*$G126</f>
        <v>0</v>
      </c>
      <c r="I126" s="225">
        <f>VLOOKUP($A126,'OPERATING Total Funding'!$A$9:$V$32,21,0)*$G126</f>
        <v>0</v>
      </c>
    </row>
    <row r="127" spans="1:9" x14ac:dyDescent="0.25">
      <c r="A127" s="216" t="s">
        <v>58</v>
      </c>
      <c r="B127" s="454"/>
      <c r="C127" t="s">
        <v>326</v>
      </c>
      <c r="D127" s="325">
        <v>0.70250000000000001</v>
      </c>
      <c r="E127" s="325">
        <v>0.70672719689932983</v>
      </c>
      <c r="F127" s="322">
        <f>(E127/D127)-1</f>
        <v>6.0173621342773931E-3</v>
      </c>
      <c r="G127" s="318">
        <v>0.15</v>
      </c>
      <c r="H127" s="225">
        <f>VLOOKUP($A127,'OPERATING Total Funding'!$A$9:$V$32,12,0)*$G127</f>
        <v>0</v>
      </c>
      <c r="I127" s="225">
        <f>VLOOKUP($A127,'OPERATING Total Funding'!$A$9:$V$32,21,0)*$G127</f>
        <v>0</v>
      </c>
    </row>
    <row r="128" spans="1:9" x14ac:dyDescent="0.25">
      <c r="B128" s="320"/>
      <c r="D128" s="325"/>
      <c r="E128" s="325"/>
      <c r="F128" s="322"/>
      <c r="G128" s="318"/>
      <c r="H128" s="319"/>
      <c r="I128" s="319"/>
    </row>
    <row r="129" spans="1:9" ht="15.75" customHeight="1" x14ac:dyDescent="0.25">
      <c r="A129" s="216" t="s">
        <v>59</v>
      </c>
      <c r="B129" s="455" t="s">
        <v>122</v>
      </c>
      <c r="C129" t="s">
        <v>319</v>
      </c>
      <c r="D129" s="321">
        <v>0.38340011448196909</v>
      </c>
      <c r="E129" s="321">
        <f>D129</f>
        <v>0.38340011448196909</v>
      </c>
      <c r="F129" s="322">
        <f>E129/D129-1</f>
        <v>0</v>
      </c>
      <c r="G129" s="318">
        <v>0.05</v>
      </c>
      <c r="H129" s="225">
        <f>VLOOKUP($A129,'OPERATING Total Funding'!$A$9:$V$32,12,0)*$G129</f>
        <v>0</v>
      </c>
      <c r="I129" s="225">
        <f>VLOOKUP($A129,'OPERATING Total Funding'!$A$9:$V$32,21,0)*$G129</f>
        <v>0</v>
      </c>
    </row>
    <row r="130" spans="1:9" x14ac:dyDescent="0.25">
      <c r="A130" s="216" t="s">
        <v>59</v>
      </c>
      <c r="B130" s="455"/>
      <c r="C130" t="s">
        <v>320</v>
      </c>
      <c r="D130" s="324">
        <v>30843</v>
      </c>
      <c r="E130" s="324">
        <f>D130</f>
        <v>30843</v>
      </c>
      <c r="F130" s="322">
        <f t="shared" ref="F130:F134" si="14">E130/D130-1</f>
        <v>0</v>
      </c>
      <c r="G130" s="318">
        <v>0.1</v>
      </c>
      <c r="H130" s="225">
        <f>VLOOKUP($A130,'OPERATING Total Funding'!$A$9:$V$32,12,0)*$G130</f>
        <v>0</v>
      </c>
      <c r="I130" s="225">
        <f>VLOOKUP($A130,'OPERATING Total Funding'!$A$9:$V$32,21,0)*$G130</f>
        <v>0</v>
      </c>
    </row>
    <row r="131" spans="1:9" x14ac:dyDescent="0.25">
      <c r="A131" s="216" t="s">
        <v>59</v>
      </c>
      <c r="B131" s="455"/>
      <c r="C131" t="s">
        <v>339</v>
      </c>
      <c r="D131" s="328">
        <v>9171</v>
      </c>
      <c r="E131" s="328">
        <v>9844.0636863438103</v>
      </c>
      <c r="F131" s="322">
        <f t="shared" si="14"/>
        <v>7.3390435758784234E-2</v>
      </c>
      <c r="G131" s="330">
        <v>0.1</v>
      </c>
      <c r="H131" s="225">
        <f>VLOOKUP($A131,'OPERATING Total Funding'!$A$9:$V$32,12,0)*$G131</f>
        <v>0</v>
      </c>
      <c r="I131" s="225">
        <f>VLOOKUP($A131,'OPERATING Total Funding'!$A$9:$V$32,21,0)*$G131</f>
        <v>0</v>
      </c>
    </row>
    <row r="132" spans="1:9" x14ac:dyDescent="0.25">
      <c r="A132" s="216" t="s">
        <v>59</v>
      </c>
      <c r="B132" s="455"/>
      <c r="C132" t="s">
        <v>340</v>
      </c>
      <c r="D132" s="324">
        <v>7576</v>
      </c>
      <c r="E132" s="324">
        <v>8077.481090514344</v>
      </c>
      <c r="F132" s="322">
        <f t="shared" si="14"/>
        <v>6.6193385759549139E-2</v>
      </c>
      <c r="G132" s="318">
        <v>0.25</v>
      </c>
      <c r="H132" s="225">
        <f>VLOOKUP($A132,'OPERATING Total Funding'!$A$9:$V$32,12,0)*$G132</f>
        <v>0</v>
      </c>
      <c r="I132" s="225">
        <f>VLOOKUP($A132,'OPERATING Total Funding'!$A$9:$V$32,21,0)*$G132</f>
        <v>0</v>
      </c>
    </row>
    <row r="133" spans="1:9" x14ac:dyDescent="0.25">
      <c r="A133" s="216" t="s">
        <v>59</v>
      </c>
      <c r="B133" s="455"/>
      <c r="C133" t="s">
        <v>341</v>
      </c>
      <c r="D133" s="324">
        <v>9166</v>
      </c>
      <c r="E133" s="324">
        <v>9110.7971178946009</v>
      </c>
      <c r="F133" s="322">
        <f t="shared" si="14"/>
        <v>-6.0225705984506828E-3</v>
      </c>
      <c r="G133" s="318">
        <v>0.25</v>
      </c>
      <c r="H133" s="225">
        <f>VLOOKUP($A133,'OPERATING Total Funding'!$A$9:$V$32,12,0)*$G133</f>
        <v>0</v>
      </c>
      <c r="I133" s="225">
        <f>VLOOKUP($A133,'OPERATING Total Funding'!$A$9:$V$32,21,0)*$G133</f>
        <v>0</v>
      </c>
    </row>
    <row r="134" spans="1:9" x14ac:dyDescent="0.25">
      <c r="A134" s="216" t="s">
        <v>59</v>
      </c>
      <c r="B134" s="455"/>
      <c r="C134" t="s">
        <v>342</v>
      </c>
      <c r="D134" s="324">
        <v>7980</v>
      </c>
      <c r="E134" s="225">
        <v>7847.2977017277362</v>
      </c>
      <c r="F134" s="322">
        <f t="shared" si="14"/>
        <v>-1.6629360685747385E-2</v>
      </c>
      <c r="G134" s="318">
        <v>0.25</v>
      </c>
      <c r="H134" s="225">
        <f>VLOOKUP($A134,'OPERATING Total Funding'!$A$9:$V$32,12,0)*$G134</f>
        <v>0</v>
      </c>
      <c r="I134" s="225">
        <f>VLOOKUP($A134,'OPERATING Total Funding'!$A$9:$V$32,21,0)*$G134</f>
        <v>0</v>
      </c>
    </row>
    <row r="135" spans="1:9" x14ac:dyDescent="0.25">
      <c r="H135" s="319"/>
      <c r="I135" s="319"/>
    </row>
  </sheetData>
  <mergeCells count="15">
    <mergeCell ref="B49:B56"/>
    <mergeCell ref="B5:B12"/>
    <mergeCell ref="B14:B21"/>
    <mergeCell ref="B23:B29"/>
    <mergeCell ref="B31:B38"/>
    <mergeCell ref="B40:B47"/>
    <mergeCell ref="B58:B65"/>
    <mergeCell ref="B111:B118"/>
    <mergeCell ref="B120:B127"/>
    <mergeCell ref="B129:B134"/>
    <mergeCell ref="B67:B74"/>
    <mergeCell ref="B76:B83"/>
    <mergeCell ref="B85:B92"/>
    <mergeCell ref="B94:B101"/>
    <mergeCell ref="B103:B10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3" tint="0.39997558519241921"/>
  </sheetPr>
  <dimension ref="A1:X125"/>
  <sheetViews>
    <sheetView topLeftCell="B1" zoomScale="80" zoomScaleNormal="80" workbookViewId="0">
      <pane ySplit="8" topLeftCell="A9" activePane="bottomLeft" state="frozenSplit"/>
      <selection pane="bottomLeft" activeCell="J50" sqref="J50"/>
    </sheetView>
  </sheetViews>
  <sheetFormatPr defaultColWidth="16.7109375" defaultRowHeight="15" x14ac:dyDescent="0.25"/>
  <cols>
    <col min="1" max="1" width="4.7109375" hidden="1" customWidth="1"/>
    <col min="2" max="2" width="64.7109375" customWidth="1"/>
    <col min="3" max="3" width="11.7109375" customWidth="1"/>
    <col min="4" max="4" width="7.42578125" bestFit="1" customWidth="1"/>
    <col min="5" max="5" width="16.7109375" customWidth="1"/>
    <col min="6" max="6" width="18" style="216" bestFit="1" customWidth="1"/>
    <col min="7" max="7" width="15.7109375" bestFit="1" customWidth="1"/>
    <col min="8" max="9" width="16.7109375" customWidth="1"/>
    <col min="10" max="11" width="16.7109375" style="216" customWidth="1"/>
    <col min="12" max="16" width="16.7109375" customWidth="1"/>
    <col min="17" max="17" width="16.7109375" hidden="1" customWidth="1"/>
    <col min="18" max="18" width="13.28515625" hidden="1" customWidth="1"/>
    <col min="19" max="19" width="12.7109375" hidden="1" customWidth="1"/>
    <col min="20" max="20" width="13.28515625" hidden="1" customWidth="1"/>
    <col min="21" max="24" width="16.7109375" hidden="1" customWidth="1"/>
  </cols>
  <sheetData>
    <row r="1" spans="1:24" ht="16.5" customHeight="1" thickBot="1" x14ac:dyDescent="0.3">
      <c r="B1" s="9" t="s">
        <v>91</v>
      </c>
      <c r="W1" t="s">
        <v>92</v>
      </c>
      <c r="X1" t="s">
        <v>92</v>
      </c>
    </row>
    <row r="2" spans="1:24" ht="16.5" customHeight="1" thickBot="1" x14ac:dyDescent="0.3">
      <c r="B2" s="10"/>
      <c r="D2" s="331"/>
      <c r="E2" s="331"/>
      <c r="F2" s="331"/>
      <c r="G2" s="331"/>
      <c r="I2" s="456" t="s">
        <v>232</v>
      </c>
      <c r="J2" s="146"/>
      <c r="L2" s="461" t="s">
        <v>38</v>
      </c>
      <c r="M2" s="462"/>
      <c r="N2" s="146"/>
      <c r="O2" s="146"/>
      <c r="W2" t="s">
        <v>93</v>
      </c>
      <c r="X2" t="s">
        <v>93</v>
      </c>
    </row>
    <row r="3" spans="1:24" ht="15.75" customHeight="1" thickBot="1" x14ac:dyDescent="0.3">
      <c r="B3" s="10"/>
      <c r="D3" s="331"/>
      <c r="E3" s="331"/>
      <c r="F3" s="331"/>
      <c r="G3" s="331"/>
      <c r="H3" s="146"/>
      <c r="I3" s="457"/>
      <c r="J3" s="264"/>
      <c r="L3" s="147" t="s">
        <v>94</v>
      </c>
      <c r="M3" s="148">
        <v>5.7500000000000002E-2</v>
      </c>
      <c r="N3" s="146"/>
      <c r="O3" s="216"/>
    </row>
    <row r="4" spans="1:24" ht="15.75" customHeight="1" thickBot="1" x14ac:dyDescent="0.3">
      <c r="B4" s="11" t="s">
        <v>95</v>
      </c>
      <c r="D4" s="331"/>
      <c r="E4" s="331"/>
      <c r="F4" s="331"/>
      <c r="G4" s="331"/>
      <c r="I4" s="271">
        <f>COUNTIF(I10:I47,"&gt;0")</f>
        <v>0</v>
      </c>
      <c r="L4" s="149" t="s">
        <v>96</v>
      </c>
      <c r="M4" s="93">
        <v>20</v>
      </c>
    </row>
    <row r="5" spans="1:24" ht="15.75" customHeight="1" thickBot="1" x14ac:dyDescent="0.3">
      <c r="B5" s="11"/>
    </row>
    <row r="6" spans="1:24" ht="15" customHeight="1" thickBot="1" x14ac:dyDescent="0.3">
      <c r="B6" s="463" t="s">
        <v>97</v>
      </c>
      <c r="C6" s="464"/>
      <c r="D6" s="464"/>
      <c r="E6" s="464"/>
      <c r="F6" s="464"/>
      <c r="G6" s="464"/>
      <c r="H6" s="465"/>
      <c r="I6" s="466" t="s">
        <v>98</v>
      </c>
      <c r="J6" s="467"/>
      <c r="K6" s="259" t="s">
        <v>217</v>
      </c>
      <c r="L6" s="470" t="s">
        <v>240</v>
      </c>
      <c r="M6" s="469"/>
      <c r="N6" s="468" t="s">
        <v>241</v>
      </c>
      <c r="O6" s="469"/>
    </row>
    <row r="7" spans="1:24" ht="22.5" customHeight="1" x14ac:dyDescent="0.25">
      <c r="B7" s="471" t="s">
        <v>99</v>
      </c>
      <c r="C7" s="473" t="s">
        <v>100</v>
      </c>
      <c r="D7" s="475" t="s">
        <v>101</v>
      </c>
      <c r="E7" s="473" t="s">
        <v>249</v>
      </c>
      <c r="F7" s="475" t="s">
        <v>102</v>
      </c>
      <c r="G7" s="475" t="s">
        <v>103</v>
      </c>
      <c r="H7" s="479" t="s">
        <v>104</v>
      </c>
      <c r="I7" s="481" t="s">
        <v>105</v>
      </c>
      <c r="J7" s="483" t="s">
        <v>227</v>
      </c>
      <c r="K7" s="459" t="s">
        <v>106</v>
      </c>
      <c r="L7" s="477" t="s">
        <v>38</v>
      </c>
      <c r="M7" s="459" t="s">
        <v>106</v>
      </c>
      <c r="N7" s="477" t="s">
        <v>38</v>
      </c>
      <c r="O7" s="459" t="s">
        <v>106</v>
      </c>
    </row>
    <row r="8" spans="1:24" ht="24.75" customHeight="1" thickBot="1" x14ac:dyDescent="0.3">
      <c r="B8" s="472"/>
      <c r="C8" s="474"/>
      <c r="D8" s="476"/>
      <c r="E8" s="474"/>
      <c r="F8" s="476"/>
      <c r="G8" s="476"/>
      <c r="H8" s="480"/>
      <c r="I8" s="482"/>
      <c r="J8" s="484"/>
      <c r="K8" s="460"/>
      <c r="L8" s="478"/>
      <c r="M8" s="460"/>
      <c r="N8" s="478"/>
      <c r="O8" s="460"/>
    </row>
    <row r="9" spans="1:24" x14ac:dyDescent="0.25">
      <c r="B9" s="150" t="s">
        <v>107</v>
      </c>
      <c r="C9" s="151"/>
      <c r="D9" s="151"/>
      <c r="E9" s="151"/>
      <c r="F9" s="232"/>
      <c r="G9" s="151"/>
      <c r="H9" s="151"/>
      <c r="I9" s="151"/>
      <c r="J9" s="232"/>
      <c r="K9" s="232"/>
      <c r="L9" s="151"/>
      <c r="M9" s="151"/>
      <c r="N9" s="151"/>
      <c r="O9" s="151"/>
    </row>
    <row r="10" spans="1:24" x14ac:dyDescent="0.25">
      <c r="A10" t="s">
        <v>55</v>
      </c>
      <c r="B10" t="s">
        <v>244</v>
      </c>
      <c r="C10" t="s">
        <v>245</v>
      </c>
      <c r="D10" s="216">
        <v>1</v>
      </c>
      <c r="E10" s="216" t="s">
        <v>93</v>
      </c>
      <c r="F10" s="216" t="s">
        <v>246</v>
      </c>
      <c r="G10" s="231">
        <v>88420000</v>
      </c>
      <c r="H10" s="231">
        <v>88420000</v>
      </c>
      <c r="I10" s="272"/>
      <c r="J10" s="216" t="s">
        <v>93</v>
      </c>
      <c r="K10" s="231"/>
      <c r="L10" s="231">
        <f>IF(J10="yes",-1*(PMT($M$3,$M$4,I10,0,0)), 0)</f>
        <v>0</v>
      </c>
      <c r="M10" s="231"/>
      <c r="N10" s="260">
        <f>(PMT($M$3,$M$4,I10,0,0))*-1</f>
        <v>0</v>
      </c>
      <c r="O10" s="224"/>
      <c r="P10" s="296"/>
      <c r="R10" s="396"/>
      <c r="S10" s="396"/>
      <c r="T10" s="396"/>
      <c r="U10" s="396"/>
    </row>
    <row r="11" spans="1:24" ht="15.75" thickBot="1" x14ac:dyDescent="0.3">
      <c r="A11" t="s">
        <v>55</v>
      </c>
      <c r="B11" t="s">
        <v>247</v>
      </c>
      <c r="C11" t="s">
        <v>248</v>
      </c>
      <c r="D11" s="216">
        <v>2</v>
      </c>
      <c r="E11" s="216" t="s">
        <v>92</v>
      </c>
      <c r="F11" s="216" t="s">
        <v>246</v>
      </c>
      <c r="G11" s="231">
        <v>38000000</v>
      </c>
      <c r="H11" s="231">
        <v>38000000</v>
      </c>
      <c r="I11" s="272"/>
      <c r="L11" s="231">
        <f>IF(J11="yes",-1*(PMT($M$3,$M$4,I11,0,0)), 0)</f>
        <v>0</v>
      </c>
      <c r="M11" s="224"/>
      <c r="N11" s="260"/>
      <c r="O11" s="224"/>
    </row>
    <row r="12" spans="1:24" ht="15.75" thickBot="1" x14ac:dyDescent="0.3">
      <c r="B12" s="153" t="s">
        <v>108</v>
      </c>
      <c r="C12" s="153"/>
      <c r="D12" s="153"/>
      <c r="E12" s="153"/>
      <c r="F12" s="233"/>
      <c r="G12" s="154">
        <f>SUM(G10:G11)</f>
        <v>126420000</v>
      </c>
      <c r="H12" s="154">
        <f>SUM(H10:H11)</f>
        <v>126420000</v>
      </c>
      <c r="I12" s="273">
        <f>SUM(I10:I11)</f>
        <v>0</v>
      </c>
      <c r="J12" s="233"/>
      <c r="K12" s="154">
        <f>SUM(K10:K11)</f>
        <v>0</v>
      </c>
      <c r="L12" s="154">
        <f t="shared" ref="L12:O12" si="0">SUM(L10:L11)</f>
        <v>0</v>
      </c>
      <c r="M12" s="154">
        <f t="shared" si="0"/>
        <v>0</v>
      </c>
      <c r="N12" s="154">
        <f t="shared" si="0"/>
        <v>0</v>
      </c>
      <c r="O12" s="154">
        <f t="shared" si="0"/>
        <v>0</v>
      </c>
      <c r="Q12" s="104" t="s">
        <v>36</v>
      </c>
      <c r="R12" s="238">
        <f>SUMIF($F:$F, Q12, L:L)</f>
        <v>0</v>
      </c>
      <c r="S12" s="238">
        <f>SUMIF($F:$F, Q12, M:M)</f>
        <v>0</v>
      </c>
      <c r="T12" s="238">
        <f>SUMIF($F:$F, Q12, N:N)</f>
        <v>0</v>
      </c>
      <c r="U12" s="238">
        <f>SUMIF($F:$F, Q12, O:O)</f>
        <v>0</v>
      </c>
    </row>
    <row r="13" spans="1:24" ht="15.75" thickTop="1" x14ac:dyDescent="0.25">
      <c r="B13" s="150" t="s">
        <v>109</v>
      </c>
      <c r="C13" s="151"/>
      <c r="D13" s="151"/>
      <c r="E13" s="151"/>
      <c r="F13" s="232"/>
      <c r="G13" s="151"/>
      <c r="H13" s="151"/>
      <c r="I13" s="274"/>
      <c r="J13" s="232"/>
      <c r="K13" s="232"/>
      <c r="L13" s="236"/>
      <c r="M13" s="254"/>
      <c r="N13" s="236"/>
      <c r="O13" s="254"/>
      <c r="Q13" s="109" t="s">
        <v>40</v>
      </c>
      <c r="R13" s="239">
        <f>SUMIF($F:$F, Q13, L:L)</f>
        <v>0</v>
      </c>
      <c r="S13" s="239">
        <f>SUMIF($F:$F, Q13, M:M)</f>
        <v>0</v>
      </c>
      <c r="T13" s="239">
        <f>SUMIF($F:$F, Q13, N:N)</f>
        <v>0</v>
      </c>
      <c r="U13" s="239">
        <f>SUMIF($F:$F, Q13, O:O)</f>
        <v>0</v>
      </c>
    </row>
    <row r="14" spans="1:24" x14ac:dyDescent="0.25">
      <c r="A14" t="s">
        <v>57</v>
      </c>
      <c r="B14" t="s">
        <v>297</v>
      </c>
      <c r="C14" t="s">
        <v>251</v>
      </c>
      <c r="D14" s="216">
        <v>1</v>
      </c>
      <c r="E14" s="216" t="s">
        <v>93</v>
      </c>
      <c r="F14" s="216" t="s">
        <v>253</v>
      </c>
      <c r="G14" s="231">
        <v>43000000</v>
      </c>
      <c r="H14" s="231">
        <v>43000000</v>
      </c>
      <c r="I14" s="272"/>
      <c r="J14" s="216" t="s">
        <v>93</v>
      </c>
      <c r="K14" s="231"/>
      <c r="L14" s="231">
        <f>IF(J14="yes",-1*(PMT($M$3,$M$4,I14,0,0)), 0)</f>
        <v>0</v>
      </c>
      <c r="M14" s="231"/>
      <c r="N14" s="260">
        <f>(PMT($M$3,$M$4,I14,0,0))*-1</f>
        <v>0</v>
      </c>
      <c r="O14" s="224"/>
      <c r="Q14" s="109"/>
      <c r="R14" s="239"/>
      <c r="S14" s="239"/>
      <c r="T14" s="239"/>
      <c r="U14" s="239"/>
    </row>
    <row r="15" spans="1:24" ht="15.75" thickBot="1" x14ac:dyDescent="0.3">
      <c r="A15" t="s">
        <v>57</v>
      </c>
      <c r="B15" t="s">
        <v>250</v>
      </c>
      <c r="C15" t="s">
        <v>252</v>
      </c>
      <c r="D15" s="216">
        <v>2</v>
      </c>
      <c r="E15" s="216" t="s">
        <v>93</v>
      </c>
      <c r="F15" s="216" t="s">
        <v>253</v>
      </c>
      <c r="G15" s="231">
        <v>39000000</v>
      </c>
      <c r="H15" s="231">
        <v>39000000</v>
      </c>
      <c r="I15" s="272"/>
      <c r="K15" s="231"/>
      <c r="L15" s="231">
        <f>IF(J15="yes",-1*(PMT($M$3,$M$4,I15,0,0)), 0)</f>
        <v>0</v>
      </c>
      <c r="M15" s="231"/>
      <c r="N15" s="260"/>
      <c r="O15" s="224"/>
      <c r="Q15" s="109"/>
      <c r="R15" s="239"/>
      <c r="S15" s="239"/>
      <c r="T15" s="239"/>
      <c r="U15" s="239"/>
    </row>
    <row r="16" spans="1:24" ht="15.75" thickBot="1" x14ac:dyDescent="0.3">
      <c r="B16" s="153" t="s">
        <v>110</v>
      </c>
      <c r="C16" s="153"/>
      <c r="D16" s="153"/>
      <c r="E16" s="153"/>
      <c r="F16" s="233"/>
      <c r="G16" s="154">
        <f>SUM(G14:G15)</f>
        <v>82000000</v>
      </c>
      <c r="H16" s="154">
        <f>SUM(H14:H15)</f>
        <v>82000000</v>
      </c>
      <c r="I16" s="273">
        <f>SUM(I14:I15)</f>
        <v>0</v>
      </c>
      <c r="J16" s="233"/>
      <c r="K16" s="154">
        <f>SUM(K14:K15)</f>
        <v>0</v>
      </c>
      <c r="L16" s="154">
        <f t="shared" ref="L16:O16" si="1">SUM(L14:L15)</f>
        <v>0</v>
      </c>
      <c r="M16" s="154">
        <f t="shared" si="1"/>
        <v>0</v>
      </c>
      <c r="N16" s="154">
        <f t="shared" si="1"/>
        <v>0</v>
      </c>
      <c r="O16" s="154">
        <f t="shared" si="1"/>
        <v>0</v>
      </c>
      <c r="Q16" s="109" t="s">
        <v>42</v>
      </c>
      <c r="R16" s="239">
        <f>SUMIF($F:$F, Q16, L:L)</f>
        <v>0</v>
      </c>
      <c r="S16" s="239">
        <f>SUMIF($F:$F, Q16, M:M)</f>
        <v>0</v>
      </c>
      <c r="T16" s="239">
        <f>SUMIF($F:$F, Q16, N:N)</f>
        <v>0</v>
      </c>
      <c r="U16" s="239">
        <f>SUMIF($F:$F, Q16, O:O)</f>
        <v>0</v>
      </c>
    </row>
    <row r="17" spans="1:21" ht="15.75" thickTop="1" x14ac:dyDescent="0.25">
      <c r="B17" s="150" t="s">
        <v>111</v>
      </c>
      <c r="C17" s="151"/>
      <c r="D17" s="151"/>
      <c r="E17" s="151"/>
      <c r="F17" s="232"/>
      <c r="G17" s="151"/>
      <c r="H17" s="151"/>
      <c r="I17" s="274"/>
      <c r="J17" s="232"/>
      <c r="K17" s="232"/>
      <c r="L17" s="236"/>
      <c r="M17" s="254"/>
      <c r="N17" s="236"/>
      <c r="O17" s="254"/>
      <c r="Q17" s="109" t="s">
        <v>43</v>
      </c>
      <c r="R17" s="239">
        <f>SUMIF($F:$F, Q17, L:L)</f>
        <v>0</v>
      </c>
      <c r="S17" s="239">
        <f>SUMIF($F:$F, Q17, M:M)</f>
        <v>0</v>
      </c>
      <c r="T17" s="239">
        <f>SUMIF($F:$F, Q17, N:N)</f>
        <v>0</v>
      </c>
      <c r="U17" s="239">
        <f>SUMIF($F:$F, Q17, O:O)</f>
        <v>0</v>
      </c>
    </row>
    <row r="18" spans="1:21" x14ac:dyDescent="0.25">
      <c r="A18" t="s">
        <v>56</v>
      </c>
      <c r="B18" t="s">
        <v>254</v>
      </c>
      <c r="C18" t="s">
        <v>255</v>
      </c>
      <c r="D18" s="216">
        <v>1</v>
      </c>
      <c r="E18" s="216" t="s">
        <v>93</v>
      </c>
      <c r="F18" s="216" t="s">
        <v>258</v>
      </c>
      <c r="G18" s="231">
        <v>47000000</v>
      </c>
      <c r="H18" s="231">
        <v>47000000</v>
      </c>
      <c r="I18" s="272"/>
      <c r="J18" s="216" t="s">
        <v>93</v>
      </c>
      <c r="K18" s="231"/>
      <c r="L18" s="231">
        <f>IF(J18="yes",-1*(PMT($M$3,$M$4,I18,0,0)), 0)</f>
        <v>0</v>
      </c>
      <c r="M18" s="231"/>
      <c r="N18" s="260">
        <f>(PMT($M$3,$M$4,I18,0,0))*-1</f>
        <v>0</v>
      </c>
      <c r="O18" s="224"/>
      <c r="Q18" s="109"/>
      <c r="R18" s="239"/>
      <c r="S18" s="239"/>
      <c r="T18" s="239"/>
      <c r="U18" s="239"/>
    </row>
    <row r="19" spans="1:21" ht="15.75" thickBot="1" x14ac:dyDescent="0.3">
      <c r="A19" t="s">
        <v>56</v>
      </c>
      <c r="B19" t="s">
        <v>256</v>
      </c>
      <c r="C19" t="s">
        <v>257</v>
      </c>
      <c r="D19" s="216">
        <v>2</v>
      </c>
      <c r="E19" s="216" t="s">
        <v>93</v>
      </c>
      <c r="F19" s="216" t="s">
        <v>258</v>
      </c>
      <c r="G19" s="231">
        <v>47500000</v>
      </c>
      <c r="H19" s="231">
        <v>47500000</v>
      </c>
      <c r="I19" s="272"/>
      <c r="K19" s="231"/>
      <c r="L19" s="231">
        <f>IF(J19="yes",-1*(PMT($M$3,$M$4,I19,0,0)), 0)</f>
        <v>0</v>
      </c>
      <c r="M19" s="231"/>
      <c r="N19" s="260"/>
      <c r="O19" s="224"/>
      <c r="Q19" s="109"/>
      <c r="R19" s="239"/>
      <c r="S19" s="239"/>
      <c r="T19" s="239"/>
      <c r="U19" s="239"/>
    </row>
    <row r="20" spans="1:21" ht="15.75" thickBot="1" x14ac:dyDescent="0.3">
      <c r="B20" s="153" t="s">
        <v>112</v>
      </c>
      <c r="C20" s="153"/>
      <c r="D20" s="153"/>
      <c r="E20" s="153"/>
      <c r="F20" s="233"/>
      <c r="G20" s="154">
        <f>SUM(G18:G19)</f>
        <v>94500000</v>
      </c>
      <c r="H20" s="154">
        <f>SUM(H18:H19)</f>
        <v>94500000</v>
      </c>
      <c r="I20" s="273">
        <f>SUM(I18:I19)</f>
        <v>0</v>
      </c>
      <c r="J20" s="233"/>
      <c r="K20" s="154">
        <f>SUM(K18:K19)</f>
        <v>0</v>
      </c>
      <c r="L20" s="154">
        <f t="shared" ref="L20:O20" si="2">SUM(L18:L19)</f>
        <v>0</v>
      </c>
      <c r="M20" s="154">
        <f t="shared" si="2"/>
        <v>0</v>
      </c>
      <c r="N20" s="154">
        <f t="shared" si="2"/>
        <v>0</v>
      </c>
      <c r="O20" s="154">
        <f t="shared" si="2"/>
        <v>0</v>
      </c>
      <c r="Q20" s="109" t="s">
        <v>45</v>
      </c>
      <c r="R20" s="239">
        <f>SUMIF($F:$F, Q20, L:L)</f>
        <v>0</v>
      </c>
      <c r="S20" s="239">
        <f>SUMIF($F:$F, Q20, M:M)</f>
        <v>0</v>
      </c>
      <c r="T20" s="239">
        <f>SUMIF($F:$F, Q20, N:N)</f>
        <v>0</v>
      </c>
      <c r="U20" s="239">
        <f>SUMIF($F:$F, Q20, O:O)</f>
        <v>0</v>
      </c>
    </row>
    <row r="21" spans="1:21" ht="15.75" thickTop="1" x14ac:dyDescent="0.25">
      <c r="B21" s="150" t="s">
        <v>113</v>
      </c>
      <c r="C21" s="151"/>
      <c r="D21" s="151"/>
      <c r="E21" s="151"/>
      <c r="F21" s="232"/>
      <c r="G21" s="151"/>
      <c r="H21" s="151"/>
      <c r="I21" s="274"/>
      <c r="J21" s="232"/>
      <c r="K21" s="236"/>
      <c r="L21" s="236"/>
      <c r="M21" s="254"/>
      <c r="N21" s="236"/>
      <c r="O21" s="254"/>
      <c r="Q21" s="109" t="s">
        <v>46</v>
      </c>
      <c r="R21" s="239">
        <f>SUMIF($F:$F, Q21, L:L)</f>
        <v>0</v>
      </c>
      <c r="S21" s="239">
        <f>SUMIF($F:$F, Q21, M:M)</f>
        <v>0</v>
      </c>
      <c r="T21" s="239">
        <f>SUMIF($F:$F, Q21, N:N)</f>
        <v>0</v>
      </c>
      <c r="U21" s="239">
        <f>SUMIF($F:$F, Q21, O:O)</f>
        <v>0</v>
      </c>
    </row>
    <row r="22" spans="1:21" x14ac:dyDescent="0.25">
      <c r="A22" t="s">
        <v>36</v>
      </c>
      <c r="B22" t="s">
        <v>259</v>
      </c>
      <c r="C22" t="s">
        <v>260</v>
      </c>
      <c r="D22" s="216">
        <v>1</v>
      </c>
      <c r="E22" s="216" t="s">
        <v>92</v>
      </c>
      <c r="F22" s="216" t="s">
        <v>261</v>
      </c>
      <c r="G22" s="231">
        <v>96000000</v>
      </c>
      <c r="H22" s="231">
        <v>96000000</v>
      </c>
      <c r="I22" s="272"/>
      <c r="J22" s="216" t="s">
        <v>93</v>
      </c>
      <c r="K22" s="231"/>
      <c r="L22" s="231">
        <f t="shared" ref="L22:L27" si="3">IF(J22="yes",-1*(PMT($M$3,$M$4,I22,0,0)), 0)</f>
        <v>0</v>
      </c>
      <c r="M22" s="231"/>
      <c r="N22" s="260">
        <f>(PMT($M$3,$M$4,I22,0,0))*-1</f>
        <v>0</v>
      </c>
      <c r="O22" s="224"/>
      <c r="Q22" s="109"/>
      <c r="R22" s="239"/>
      <c r="S22" s="239"/>
      <c r="T22" s="239"/>
      <c r="U22" s="239"/>
    </row>
    <row r="23" spans="1:21" ht="15.75" thickBot="1" x14ac:dyDescent="0.3">
      <c r="A23" t="s">
        <v>345</v>
      </c>
      <c r="B23" t="s">
        <v>262</v>
      </c>
      <c r="C23" t="s">
        <v>263</v>
      </c>
      <c r="D23" s="216">
        <v>2</v>
      </c>
      <c r="E23" s="216" t="s">
        <v>93</v>
      </c>
      <c r="F23" s="216" t="s">
        <v>264</v>
      </c>
      <c r="G23" s="231">
        <v>89000000</v>
      </c>
      <c r="H23" s="231">
        <v>89000000</v>
      </c>
      <c r="I23" s="272"/>
      <c r="K23" s="231"/>
      <c r="L23" s="231">
        <f t="shared" si="3"/>
        <v>0</v>
      </c>
      <c r="M23" s="224"/>
      <c r="N23" s="260"/>
      <c r="O23" s="224"/>
      <c r="Q23" s="109"/>
      <c r="R23" s="239"/>
      <c r="S23" s="239"/>
      <c r="T23" s="239"/>
      <c r="U23" s="239"/>
    </row>
    <row r="24" spans="1:21" ht="15.75" thickTop="1" x14ac:dyDescent="0.25">
      <c r="A24" t="s">
        <v>48</v>
      </c>
      <c r="B24" t="s">
        <v>265</v>
      </c>
      <c r="C24" t="s">
        <v>266</v>
      </c>
      <c r="D24" s="216">
        <v>3</v>
      </c>
      <c r="E24" s="216" t="s">
        <v>92</v>
      </c>
      <c r="F24" s="216" t="s">
        <v>267</v>
      </c>
      <c r="G24" s="231">
        <v>25000000</v>
      </c>
      <c r="H24" s="231">
        <v>25000000</v>
      </c>
      <c r="I24" s="231"/>
      <c r="K24" s="231"/>
      <c r="L24" s="231">
        <f t="shared" si="3"/>
        <v>0</v>
      </c>
      <c r="M24" s="224"/>
      <c r="N24" s="260"/>
      <c r="O24" s="224"/>
      <c r="Q24" s="110"/>
      <c r="R24" s="240"/>
      <c r="S24" s="240"/>
      <c r="T24" s="240"/>
      <c r="U24" s="240"/>
    </row>
    <row r="25" spans="1:21" x14ac:dyDescent="0.25">
      <c r="A25" t="s">
        <v>345</v>
      </c>
      <c r="B25" t="s">
        <v>268</v>
      </c>
      <c r="C25" t="s">
        <v>269</v>
      </c>
      <c r="D25" s="216">
        <v>4</v>
      </c>
      <c r="E25" s="216" t="s">
        <v>93</v>
      </c>
      <c r="F25" s="216" t="s">
        <v>264</v>
      </c>
      <c r="G25" s="231">
        <v>65000000</v>
      </c>
      <c r="H25" s="231">
        <v>65000000</v>
      </c>
      <c r="I25" s="231"/>
      <c r="K25" s="231"/>
      <c r="L25" s="231">
        <f t="shared" si="3"/>
        <v>0</v>
      </c>
      <c r="M25" s="224"/>
      <c r="N25" s="260"/>
      <c r="O25" s="224"/>
      <c r="Q25" s="118"/>
      <c r="R25" s="241"/>
      <c r="S25" s="241"/>
      <c r="T25" s="241"/>
      <c r="U25" s="241"/>
    </row>
    <row r="26" spans="1:21" x14ac:dyDescent="0.25">
      <c r="A26" t="s">
        <v>47</v>
      </c>
      <c r="B26" t="s">
        <v>270</v>
      </c>
      <c r="C26" t="s">
        <v>271</v>
      </c>
      <c r="D26" s="216">
        <v>5</v>
      </c>
      <c r="E26" s="216" t="s">
        <v>93</v>
      </c>
      <c r="F26" s="216" t="s">
        <v>272</v>
      </c>
      <c r="G26" s="231">
        <v>75000000</v>
      </c>
      <c r="H26" s="231">
        <v>75000000</v>
      </c>
      <c r="I26" s="231"/>
      <c r="K26" s="231"/>
      <c r="L26" s="231">
        <f t="shared" si="3"/>
        <v>0</v>
      </c>
      <c r="M26" s="224"/>
      <c r="N26" s="260"/>
      <c r="O26" s="224"/>
      <c r="Q26" s="118"/>
      <c r="R26" s="241"/>
      <c r="S26" s="241"/>
      <c r="T26" s="241"/>
      <c r="U26" s="241"/>
    </row>
    <row r="27" spans="1:21" ht="15.75" thickBot="1" x14ac:dyDescent="0.3">
      <c r="A27" t="s">
        <v>36</v>
      </c>
      <c r="B27" t="s">
        <v>273</v>
      </c>
      <c r="C27" t="s">
        <v>274</v>
      </c>
      <c r="D27" s="216">
        <v>6</v>
      </c>
      <c r="E27" s="216" t="s">
        <v>93</v>
      </c>
      <c r="F27" s="216" t="s">
        <v>261</v>
      </c>
      <c r="G27" s="231">
        <v>80000000</v>
      </c>
      <c r="H27" s="231">
        <v>80000000</v>
      </c>
      <c r="I27" s="231"/>
      <c r="K27" s="231"/>
      <c r="L27" s="231">
        <f t="shared" si="3"/>
        <v>0</v>
      </c>
      <c r="M27" s="224"/>
      <c r="N27" s="260"/>
      <c r="O27" s="224"/>
      <c r="Q27" s="118"/>
      <c r="R27" s="241"/>
      <c r="S27" s="241"/>
      <c r="T27" s="241"/>
      <c r="U27" s="241"/>
    </row>
    <row r="28" spans="1:21" ht="15.75" thickBot="1" x14ac:dyDescent="0.3">
      <c r="B28" s="153" t="s">
        <v>114</v>
      </c>
      <c r="C28" s="153"/>
      <c r="D28" s="153"/>
      <c r="E28" s="153"/>
      <c r="F28" s="233"/>
      <c r="G28" s="154">
        <f>SUM(G22:G27)</f>
        <v>430000000</v>
      </c>
      <c r="H28" s="154">
        <f>SUM(H22:H27)</f>
        <v>430000000</v>
      </c>
      <c r="I28" s="273">
        <f>SUM(I22:I27)</f>
        <v>0</v>
      </c>
      <c r="J28" s="233"/>
      <c r="K28" s="154">
        <f>SUM(K22:K27)</f>
        <v>0</v>
      </c>
      <c r="L28" s="154">
        <f t="shared" ref="L28:O28" si="4">SUM(L22:L27)</f>
        <v>0</v>
      </c>
      <c r="M28" s="154">
        <f t="shared" si="4"/>
        <v>0</v>
      </c>
      <c r="N28" s="154">
        <f t="shared" si="4"/>
        <v>0</v>
      </c>
      <c r="O28" s="154">
        <f t="shared" si="4"/>
        <v>0</v>
      </c>
      <c r="Q28" s="109" t="s">
        <v>50</v>
      </c>
      <c r="R28" s="239">
        <f>SUMIF($F:$F, Q28, L:L)</f>
        <v>0</v>
      </c>
      <c r="S28" s="239">
        <f>SUMIF($F:$F, Q28, M:M)</f>
        <v>0</v>
      </c>
      <c r="T28" s="239">
        <f>SUMIF($F:$F, Q28, N:N)</f>
        <v>0</v>
      </c>
      <c r="U28" s="239">
        <f>SUMIF($F:$F, Q28, O:O)</f>
        <v>0</v>
      </c>
    </row>
    <row r="29" spans="1:21" ht="15.75" thickTop="1" x14ac:dyDescent="0.25">
      <c r="B29" s="150" t="s">
        <v>115</v>
      </c>
      <c r="C29" s="151"/>
      <c r="D29" s="151"/>
      <c r="E29" s="151"/>
      <c r="F29" s="232"/>
      <c r="G29" s="151"/>
      <c r="H29" s="151"/>
      <c r="I29" s="274"/>
      <c r="J29" s="232"/>
      <c r="K29" s="236"/>
      <c r="L29" s="236"/>
      <c r="M29" s="254"/>
      <c r="N29" s="236"/>
      <c r="O29" s="254"/>
      <c r="Q29" s="109" t="s">
        <v>51</v>
      </c>
      <c r="R29" s="239">
        <f>SUMIF($F:$F, Q29, L:L)</f>
        <v>0</v>
      </c>
      <c r="S29" s="239">
        <f>SUMIF($F:$F, Q29, M:M)</f>
        <v>0</v>
      </c>
      <c r="T29" s="239">
        <f>SUMIF($F:$F, Q29, N:N)</f>
        <v>0</v>
      </c>
      <c r="U29" s="239">
        <f>SUMIF($F:$F, Q29, O:O)</f>
        <v>0</v>
      </c>
    </row>
    <row r="30" spans="1:21" x14ac:dyDescent="0.25">
      <c r="A30" t="s">
        <v>58</v>
      </c>
      <c r="B30" t="s">
        <v>287</v>
      </c>
      <c r="C30" t="s">
        <v>118</v>
      </c>
      <c r="D30" s="216">
        <v>1</v>
      </c>
      <c r="E30" s="216" t="s">
        <v>288</v>
      </c>
      <c r="F30" s="216" t="s">
        <v>275</v>
      </c>
      <c r="G30" s="231">
        <v>32000000</v>
      </c>
      <c r="H30" s="231">
        <v>32000000</v>
      </c>
      <c r="I30" s="272"/>
      <c r="J30" s="216" t="s">
        <v>93</v>
      </c>
      <c r="K30" s="231"/>
      <c r="L30" s="231">
        <f>IF(J30="yes",-1*(PMT($M$3,$M$4,I30,0,0)), 0)</f>
        <v>0</v>
      </c>
      <c r="M30" s="231"/>
      <c r="N30" s="260">
        <f>(PMT($M$3,$M$4,I30,0,0))*-1</f>
        <v>0</v>
      </c>
      <c r="O30" s="224"/>
      <c r="Q30" s="109"/>
      <c r="R30" s="239"/>
      <c r="S30" s="239"/>
      <c r="T30" s="239"/>
      <c r="U30" s="239"/>
    </row>
    <row r="31" spans="1:21" ht="15.75" thickBot="1" x14ac:dyDescent="0.3">
      <c r="A31" t="s">
        <v>58</v>
      </c>
      <c r="B31" t="s">
        <v>116</v>
      </c>
      <c r="C31" t="s">
        <v>117</v>
      </c>
      <c r="D31" s="216">
        <v>2</v>
      </c>
      <c r="E31" s="216" t="s">
        <v>92</v>
      </c>
      <c r="F31" s="216" t="s">
        <v>267</v>
      </c>
      <c r="G31" s="231">
        <v>30500000</v>
      </c>
      <c r="H31" s="231">
        <v>30500000</v>
      </c>
      <c r="I31" s="272"/>
      <c r="K31" s="231"/>
      <c r="L31" s="231">
        <f>IF(J31="yes",-1*(PMT($M$3,$M$4,I31,0,0)), 0)</f>
        <v>0</v>
      </c>
      <c r="M31" s="224"/>
      <c r="N31" s="260"/>
      <c r="O31" s="224"/>
      <c r="Q31" s="109"/>
      <c r="R31" s="239"/>
      <c r="S31" s="239"/>
      <c r="T31" s="239"/>
      <c r="U31" s="239"/>
    </row>
    <row r="32" spans="1:21" ht="16.5" thickTop="1" thickBot="1" x14ac:dyDescent="0.3">
      <c r="B32" s="153" t="s">
        <v>119</v>
      </c>
      <c r="C32" s="153"/>
      <c r="D32" s="153"/>
      <c r="E32" s="153"/>
      <c r="F32" s="233"/>
      <c r="G32" s="154">
        <f t="shared" ref="G32:I32" si="5">SUM(G30:G31)</f>
        <v>62500000</v>
      </c>
      <c r="H32" s="154">
        <f t="shared" si="5"/>
        <v>62500000</v>
      </c>
      <c r="I32" s="154">
        <f t="shared" si="5"/>
        <v>0</v>
      </c>
      <c r="J32" s="154"/>
      <c r="K32" s="154">
        <f>SUM(K30:K31)</f>
        <v>0</v>
      </c>
      <c r="L32" s="154">
        <f t="shared" ref="L32:O32" si="6">SUM(L30:L31)</f>
        <v>0</v>
      </c>
      <c r="M32" s="154">
        <f t="shared" si="6"/>
        <v>0</v>
      </c>
      <c r="N32" s="154">
        <f t="shared" si="6"/>
        <v>0</v>
      </c>
      <c r="O32" s="154">
        <f t="shared" si="6"/>
        <v>0</v>
      </c>
      <c r="Q32" s="110" t="s">
        <v>66</v>
      </c>
      <c r="R32" s="240">
        <f>SUM(R28:R31)</f>
        <v>0</v>
      </c>
      <c r="S32" s="240">
        <f>SUM(S28:S31)</f>
        <v>0</v>
      </c>
      <c r="T32" s="240">
        <f>SUM(T28:T31)</f>
        <v>0</v>
      </c>
      <c r="U32" s="240">
        <f>SUM(U28:U31)</f>
        <v>0</v>
      </c>
    </row>
    <row r="33" spans="1:21" ht="15.75" thickTop="1" x14ac:dyDescent="0.25">
      <c r="B33" s="150" t="s">
        <v>120</v>
      </c>
      <c r="C33" s="151"/>
      <c r="D33" s="151"/>
      <c r="E33" s="151"/>
      <c r="F33" s="232"/>
      <c r="G33" s="151"/>
      <c r="H33" s="151"/>
      <c r="I33" s="274"/>
      <c r="J33" s="232"/>
      <c r="K33" s="236"/>
      <c r="L33" s="236"/>
      <c r="M33" s="254"/>
      <c r="N33" s="236"/>
      <c r="O33" s="254"/>
      <c r="Q33" s="118"/>
      <c r="R33" s="241">
        <f>SUMIF($F:$F, Q33, L:L)</f>
        <v>0</v>
      </c>
      <c r="S33" s="241">
        <f>SUMIF($F:$F, Q33, M:M)</f>
        <v>0</v>
      </c>
      <c r="T33" s="241">
        <f>SUMIF($F:$F, Q33, N:N)</f>
        <v>0</v>
      </c>
      <c r="U33" s="241">
        <f>SUMIF($F:$F, Q33, O:O)</f>
        <v>0</v>
      </c>
    </row>
    <row r="34" spans="1:21" x14ac:dyDescent="0.25">
      <c r="A34" t="s">
        <v>50</v>
      </c>
      <c r="B34" t="s">
        <v>276</v>
      </c>
      <c r="C34" t="s">
        <v>277</v>
      </c>
      <c r="D34" s="216">
        <v>1</v>
      </c>
      <c r="E34" s="216" t="s">
        <v>93</v>
      </c>
      <c r="F34" s="216" t="s">
        <v>279</v>
      </c>
      <c r="G34" s="246">
        <v>160000000</v>
      </c>
      <c r="H34" s="231">
        <v>90000000</v>
      </c>
      <c r="I34" s="272"/>
      <c r="J34" s="216" t="s">
        <v>93</v>
      </c>
      <c r="K34" s="231"/>
      <c r="L34" s="231">
        <f>IF(J34="yes",-1*(PMT($M$3,$M$4,I34,0,0)), 0)</f>
        <v>0</v>
      </c>
      <c r="M34" s="231"/>
      <c r="N34" s="260">
        <f>(PMT($M$3,$M$4,I34,0,0))*-1</f>
        <v>0</v>
      </c>
      <c r="O34" s="224"/>
      <c r="Q34" s="109"/>
      <c r="R34" s="239"/>
      <c r="S34" s="239"/>
      <c r="T34" s="239"/>
      <c r="U34" s="239"/>
    </row>
    <row r="35" spans="1:21" ht="15.75" thickBot="1" x14ac:dyDescent="0.3">
      <c r="A35" t="s">
        <v>51</v>
      </c>
      <c r="B35" t="s">
        <v>278</v>
      </c>
      <c r="C35" t="s">
        <v>280</v>
      </c>
      <c r="D35" s="216">
        <v>2</v>
      </c>
      <c r="E35" s="216" t="s">
        <v>93</v>
      </c>
      <c r="F35" s="216" t="s">
        <v>281</v>
      </c>
      <c r="G35" s="246">
        <v>23000000</v>
      </c>
      <c r="H35" s="231">
        <v>19000000</v>
      </c>
      <c r="I35" s="272"/>
      <c r="K35" s="231"/>
      <c r="L35" s="231">
        <f>IF(J35="yes",-1*(PMT($M$3,$M$4,I35,0,0)), 0)</f>
        <v>0</v>
      </c>
      <c r="M35" s="224"/>
      <c r="N35" s="260"/>
      <c r="O35" s="224"/>
      <c r="Q35" s="109"/>
      <c r="R35" s="239"/>
      <c r="S35" s="239"/>
      <c r="T35" s="239"/>
      <c r="U35" s="239"/>
    </row>
    <row r="36" spans="1:21" hidden="1" x14ac:dyDescent="0.25">
      <c r="D36" s="216"/>
      <c r="E36" s="216"/>
      <c r="G36" s="246"/>
      <c r="H36" s="231"/>
      <c r="I36" s="152"/>
      <c r="K36" s="260"/>
      <c r="L36" s="231"/>
      <c r="M36" s="224"/>
      <c r="N36" s="260"/>
      <c r="O36" s="224"/>
      <c r="Q36" s="109"/>
      <c r="R36" s="239"/>
      <c r="S36" s="239"/>
      <c r="T36" s="239"/>
      <c r="U36" s="239"/>
    </row>
    <row r="37" spans="1:21" hidden="1" x14ac:dyDescent="0.25">
      <c r="D37" s="216"/>
      <c r="E37" s="216"/>
      <c r="G37" s="246"/>
      <c r="H37" s="231"/>
      <c r="I37" s="272"/>
      <c r="K37" s="231"/>
      <c r="L37" s="231"/>
      <c r="M37" s="224"/>
      <c r="N37" s="260"/>
      <c r="O37" s="224"/>
      <c r="Q37" s="109"/>
      <c r="R37" s="239"/>
      <c r="S37" s="239"/>
      <c r="T37" s="239"/>
      <c r="U37" s="239"/>
    </row>
    <row r="38" spans="1:21" ht="15.75" hidden="1" thickBot="1" x14ac:dyDescent="0.3">
      <c r="D38" s="216"/>
      <c r="E38" s="216"/>
      <c r="G38" s="246"/>
      <c r="H38" s="231"/>
      <c r="I38" s="272"/>
      <c r="K38" s="231"/>
      <c r="L38" s="231"/>
      <c r="M38" s="224"/>
      <c r="N38" s="260"/>
      <c r="O38" s="224"/>
      <c r="Q38" s="109"/>
      <c r="R38" s="239"/>
      <c r="S38" s="239"/>
      <c r="T38" s="239"/>
      <c r="U38" s="239"/>
    </row>
    <row r="39" spans="1:21" ht="16.5" customHeight="1" thickBot="1" x14ac:dyDescent="0.3">
      <c r="B39" s="153" t="s">
        <v>121</v>
      </c>
      <c r="C39" s="153"/>
      <c r="D39" s="153"/>
      <c r="E39" s="153"/>
      <c r="F39" s="233"/>
      <c r="G39" s="235">
        <f>SUM(G34:G35)</f>
        <v>183000000</v>
      </c>
      <c r="H39" s="235">
        <f>SUM(H34:H35)</f>
        <v>109000000</v>
      </c>
      <c r="I39" s="273">
        <f>SUM(I34:I38)</f>
        <v>0</v>
      </c>
      <c r="J39" s="233"/>
      <c r="K39" s="235">
        <f>SUM(K34:K38)</f>
        <v>0</v>
      </c>
      <c r="L39" s="235">
        <f t="shared" ref="L39:O39" si="7">SUM(L34:L38)</f>
        <v>0</v>
      </c>
      <c r="M39" s="235">
        <f t="shared" si="7"/>
        <v>0</v>
      </c>
      <c r="N39" s="235">
        <f t="shared" si="7"/>
        <v>0</v>
      </c>
      <c r="O39" s="235">
        <f t="shared" si="7"/>
        <v>0</v>
      </c>
      <c r="Q39" s="109" t="s">
        <v>57</v>
      </c>
      <c r="R39" s="239">
        <f>SUMIF($F:$F, Q39, L:L)</f>
        <v>0</v>
      </c>
      <c r="S39" s="239">
        <f>SUMIF($F:$F, Q39, M:M)</f>
        <v>0</v>
      </c>
      <c r="T39" s="239">
        <f>SUMIF($F:$F, Q39, N:N)</f>
        <v>0</v>
      </c>
      <c r="U39" s="239">
        <f>SUMIF($F:$F, Q39, O:O)</f>
        <v>0</v>
      </c>
    </row>
    <row r="40" spans="1:21" ht="15.75" thickTop="1" x14ac:dyDescent="0.25">
      <c r="B40" s="150" t="s">
        <v>122</v>
      </c>
      <c r="C40" s="151"/>
      <c r="D40" s="151"/>
      <c r="E40" s="151"/>
      <c r="F40" s="232"/>
      <c r="G40" s="151"/>
      <c r="H40" s="151"/>
      <c r="I40" s="274"/>
      <c r="J40" s="232"/>
      <c r="K40" s="236"/>
      <c r="L40" s="236"/>
      <c r="M40" s="254"/>
      <c r="N40" s="236"/>
      <c r="O40" s="254"/>
      <c r="Q40" s="109" t="s">
        <v>58</v>
      </c>
      <c r="R40" s="239">
        <f>SUMIF($F:$F, Q40, L:L)</f>
        <v>0</v>
      </c>
      <c r="S40" s="239">
        <f>SUMIF($F:$F, Q40, M:M)</f>
        <v>0</v>
      </c>
      <c r="T40" s="239">
        <f>SUMIF($F:$F, Q40, N:N)</f>
        <v>0</v>
      </c>
      <c r="U40" s="239">
        <f>SUMIF($F:$F, Q40, O:O)</f>
        <v>0</v>
      </c>
    </row>
    <row r="41" spans="1:21" ht="15.75" thickBot="1" x14ac:dyDescent="0.3">
      <c r="A41" t="s">
        <v>59</v>
      </c>
      <c r="B41" t="s">
        <v>219</v>
      </c>
      <c r="C41" t="s">
        <v>282</v>
      </c>
      <c r="D41" s="216">
        <v>1</v>
      </c>
      <c r="E41" s="216" t="s">
        <v>92</v>
      </c>
      <c r="F41" s="216" t="s">
        <v>258</v>
      </c>
      <c r="G41" s="231">
        <v>67140311</v>
      </c>
      <c r="H41" s="231">
        <v>67140311</v>
      </c>
      <c r="I41" s="272"/>
      <c r="J41" s="216" t="s">
        <v>93</v>
      </c>
      <c r="K41" s="231"/>
      <c r="L41" s="231">
        <f>IF(J41="yes",-1*(PMT($M$3,$M$4,I41,0,0)), 0)</f>
        <v>0</v>
      </c>
      <c r="M41" s="231"/>
      <c r="N41" s="260">
        <f>(PMT($M$3,$M$4,I41,0,0))*-1</f>
        <v>0</v>
      </c>
      <c r="O41" s="224"/>
      <c r="Q41" s="109"/>
      <c r="R41" s="239"/>
      <c r="S41" s="239"/>
      <c r="T41" s="239"/>
      <c r="U41" s="239"/>
    </row>
    <row r="42" spans="1:21" ht="15.75" thickBot="1" x14ac:dyDescent="0.3">
      <c r="A42" t="s">
        <v>59</v>
      </c>
      <c r="B42" t="s">
        <v>283</v>
      </c>
      <c r="C42" t="s">
        <v>282</v>
      </c>
      <c r="D42" s="216">
        <v>2</v>
      </c>
      <c r="E42" s="216" t="s">
        <v>288</v>
      </c>
      <c r="F42" s="216" t="s">
        <v>253</v>
      </c>
      <c r="G42" s="231">
        <f>H42+542000</f>
        <v>35541910</v>
      </c>
      <c r="H42" s="231">
        <v>34999910</v>
      </c>
      <c r="I42" s="272"/>
      <c r="K42" s="231"/>
      <c r="L42" s="231">
        <f>IF(J42="yes",-1*(PMT($M$3,$M$4,I42,0,0)), 0)</f>
        <v>0</v>
      </c>
      <c r="M42" s="224"/>
      <c r="N42" s="260"/>
      <c r="O42" s="224"/>
      <c r="Q42" s="171"/>
      <c r="R42" s="242"/>
      <c r="S42" s="242"/>
      <c r="T42" s="242"/>
      <c r="U42" s="242"/>
    </row>
    <row r="43" spans="1:21" ht="15.75" thickBot="1" x14ac:dyDescent="0.3">
      <c r="A43" t="s">
        <v>59</v>
      </c>
      <c r="B43" t="s">
        <v>284</v>
      </c>
      <c r="C43" t="s">
        <v>285</v>
      </c>
      <c r="D43" s="216">
        <v>3</v>
      </c>
      <c r="E43" s="216" t="s">
        <v>92</v>
      </c>
      <c r="F43" s="216" t="s">
        <v>286</v>
      </c>
      <c r="G43" s="231">
        <v>14999968</v>
      </c>
      <c r="H43" s="231">
        <v>14999968</v>
      </c>
      <c r="I43" s="231"/>
      <c r="K43" s="231"/>
      <c r="L43" s="231">
        <f>IF(J43="yes",-1*(PMT($M$3,$M$4,I43,0,0)), 0)</f>
        <v>0</v>
      </c>
      <c r="M43" s="224"/>
      <c r="N43" s="260"/>
      <c r="O43" s="224"/>
    </row>
    <row r="44" spans="1:21" hidden="1" x14ac:dyDescent="0.25">
      <c r="D44" s="216"/>
      <c r="E44" s="216"/>
      <c r="G44" s="231"/>
      <c r="H44" s="231"/>
      <c r="I44" s="272"/>
      <c r="K44" s="231"/>
      <c r="L44" s="231"/>
      <c r="M44" s="224"/>
      <c r="N44" s="260"/>
      <c r="O44" s="224"/>
    </row>
    <row r="45" spans="1:21" hidden="1" x14ac:dyDescent="0.25">
      <c r="D45" s="216"/>
      <c r="E45" s="216"/>
      <c r="G45" s="231"/>
      <c r="H45" s="231"/>
      <c r="I45" s="272"/>
      <c r="K45" s="231"/>
      <c r="L45" s="231"/>
      <c r="M45" s="224"/>
      <c r="N45" s="260"/>
      <c r="O45" s="224"/>
    </row>
    <row r="46" spans="1:21" ht="15.75" hidden="1" thickBot="1" x14ac:dyDescent="0.3">
      <c r="D46" s="216"/>
      <c r="E46" s="216"/>
      <c r="G46" s="231"/>
      <c r="H46" s="231"/>
      <c r="I46" s="272"/>
      <c r="K46" s="231"/>
      <c r="L46" s="231"/>
      <c r="M46" s="224"/>
      <c r="N46" s="260"/>
      <c r="O46" s="224"/>
    </row>
    <row r="47" spans="1:21" ht="15.75" thickBot="1" x14ac:dyDescent="0.3">
      <c r="B47" s="153" t="s">
        <v>123</v>
      </c>
      <c r="C47" s="153"/>
      <c r="D47" s="153"/>
      <c r="E47" s="153"/>
      <c r="F47" s="233"/>
      <c r="G47" s="154">
        <f>SUM(G41:G46)</f>
        <v>117682189</v>
      </c>
      <c r="H47" s="154">
        <f>SUM(H41:H46)</f>
        <v>117140189</v>
      </c>
      <c r="I47" s="273">
        <f>SUM(I41:I46)</f>
        <v>0</v>
      </c>
      <c r="J47" s="233"/>
      <c r="K47" s="154">
        <f>SUM(K41:K46)</f>
        <v>0</v>
      </c>
      <c r="L47" s="235">
        <f t="shared" ref="L47:O47" si="8">SUM(L41:L46)</f>
        <v>0</v>
      </c>
      <c r="M47" s="154">
        <f t="shared" si="8"/>
        <v>0</v>
      </c>
      <c r="N47" s="154">
        <f t="shared" si="8"/>
        <v>0</v>
      </c>
      <c r="O47" s="154">
        <f t="shared" si="8"/>
        <v>0</v>
      </c>
    </row>
    <row r="48" spans="1:21" ht="16.5" thickTop="1" thickBot="1" x14ac:dyDescent="0.3">
      <c r="B48" s="155" t="s">
        <v>124</v>
      </c>
      <c r="C48" s="155"/>
      <c r="D48" s="155"/>
      <c r="E48" s="155"/>
      <c r="F48" s="234"/>
      <c r="G48" s="156">
        <f>SUM( G12,G16,G20,G28,G32,G39,G47)</f>
        <v>1096102189</v>
      </c>
      <c r="H48" s="156">
        <f>SUM( H12,H16,H20,H28,H32,H39,H47)</f>
        <v>1021560189</v>
      </c>
      <c r="I48" s="275">
        <f>SUM( I12,I16,I20,I28,I32,I39,I47)</f>
        <v>0</v>
      </c>
      <c r="J48" s="234"/>
      <c r="K48" s="156">
        <f>SUM( K12,K16,K20,K28,K32,K39,K47)</f>
        <v>0</v>
      </c>
      <c r="L48" s="237">
        <f>SUM( L12,L16,L20,L28,L32,L39,L47)</f>
        <v>0</v>
      </c>
      <c r="M48" s="156">
        <f>SUM( M12,M16,M20,M28,M32,M39,M47)</f>
        <v>0</v>
      </c>
      <c r="N48" s="156">
        <f>SUM( N12,N16,N20,N28,N32,N39,N47)</f>
        <v>0</v>
      </c>
      <c r="O48" s="156">
        <f>SUM( O12,O16,O20,O28,O32,O39,O47)</f>
        <v>0</v>
      </c>
    </row>
    <row r="49" spans="9:9" ht="15.75" thickTop="1" x14ac:dyDescent="0.25">
      <c r="I49" s="263"/>
    </row>
    <row r="69" spans="9:10" ht="15.75" customHeight="1" x14ac:dyDescent="0.25"/>
    <row r="70" spans="9:10" ht="16.5" customHeight="1" x14ac:dyDescent="0.25">
      <c r="I70" s="458"/>
      <c r="J70" s="458"/>
    </row>
    <row r="96" ht="15.75" customHeight="1" x14ac:dyDescent="0.25"/>
    <row r="97" spans="9:10" ht="16.5" customHeight="1" x14ac:dyDescent="0.25">
      <c r="I97" s="458"/>
      <c r="J97" s="458"/>
    </row>
    <row r="123" spans="9:10" ht="15.75" customHeight="1" x14ac:dyDescent="0.25"/>
    <row r="124" spans="9:10" ht="16.5" customHeight="1" x14ac:dyDescent="0.25">
      <c r="I124" s="458"/>
      <c r="J124" s="458"/>
    </row>
    <row r="125" spans="9:10" ht="15.75" customHeight="1" x14ac:dyDescent="0.25">
      <c r="I125" s="458"/>
      <c r="J125" s="458"/>
    </row>
  </sheetData>
  <mergeCells count="26">
    <mergeCell ref="T10:U10"/>
    <mergeCell ref="R10:S10"/>
    <mergeCell ref="I97:J97"/>
    <mergeCell ref="I124:J124"/>
    <mergeCell ref="I7:I8"/>
    <mergeCell ref="J7:J8"/>
    <mergeCell ref="L7:L8"/>
    <mergeCell ref="M7:M8"/>
    <mergeCell ref="K7:K8"/>
    <mergeCell ref="B6:H6"/>
    <mergeCell ref="I6:J6"/>
    <mergeCell ref="N6:O6"/>
    <mergeCell ref="L6:M6"/>
    <mergeCell ref="B7:B8"/>
    <mergeCell ref="C7:C8"/>
    <mergeCell ref="D7:D8"/>
    <mergeCell ref="E7:E8"/>
    <mergeCell ref="F7:F8"/>
    <mergeCell ref="N7:N8"/>
    <mergeCell ref="G7:G8"/>
    <mergeCell ref="H7:H8"/>
    <mergeCell ref="I2:I3"/>
    <mergeCell ref="I125:J125"/>
    <mergeCell ref="O7:O8"/>
    <mergeCell ref="L2:M2"/>
    <mergeCell ref="I70:J70"/>
  </mergeCells>
  <dataValidations count="2">
    <dataValidation type="list" allowBlank="1" showInputMessage="1" showErrorMessage="1" sqref="J72:J96 J48:J69 J41:J46 J21:J27 J17:J19 J13:J15 J10:J11 J29:J31 J33:J38 J99:J123" xr:uid="{00000000-0002-0000-0900-000000000000}">
      <formula1>$X$1:$X$2</formula1>
    </dataValidation>
    <dataValidation type="list" allowBlank="1" showInputMessage="1" showErrorMessage="1" sqref="O3" xr:uid="{00000000-0002-0000-0900-000001000000}">
      <formula1>$X$4:$X$5</formula1>
    </dataValidation>
  </dataValidations>
  <pageMargins left="0.7" right="0.7" top="0.75" bottom="0.75" header="0.3" footer="0.3"/>
  <pageSetup scale="55" orientation="landscape" r:id="rId1"/>
  <headerFoot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3" tint="0.39997558519241921"/>
  </sheetPr>
  <dimension ref="A1:V39"/>
  <sheetViews>
    <sheetView zoomScale="80" zoomScaleNormal="80" workbookViewId="0">
      <selection activeCell="C14" sqref="C14"/>
    </sheetView>
  </sheetViews>
  <sheetFormatPr defaultRowHeight="15" x14ac:dyDescent="0.25"/>
  <cols>
    <col min="1" max="1" width="10.28515625" customWidth="1"/>
    <col min="2" max="2" width="20.5703125" style="7" customWidth="1"/>
    <col min="3" max="3" width="16.5703125" style="7" customWidth="1"/>
    <col min="4" max="4" width="10.7109375" style="8" bestFit="1" customWidth="1"/>
    <col min="5" max="5" width="15.28515625" style="7" bestFit="1" customWidth="1"/>
    <col min="6" max="6" width="18" style="7" bestFit="1" customWidth="1"/>
    <col min="7" max="7" width="16.42578125" style="7" bestFit="1" customWidth="1"/>
    <col min="8" max="8" width="15.7109375" style="7" customWidth="1"/>
    <col min="9" max="9" width="16.42578125" style="7" bestFit="1" customWidth="1"/>
    <col min="10" max="10" width="10.7109375" style="8" bestFit="1" customWidth="1"/>
    <col min="11" max="11" width="10" style="8" bestFit="1" customWidth="1"/>
    <col min="12" max="12" width="15.28515625" style="7" bestFit="1" customWidth="1"/>
    <col min="13" max="13" width="10" style="8" bestFit="1" customWidth="1"/>
    <col min="14" max="14" width="9.28515625" style="7" customWidth="1"/>
    <col min="15" max="15" width="18" style="7" bestFit="1" customWidth="1"/>
    <col min="16" max="16" width="16.42578125" style="7" bestFit="1" customWidth="1"/>
    <col min="17" max="17" width="15.28515625" style="7" bestFit="1" customWidth="1"/>
    <col min="18" max="18" width="16.42578125" style="7" bestFit="1" customWidth="1"/>
    <col min="19" max="19" width="10.7109375" style="8" bestFit="1" customWidth="1"/>
    <col min="20" max="20" width="10" style="8" bestFit="1" customWidth="1"/>
    <col min="21" max="21" width="15.28515625" style="7" bestFit="1" customWidth="1"/>
    <col min="22" max="22" width="10" style="95" bestFit="1" customWidth="1"/>
  </cols>
  <sheetData>
    <row r="1" spans="1:22" ht="15.75" customHeight="1" x14ac:dyDescent="0.25">
      <c r="A1" s="9" t="s">
        <v>125</v>
      </c>
    </row>
    <row r="2" spans="1:22" ht="15.75" customHeight="1" x14ac:dyDescent="0.25">
      <c r="A2" s="10"/>
    </row>
    <row r="3" spans="1:22" x14ac:dyDescent="0.25">
      <c r="A3" s="11" t="s">
        <v>126</v>
      </c>
    </row>
    <row r="4" spans="1:22" ht="15.75" customHeight="1" thickBot="1" x14ac:dyDescent="0.3"/>
    <row r="5" spans="1:22" ht="15" customHeight="1" thickBot="1" x14ac:dyDescent="0.3">
      <c r="A5" s="408"/>
      <c r="B5" s="489" t="s">
        <v>217</v>
      </c>
      <c r="C5" s="490"/>
      <c r="D5" s="491"/>
      <c r="E5" s="492"/>
      <c r="F5" s="413" t="s">
        <v>240</v>
      </c>
      <c r="G5" s="413"/>
      <c r="H5" s="413"/>
      <c r="I5" s="413"/>
      <c r="J5" s="486"/>
      <c r="K5" s="486"/>
      <c r="L5" s="413"/>
      <c r="M5" s="414"/>
      <c r="N5" s="157"/>
      <c r="O5" s="413" t="s">
        <v>241</v>
      </c>
      <c r="P5" s="413"/>
      <c r="Q5" s="413"/>
      <c r="R5" s="413"/>
      <c r="S5" s="486"/>
      <c r="T5" s="486"/>
      <c r="U5" s="413"/>
      <c r="V5" s="414"/>
    </row>
    <row r="6" spans="1:22" ht="15" customHeight="1" x14ac:dyDescent="0.25">
      <c r="A6" s="485"/>
      <c r="B6" s="493" t="s">
        <v>37</v>
      </c>
      <c r="C6" s="499" t="s">
        <v>127</v>
      </c>
      <c r="D6" s="495" t="s">
        <v>128</v>
      </c>
      <c r="E6" s="497" t="s">
        <v>106</v>
      </c>
      <c r="F6" s="505" t="s">
        <v>37</v>
      </c>
      <c r="G6" s="501" t="s">
        <v>38</v>
      </c>
      <c r="H6" s="502"/>
      <c r="I6" s="502"/>
      <c r="J6" s="503"/>
      <c r="K6" s="504"/>
      <c r="L6" s="487" t="s">
        <v>106</v>
      </c>
      <c r="M6" s="488"/>
      <c r="N6" s="158"/>
      <c r="O6" s="507" t="s">
        <v>37</v>
      </c>
      <c r="P6" s="501" t="s">
        <v>38</v>
      </c>
      <c r="Q6" s="502"/>
      <c r="R6" s="502"/>
      <c r="S6" s="503"/>
      <c r="T6" s="504"/>
      <c r="U6" s="487" t="s">
        <v>106</v>
      </c>
      <c r="V6" s="488"/>
    </row>
    <row r="7" spans="1:22" ht="45.75" customHeight="1" thickBot="1" x14ac:dyDescent="0.3">
      <c r="A7" s="409"/>
      <c r="B7" s="494"/>
      <c r="C7" s="500"/>
      <c r="D7" s="496"/>
      <c r="E7" s="498"/>
      <c r="F7" s="506"/>
      <c r="G7" s="159" t="s">
        <v>129</v>
      </c>
      <c r="H7" s="160" t="s">
        <v>130</v>
      </c>
      <c r="I7" s="160" t="s">
        <v>124</v>
      </c>
      <c r="J7" s="161" t="s">
        <v>128</v>
      </c>
      <c r="K7" s="162" t="s">
        <v>349</v>
      </c>
      <c r="L7" s="243" t="s">
        <v>124</v>
      </c>
      <c r="M7" s="163" t="s">
        <v>349</v>
      </c>
      <c r="N7" s="158"/>
      <c r="O7" s="508"/>
      <c r="P7" s="159" t="s">
        <v>129</v>
      </c>
      <c r="Q7" s="160" t="s">
        <v>130</v>
      </c>
      <c r="R7" s="160" t="s">
        <v>124</v>
      </c>
      <c r="S7" s="161" t="s">
        <v>128</v>
      </c>
      <c r="T7" s="162" t="s">
        <v>350</v>
      </c>
      <c r="U7" s="243" t="s">
        <v>124</v>
      </c>
      <c r="V7" s="163" t="s">
        <v>350</v>
      </c>
    </row>
    <row r="8" spans="1:22" x14ac:dyDescent="0.25">
      <c r="A8" s="104" t="s">
        <v>36</v>
      </c>
      <c r="B8" s="105">
        <f>'OPERATING Total Funding'!C9</f>
        <v>209473238.62923893</v>
      </c>
      <c r="C8" s="164">
        <v>20550838</v>
      </c>
      <c r="D8" s="365">
        <f>IF(B8 &gt; 0, C8/SUM(B8,C8), "")</f>
        <v>8.9342117143348346E-2</v>
      </c>
      <c r="E8" s="60">
        <v>0</v>
      </c>
      <c r="F8" s="165">
        <f>VLOOKUP($A8, 'OPERATING Total Funding'!$A$9:$W$32, 13, 0)</f>
        <v>209473238.62923893</v>
      </c>
      <c r="G8" s="164">
        <v>18528752.440000001</v>
      </c>
      <c r="H8" s="231">
        <f>IFERROR(VLOOKUP(A8, 'CAPITAL Project Requests'!$A$9:$O$48, 12, 0), 0)</f>
        <v>0</v>
      </c>
      <c r="I8" s="166">
        <f>SUM(G8:H8)</f>
        <v>18528752.440000001</v>
      </c>
      <c r="J8" s="347">
        <f t="shared" ref="J8:J15" si="0">IF(F8 &gt; 0, I8/SUM(F8,I8), "")</f>
        <v>8.126574839591312E-2</v>
      </c>
      <c r="K8" s="348">
        <f t="shared" ref="K8:K16" si="1">IF($C8 &gt; 0, (I8-$C8)/$C8, "")</f>
        <v>-9.8394311706413079E-2</v>
      </c>
      <c r="L8" s="231">
        <f>IFERROR(VLOOKUP(A8, 'CAPITAL Project Requests'!A9:O48, 11,0), 0)</f>
        <v>0</v>
      </c>
      <c r="M8" s="359" t="str">
        <f>IF($E8 &gt; 0, (L8-$E8)/$E8, "")</f>
        <v/>
      </c>
      <c r="N8" s="167"/>
      <c r="O8" s="165">
        <f>VLOOKUP($A8, 'OPERATING Total Funding'!$A$9:$W$32, 22, 0)</f>
        <v>209473238.62923893</v>
      </c>
      <c r="P8" s="164">
        <v>18526234.699999999</v>
      </c>
      <c r="Q8" s="231">
        <f>IFERROR(VLOOKUP($A8, 'CAPITAL Project Requests'!$A$9:$O$48, 14, 0), 0)</f>
        <v>0</v>
      </c>
      <c r="R8" s="97">
        <f t="shared" ref="R8:R18" si="2">SUM(P8:Q8)</f>
        <v>18526234.699999999</v>
      </c>
      <c r="S8" s="347">
        <f t="shared" ref="S8:S17" si="3">IF(O8 &gt; 0, R8/SUM(O8,R8), "")</f>
        <v>8.1255603048027619E-2</v>
      </c>
      <c r="T8" s="348">
        <f>IF($C8 &gt; 0, (R8-$C8)/$C8, "")</f>
        <v>-9.8516824472072662E-2</v>
      </c>
      <c r="U8" s="231">
        <f>IFERROR(VLOOKUP($A8, 'CAPITAL Project Requests'!$A$9:$O$48, 13, 0), 0)</f>
        <v>0</v>
      </c>
      <c r="V8" s="359" t="str">
        <f t="shared" ref="V8:V16" si="4">IF($E8 &gt; 0, (U8-$E8)/$E8, "")</f>
        <v/>
      </c>
    </row>
    <row r="9" spans="1:22" x14ac:dyDescent="0.25">
      <c r="A9" s="109" t="s">
        <v>40</v>
      </c>
      <c r="B9" s="60">
        <f>'OPERATING Total Funding'!C10</f>
        <v>15749696.253717061</v>
      </c>
      <c r="C9" s="63">
        <v>0</v>
      </c>
      <c r="D9" s="350">
        <f t="shared" ref="D9:D17" si="5">IF(B9 &gt; 0, C9/SUM(B9,C9), "")</f>
        <v>0</v>
      </c>
      <c r="E9" s="60">
        <v>0</v>
      </c>
      <c r="F9" s="106">
        <f>VLOOKUP(A9, 'OPERATING Total Funding'!$A$9:$W$32, 13, 0)</f>
        <v>15749696.253717061</v>
      </c>
      <c r="G9" s="63">
        <v>0</v>
      </c>
      <c r="H9" s="231">
        <f>IFERROR(VLOOKUP(A9, 'CAPITAL Project Requests'!$A$9:$O$48, 12, 0), 0)</f>
        <v>0</v>
      </c>
      <c r="I9" s="97">
        <f t="shared" ref="I9:I17" si="6">SUM(G9:H9)</f>
        <v>0</v>
      </c>
      <c r="J9" s="349">
        <f t="shared" si="0"/>
        <v>0</v>
      </c>
      <c r="K9" s="350" t="str">
        <f t="shared" si="1"/>
        <v/>
      </c>
      <c r="L9" s="231">
        <f>IFERROR(VLOOKUP(A9, 'CAPITAL Project Requests'!A10:O49, 11,0), 0)</f>
        <v>0</v>
      </c>
      <c r="M9" s="360" t="str">
        <f t="shared" ref="M9:M16" si="7">IF($E9 &gt; 0, (L9-$E9)/$E9, "")</f>
        <v/>
      </c>
      <c r="N9" s="168"/>
      <c r="O9" s="60">
        <f>VLOOKUP($A9, 'OPERATING Total Funding'!$A$9:$W$32, 22, 0)</f>
        <v>15749696.253717061</v>
      </c>
      <c r="P9" s="63">
        <v>0</v>
      </c>
      <c r="Q9" s="97">
        <f>IFERROR(VLOOKUP(A9, 'CAPITAL Project Requests'!$A$9:$O$48, 14, 0), 0)</f>
        <v>0</v>
      </c>
      <c r="R9" s="97">
        <f t="shared" si="2"/>
        <v>0</v>
      </c>
      <c r="S9" s="349">
        <f t="shared" si="3"/>
        <v>0</v>
      </c>
      <c r="T9" s="350" t="str">
        <f t="shared" ref="T9:T16" si="8">IF($C9 &gt; 0, (R9-$C9)/$C9, "")</f>
        <v/>
      </c>
      <c r="U9" s="231">
        <f>IFERROR(VLOOKUP($A9, 'CAPITAL Project Requests'!$A$9:$O$48, 13, 0), 0)</f>
        <v>0</v>
      </c>
      <c r="V9" s="360" t="str">
        <f t="shared" si="4"/>
        <v/>
      </c>
    </row>
    <row r="10" spans="1:22" x14ac:dyDescent="0.25">
      <c r="A10" s="109" t="s">
        <v>41</v>
      </c>
      <c r="B10" s="60">
        <f>'OPERATING Total Funding'!C11</f>
        <v>17429044.75952914</v>
      </c>
      <c r="C10" s="63">
        <v>0</v>
      </c>
      <c r="D10" s="350">
        <f t="shared" si="5"/>
        <v>0</v>
      </c>
      <c r="E10" s="60">
        <v>0</v>
      </c>
      <c r="F10" s="106">
        <f>VLOOKUP(A10, 'OPERATING Total Funding'!$A$9:$W$32, 13, 0)</f>
        <v>17429044.75952914</v>
      </c>
      <c r="G10" s="63">
        <v>0</v>
      </c>
      <c r="H10" s="231">
        <f>IFERROR(VLOOKUP(A10, 'CAPITAL Project Requests'!$A$9:$O$48, 12, 0), 0)</f>
        <v>0</v>
      </c>
      <c r="I10" s="97">
        <f t="shared" si="6"/>
        <v>0</v>
      </c>
      <c r="J10" s="349">
        <f t="shared" si="0"/>
        <v>0</v>
      </c>
      <c r="K10" s="350" t="str">
        <f t="shared" si="1"/>
        <v/>
      </c>
      <c r="L10" s="231">
        <f>IFERROR(VLOOKUP(A10, 'CAPITAL Project Requests'!A11:O50, 11,0), 0)</f>
        <v>0</v>
      </c>
      <c r="M10" s="360" t="str">
        <f t="shared" si="7"/>
        <v/>
      </c>
      <c r="N10" s="168"/>
      <c r="O10" s="60">
        <f>VLOOKUP($A10, 'OPERATING Total Funding'!$A$9:$W$32, 22, 0)</f>
        <v>17429044.75952914</v>
      </c>
      <c r="P10" s="63">
        <v>0</v>
      </c>
      <c r="Q10" s="97">
        <f>IFERROR(VLOOKUP(A10, 'CAPITAL Project Requests'!$A$9:$O$48, 14, 0), 0)</f>
        <v>0</v>
      </c>
      <c r="R10" s="97">
        <f t="shared" si="2"/>
        <v>0</v>
      </c>
      <c r="S10" s="349">
        <f t="shared" si="3"/>
        <v>0</v>
      </c>
      <c r="T10" s="350" t="str">
        <f t="shared" si="8"/>
        <v/>
      </c>
      <c r="U10" s="231">
        <f>IFERROR(VLOOKUP($A10, 'CAPITAL Project Requests'!$A$9:$O$48, 13, 0), 0)</f>
        <v>0</v>
      </c>
      <c r="V10" s="360" t="str">
        <f t="shared" si="4"/>
        <v/>
      </c>
    </row>
    <row r="11" spans="1:22" x14ac:dyDescent="0.25">
      <c r="A11" s="109" t="s">
        <v>42</v>
      </c>
      <c r="B11" s="60">
        <f>'OPERATING Total Funding'!C12</f>
        <v>20683340.923701819</v>
      </c>
      <c r="C11" s="63">
        <v>2987125</v>
      </c>
      <c r="D11" s="350">
        <f t="shared" si="5"/>
        <v>0.12619629075441724</v>
      </c>
      <c r="E11" s="60">
        <v>0</v>
      </c>
      <c r="F11" s="106">
        <f>VLOOKUP(A11, 'OPERATING Total Funding'!$A$9:$W$32, 13, 0)</f>
        <v>20683340.923701819</v>
      </c>
      <c r="G11" s="63">
        <v>2989875</v>
      </c>
      <c r="H11" s="231">
        <f>IFERROR(VLOOKUP(A11, 'CAPITAL Project Requests'!$A$9:$O$48, 12, 0), 0)</f>
        <v>0</v>
      </c>
      <c r="I11" s="97">
        <f t="shared" si="6"/>
        <v>2989875</v>
      </c>
      <c r="J11" s="349">
        <f t="shared" si="0"/>
        <v>0.12629779619449644</v>
      </c>
      <c r="K11" s="350">
        <f t="shared" si="1"/>
        <v>9.2061765075114035E-4</v>
      </c>
      <c r="L11" s="231">
        <f>IFERROR(VLOOKUP(A11, 'CAPITAL Project Requests'!A12:O51, 11,0), 0)</f>
        <v>0</v>
      </c>
      <c r="M11" s="360" t="str">
        <f t="shared" si="7"/>
        <v/>
      </c>
      <c r="N11" s="168"/>
      <c r="O11" s="60">
        <f>VLOOKUP($A11, 'OPERATING Total Funding'!$A$9:$W$32, 22, 0)</f>
        <v>20683340.923701819</v>
      </c>
      <c r="P11" s="63">
        <v>2987625</v>
      </c>
      <c r="Q11" s="97">
        <f>IFERROR(VLOOKUP(A11, 'CAPITAL Project Requests'!$A$9:$O$48, 14, 0), 0)</f>
        <v>0</v>
      </c>
      <c r="R11" s="97">
        <f t="shared" si="2"/>
        <v>2987625</v>
      </c>
      <c r="S11" s="349">
        <f t="shared" si="3"/>
        <v>0.12621474804323388</v>
      </c>
      <c r="T11" s="350">
        <f t="shared" si="8"/>
        <v>1.6738502740929823E-4</v>
      </c>
      <c r="U11" s="231">
        <f>IFERROR(VLOOKUP($A11, 'CAPITAL Project Requests'!$A$9:$O$48, 13, 0), 0)</f>
        <v>0</v>
      </c>
      <c r="V11" s="360" t="str">
        <f t="shared" si="4"/>
        <v/>
      </c>
    </row>
    <row r="12" spans="1:22" x14ac:dyDescent="0.25">
      <c r="A12" s="109" t="s">
        <v>43</v>
      </c>
      <c r="B12" s="60">
        <f>'OPERATING Total Funding'!C13</f>
        <v>134999999.50916311</v>
      </c>
      <c r="C12" s="63">
        <v>4340992</v>
      </c>
      <c r="D12" s="350">
        <f t="shared" si="5"/>
        <v>3.1153732673952838E-2</v>
      </c>
      <c r="E12" s="60">
        <v>0</v>
      </c>
      <c r="F12" s="106">
        <f>VLOOKUP(A12, 'OPERATING Total Funding'!$A$9:$W$32, 13, 0)</f>
        <v>134999999.50916311</v>
      </c>
      <c r="G12" s="63">
        <v>4339198</v>
      </c>
      <c r="H12" s="231">
        <f>IFERROR(VLOOKUP(A12, 'CAPITAL Project Requests'!$A$9:$O$48, 12, 0), 0)</f>
        <v>0</v>
      </c>
      <c r="I12" s="97">
        <f t="shared" si="6"/>
        <v>4339198</v>
      </c>
      <c r="J12" s="349">
        <f t="shared" si="0"/>
        <v>3.1141258723803467E-2</v>
      </c>
      <c r="K12" s="350">
        <f t="shared" si="1"/>
        <v>-4.1326959367812702E-4</v>
      </c>
      <c r="L12" s="231">
        <f>IFERROR(VLOOKUP(A12, 'CAPITAL Project Requests'!A13:O52, 11,0), 0)</f>
        <v>0</v>
      </c>
      <c r="M12" s="360" t="str">
        <f>IF($E12 &gt; 0, (L12-$E12)/$E12, "")</f>
        <v/>
      </c>
      <c r="N12" s="168"/>
      <c r="O12" s="60">
        <f>VLOOKUP($A12, 'OPERATING Total Funding'!$A$9:$W$32, 22, 0)</f>
        <v>134999999.50916311</v>
      </c>
      <c r="P12" s="63">
        <v>4337415</v>
      </c>
      <c r="Q12" s="97">
        <f>IFERROR(VLOOKUP(A12, 'CAPITAL Project Requests'!$A$9:$O$48, 14, 0), 0)</f>
        <v>0</v>
      </c>
      <c r="R12" s="97">
        <f t="shared" si="2"/>
        <v>4337415</v>
      </c>
      <c r="S12" s="349">
        <f t="shared" si="3"/>
        <v>3.1128860940036768E-2</v>
      </c>
      <c r="T12" s="350">
        <f t="shared" si="8"/>
        <v>-8.2400520434039036E-4</v>
      </c>
      <c r="U12" s="231">
        <f>IFERROR(VLOOKUP($A12, 'CAPITAL Project Requests'!$A$9:$O$48, 13, 0), 0)</f>
        <v>0</v>
      </c>
      <c r="V12" s="360" t="str">
        <f t="shared" si="4"/>
        <v/>
      </c>
    </row>
    <row r="13" spans="1:22" x14ac:dyDescent="0.25">
      <c r="A13" s="109" t="s">
        <v>44</v>
      </c>
      <c r="B13" s="60">
        <f>'OPERATING Total Funding'!C14</f>
        <v>26617832.603080567</v>
      </c>
      <c r="C13" s="63">
        <v>1445000</v>
      </c>
      <c r="D13" s="350">
        <f t="shared" si="5"/>
        <v>5.1491594609782074E-2</v>
      </c>
      <c r="E13" s="60">
        <v>0</v>
      </c>
      <c r="F13" s="106">
        <f>VLOOKUP(A13, 'OPERATING Total Funding'!$A$9:$W$32, 13, 0)</f>
        <v>26617832.603080567</v>
      </c>
      <c r="G13" s="63">
        <v>1447700</v>
      </c>
      <c r="H13" s="231">
        <f>IFERROR(VLOOKUP(A13, 'CAPITAL Project Requests'!$A$9:$O$48, 12, 0), 0)</f>
        <v>0</v>
      </c>
      <c r="I13" s="97">
        <f t="shared" si="6"/>
        <v>1447700</v>
      </c>
      <c r="J13" s="349">
        <f t="shared" si="0"/>
        <v>5.1582844354826018E-2</v>
      </c>
      <c r="K13" s="350">
        <f t="shared" si="1"/>
        <v>1.8685121107266437E-3</v>
      </c>
      <c r="L13" s="231">
        <f>IFERROR(VLOOKUP(A13, 'CAPITAL Project Requests'!A14:O53, 11,0), 0)</f>
        <v>0</v>
      </c>
      <c r="M13" s="360" t="str">
        <f t="shared" si="7"/>
        <v/>
      </c>
      <c r="N13" s="168"/>
      <c r="O13" s="60">
        <f>VLOOKUP($A13, 'OPERATING Total Funding'!$A$9:$W$32, 22, 0)</f>
        <v>26617832.603080567</v>
      </c>
      <c r="P13" s="63">
        <v>1443150</v>
      </c>
      <c r="Q13" s="97">
        <f>IFERROR(VLOOKUP(A13, 'CAPITAL Project Requests'!$A$9:$O$48, 14, 0), 0)</f>
        <v>0</v>
      </c>
      <c r="R13" s="97">
        <f t="shared" si="2"/>
        <v>1443150</v>
      </c>
      <c r="S13" s="349">
        <f t="shared" si="3"/>
        <v>5.1429061498422704E-2</v>
      </c>
      <c r="T13" s="350">
        <f t="shared" si="8"/>
        <v>-1.2802768166089965E-3</v>
      </c>
      <c r="U13" s="231">
        <f>IFERROR(VLOOKUP($A13, 'CAPITAL Project Requests'!$A$9:$O$48, 13, 0), 0)</f>
        <v>0</v>
      </c>
      <c r="V13" s="360" t="str">
        <f t="shared" si="4"/>
        <v/>
      </c>
    </row>
    <row r="14" spans="1:22" x14ac:dyDescent="0.25">
      <c r="A14" s="109" t="s">
        <v>45</v>
      </c>
      <c r="B14" s="60">
        <f>'OPERATING Total Funding'!C15</f>
        <v>22481327.718158279</v>
      </c>
      <c r="C14" s="63">
        <v>0</v>
      </c>
      <c r="D14" s="350">
        <f t="shared" si="5"/>
        <v>0</v>
      </c>
      <c r="E14" s="60">
        <v>0</v>
      </c>
      <c r="F14" s="106">
        <f>VLOOKUP(A14, 'OPERATING Total Funding'!$A$9:$W$32, 13, 0)</f>
        <v>22481327.718158279</v>
      </c>
      <c r="G14" s="63">
        <v>0</v>
      </c>
      <c r="H14" s="231">
        <f>IFERROR(VLOOKUP(A14, 'CAPITAL Project Requests'!$A$9:$O$48, 12, 0), 0)</f>
        <v>0</v>
      </c>
      <c r="I14" s="97">
        <f t="shared" si="6"/>
        <v>0</v>
      </c>
      <c r="J14" s="349">
        <f t="shared" si="0"/>
        <v>0</v>
      </c>
      <c r="K14" s="350" t="str">
        <f t="shared" si="1"/>
        <v/>
      </c>
      <c r="L14" s="231">
        <f>IFERROR(VLOOKUP(A14, 'CAPITAL Project Requests'!A15:O54, 11,0), 0)</f>
        <v>0</v>
      </c>
      <c r="M14" s="360" t="str">
        <f t="shared" si="7"/>
        <v/>
      </c>
      <c r="N14" s="168"/>
      <c r="O14" s="60">
        <f>VLOOKUP($A14, 'OPERATING Total Funding'!$A$9:$W$32, 22, 0)</f>
        <v>22481327.718158279</v>
      </c>
      <c r="P14" s="63">
        <v>0</v>
      </c>
      <c r="Q14" s="97">
        <f>IFERROR(VLOOKUP(A14, 'CAPITAL Project Requests'!$A$9:$O$48, 14, 0), 0)</f>
        <v>0</v>
      </c>
      <c r="R14" s="97">
        <f t="shared" si="2"/>
        <v>0</v>
      </c>
      <c r="S14" s="349">
        <f t="shared" si="3"/>
        <v>0</v>
      </c>
      <c r="T14" s="350" t="str">
        <f t="shared" si="8"/>
        <v/>
      </c>
      <c r="U14" s="231">
        <f>IFERROR(VLOOKUP($A14, 'CAPITAL Project Requests'!$A$9:$O$48, 13, 0), 0)</f>
        <v>0</v>
      </c>
      <c r="V14" s="360" t="str">
        <f t="shared" si="4"/>
        <v/>
      </c>
    </row>
    <row r="15" spans="1:22" x14ac:dyDescent="0.25">
      <c r="A15" s="109" t="s">
        <v>46</v>
      </c>
      <c r="B15" s="60">
        <f>'OPERATING Total Funding'!C16</f>
        <v>128424160</v>
      </c>
      <c r="C15" s="63">
        <v>6969186</v>
      </c>
      <c r="D15" s="350">
        <f t="shared" si="5"/>
        <v>5.1473622640214538E-2</v>
      </c>
      <c r="E15" s="60">
        <v>0</v>
      </c>
      <c r="F15" s="106">
        <f>VLOOKUP(A15, 'OPERATING Total Funding'!$A$9:$W$32, 13, 0)</f>
        <v>128424160</v>
      </c>
      <c r="G15" s="63">
        <v>6966301</v>
      </c>
      <c r="H15" s="231">
        <f>IFERROR(VLOOKUP(A15, 'CAPITAL Project Requests'!$A$9:$O$48, 12, 0), 0)</f>
        <v>0</v>
      </c>
      <c r="I15" s="97">
        <f t="shared" si="6"/>
        <v>6966301</v>
      </c>
      <c r="J15" s="349">
        <f t="shared" si="0"/>
        <v>5.1453410739180507E-2</v>
      </c>
      <c r="K15" s="350">
        <f t="shared" si="1"/>
        <v>-4.1396513165239095E-4</v>
      </c>
      <c r="L15" s="231">
        <f>IFERROR(VLOOKUP(A15, 'CAPITAL Project Requests'!A16:O55, 11,0), 0)</f>
        <v>0</v>
      </c>
      <c r="M15" s="360" t="str">
        <f t="shared" si="7"/>
        <v/>
      </c>
      <c r="N15" s="168"/>
      <c r="O15" s="60">
        <f>VLOOKUP($A15, 'OPERATING Total Funding'!$A$9:$W$32, 22, 0)</f>
        <v>128424160</v>
      </c>
      <c r="P15" s="63">
        <v>6965787</v>
      </c>
      <c r="Q15" s="97">
        <f>IFERROR(VLOOKUP(A15, 'CAPITAL Project Requests'!$A$9:$O$48, 14, 0), 0)</f>
        <v>0</v>
      </c>
      <c r="R15" s="97">
        <f t="shared" si="2"/>
        <v>6965787</v>
      </c>
      <c r="S15" s="349">
        <f t="shared" si="3"/>
        <v>5.1449809637638753E-2</v>
      </c>
      <c r="T15" s="350">
        <f t="shared" si="8"/>
        <v>-4.8771836481333687E-4</v>
      </c>
      <c r="U15" s="231">
        <f>IFERROR(VLOOKUP($A15, 'CAPITAL Project Requests'!$A$9:$O$48, 13, 0), 0)</f>
        <v>0</v>
      </c>
      <c r="V15" s="360" t="str">
        <f t="shared" si="4"/>
        <v/>
      </c>
    </row>
    <row r="16" spans="1:22" x14ac:dyDescent="0.25">
      <c r="A16" s="109" t="s">
        <v>47</v>
      </c>
      <c r="B16" s="60">
        <f>'OPERATING Total Funding'!C17</f>
        <v>5120388</v>
      </c>
      <c r="C16" s="63">
        <v>0</v>
      </c>
      <c r="D16" s="350">
        <f t="shared" si="5"/>
        <v>0</v>
      </c>
      <c r="E16" s="60">
        <v>0</v>
      </c>
      <c r="F16" s="106">
        <f>VLOOKUP(A16, 'OPERATING Total Funding'!$A$9:$W$32, 13, 0)</f>
        <v>5120388</v>
      </c>
      <c r="G16" s="63">
        <v>0</v>
      </c>
      <c r="H16" s="231">
        <f>IFERROR(VLOOKUP(A16, 'CAPITAL Project Requests'!$A$9:$O$48, 12, 0), 0)</f>
        <v>0</v>
      </c>
      <c r="I16" s="97">
        <f t="shared" si="6"/>
        <v>0</v>
      </c>
      <c r="J16" s="349">
        <f>IF(F16 &gt; 0, I16/SUM(F16,I16), "")</f>
        <v>0</v>
      </c>
      <c r="K16" s="350" t="str">
        <f t="shared" si="1"/>
        <v/>
      </c>
      <c r="L16" s="231">
        <f>IFERROR(VLOOKUP(A16, 'CAPITAL Project Requests'!A17:O56, 11,0), 0)</f>
        <v>0</v>
      </c>
      <c r="M16" s="360" t="str">
        <f t="shared" si="7"/>
        <v/>
      </c>
      <c r="N16" s="168"/>
      <c r="O16" s="60">
        <f>VLOOKUP($A16, 'OPERATING Total Funding'!$A$9:$W$32, 22, 0)</f>
        <v>5120388</v>
      </c>
      <c r="P16" s="63">
        <v>0</v>
      </c>
      <c r="Q16" s="97">
        <f>IFERROR(VLOOKUP(A16, 'CAPITAL Project Requests'!$A$9:$O$48, 14, 0), 0)</f>
        <v>0</v>
      </c>
      <c r="R16" s="97">
        <f t="shared" si="2"/>
        <v>0</v>
      </c>
      <c r="S16" s="349">
        <f t="shared" si="3"/>
        <v>0</v>
      </c>
      <c r="T16" s="350" t="str">
        <f t="shared" si="8"/>
        <v/>
      </c>
      <c r="U16" s="231">
        <f>IFERROR(VLOOKUP($A16, 'CAPITAL Project Requests'!$A$9:$O$48, 13, 0), 0)</f>
        <v>0</v>
      </c>
      <c r="V16" s="360" t="str">
        <f t="shared" si="4"/>
        <v/>
      </c>
    </row>
    <row r="17" spans="1:22" ht="15.75" thickBot="1" x14ac:dyDescent="0.3">
      <c r="A17" s="109" t="s">
        <v>48</v>
      </c>
      <c r="B17" s="60">
        <v>0</v>
      </c>
      <c r="C17" s="63">
        <v>0</v>
      </c>
      <c r="D17" s="350" t="str">
        <f t="shared" si="5"/>
        <v/>
      </c>
      <c r="E17" s="60">
        <v>9775862</v>
      </c>
      <c r="F17" s="106">
        <v>0</v>
      </c>
      <c r="G17" s="337">
        <v>0</v>
      </c>
      <c r="H17" s="338">
        <f>IFERROR(VLOOKUP(A17, 'CAPITAL Project Requests'!$A$9:$O$48, 12, 0), 0)</f>
        <v>0</v>
      </c>
      <c r="I17" s="339">
        <f t="shared" si="6"/>
        <v>0</v>
      </c>
      <c r="J17" s="351"/>
      <c r="K17" s="352"/>
      <c r="L17" s="231">
        <f>IFERROR(VLOOKUP(A17, 'CAPITAL Project Requests'!A18:O57, 11,0), 0)</f>
        <v>0</v>
      </c>
      <c r="M17" s="360"/>
      <c r="N17" s="168"/>
      <c r="O17" s="60">
        <v>0</v>
      </c>
      <c r="P17" s="337">
        <v>0</v>
      </c>
      <c r="Q17" s="338">
        <f>IFERROR(VLOOKUP(A17, 'CAPITAL Project Requests'!$A$9:$O$48, 14, 0), 0)</f>
        <v>0</v>
      </c>
      <c r="R17" s="339">
        <f t="shared" si="2"/>
        <v>0</v>
      </c>
      <c r="S17" s="351" t="str">
        <f t="shared" si="3"/>
        <v/>
      </c>
      <c r="T17" s="352"/>
      <c r="U17" s="231">
        <f>IFERROR(VLOOKUP($A17, 'CAPITAL Project Requests'!$A$9:$O$48, 13, 0), 0)</f>
        <v>0</v>
      </c>
      <c r="V17" s="360"/>
    </row>
    <row r="18" spans="1:22" ht="15.75" customHeight="1" thickTop="1" x14ac:dyDescent="0.25">
      <c r="A18" s="110" t="s">
        <v>65</v>
      </c>
      <c r="B18" s="111">
        <f>SUM(B8:B16)</f>
        <v>580979028.39658892</v>
      </c>
      <c r="C18" s="112">
        <f>SUM(C8:C17)</f>
        <v>36293141</v>
      </c>
      <c r="D18" s="366">
        <f>IF(B18 &gt; 0, C18/SUM(B18,C18), "")</f>
        <v>5.8796010575818063E-2</v>
      </c>
      <c r="E18" s="112">
        <f>SUM(E8:E17)</f>
        <v>9775862</v>
      </c>
      <c r="F18" s="111">
        <f>SUM(F8:F16)</f>
        <v>580979028.39658892</v>
      </c>
      <c r="G18" s="340">
        <f>SUM(G8:G17)</f>
        <v>34271826.439999998</v>
      </c>
      <c r="H18" s="340">
        <f t="shared" ref="H18:K18" si="9">SUM(H8:H17)</f>
        <v>0</v>
      </c>
      <c r="I18" s="340">
        <f t="shared" si="9"/>
        <v>34271826.439999998</v>
      </c>
      <c r="J18" s="353">
        <f t="shared" si="9"/>
        <v>0.34174105840821956</v>
      </c>
      <c r="K18" s="354">
        <f t="shared" si="9"/>
        <v>-9.6432416670265808E-2</v>
      </c>
      <c r="L18" s="112">
        <f>SUM(L8:L17)</f>
        <v>0</v>
      </c>
      <c r="M18" s="361">
        <f>IF($E18 &gt; 0, (L18-$E18)/$E18, "")</f>
        <v>-1</v>
      </c>
      <c r="N18" s="170"/>
      <c r="O18" s="111">
        <f>SUM(O8:O16)</f>
        <v>580979028.39658892</v>
      </c>
      <c r="P18" s="340">
        <f>SUM(P8:P17)</f>
        <v>34260211.700000003</v>
      </c>
      <c r="Q18" s="340">
        <f t="shared" ref="Q18" si="10">SUM(Q8:Q17)</f>
        <v>0</v>
      </c>
      <c r="R18" s="340">
        <f t="shared" si="2"/>
        <v>34260211.700000003</v>
      </c>
      <c r="S18" s="353">
        <f t="shared" ref="S18" si="11">SUM(S8:S17)</f>
        <v>0.34147808316735973</v>
      </c>
      <c r="T18" s="354">
        <f t="shared" ref="T18" si="12">SUM(T8:T17)</f>
        <v>-0.10094143983042608</v>
      </c>
      <c r="U18" s="112">
        <f>SUM(U8:U16)</f>
        <v>0</v>
      </c>
      <c r="V18" s="361">
        <f>IF($E18 &gt; 0, (U18-$E18)/$E18, "")</f>
        <v>-1</v>
      </c>
    </row>
    <row r="19" spans="1:22" ht="15.75" thickBot="1" x14ac:dyDescent="0.3">
      <c r="A19" s="118"/>
      <c r="B19" s="108"/>
      <c r="C19" s="335"/>
      <c r="D19" s="367"/>
      <c r="E19" s="108"/>
      <c r="F19" s="123"/>
      <c r="G19" s="119"/>
      <c r="H19" s="121"/>
      <c r="I19" s="121"/>
      <c r="J19" s="355"/>
      <c r="K19" s="356"/>
      <c r="L19" s="121"/>
      <c r="M19" s="362"/>
      <c r="N19" s="168"/>
      <c r="O19" s="108"/>
      <c r="P19" s="119"/>
      <c r="Q19" s="121"/>
      <c r="R19" s="121"/>
      <c r="S19" s="355"/>
      <c r="T19" s="356"/>
      <c r="U19" s="121"/>
      <c r="V19" s="362"/>
    </row>
    <row r="20" spans="1:22" x14ac:dyDescent="0.25">
      <c r="A20" s="109" t="s">
        <v>50</v>
      </c>
      <c r="B20" s="60">
        <f>'OPERATING Total Funding'!C20</f>
        <v>235971844.37694469</v>
      </c>
      <c r="C20" s="63">
        <v>27982200</v>
      </c>
      <c r="D20" s="350">
        <f t="shared" ref="D20:D26" si="13">IF(B20 &gt; 0, C20/SUM(B20,C20), "")</f>
        <v>0.10601163572261646</v>
      </c>
      <c r="E20" s="60">
        <f>'CAPITAL Project Requests'!K34+'CAPITAL Project Requests'!K36</f>
        <v>0</v>
      </c>
      <c r="F20" s="165">
        <f>VLOOKUP(A20, 'OPERATING Total Funding'!$A$9:$W$32, 13, 0)</f>
        <v>252971844.37694469</v>
      </c>
      <c r="G20" s="63">
        <v>27485700</v>
      </c>
      <c r="H20" s="231">
        <f>IFERROR(VLOOKUP(A20, 'CAPITAL Project Requests'!$A$9:$O$48, 12, 0), 0)</f>
        <v>0</v>
      </c>
      <c r="I20" s="97">
        <f>SUM(G20:H20)</f>
        <v>27485700</v>
      </c>
      <c r="J20" s="349">
        <f t="shared" ref="J20:J24" si="14">IF(F20 &gt; 0, I20/SUM(F20,I20), "")</f>
        <v>9.8003068739196647E-2</v>
      </c>
      <c r="K20" s="350">
        <f t="shared" ref="K20:K25" si="15">IF($C20 &gt; 0, (I20-$C20)/$C20, "")</f>
        <v>-1.774342260436992E-2</v>
      </c>
      <c r="L20" s="231">
        <f>IFERROR(VLOOKUP(A20, 'CAPITAL Project Requests'!A21:O60, 11,0), 0)</f>
        <v>0</v>
      </c>
      <c r="M20" s="360" t="str">
        <f t="shared" ref="M20:M24" si="16">IF($E20 &gt; 0, (L20-$E20)/$E20, "")</f>
        <v/>
      </c>
      <c r="N20" s="168"/>
      <c r="O20" s="165">
        <f>VLOOKUP($A20, 'OPERATING Total Funding'!$A$9:$W$32, 22, 0)</f>
        <v>252971844.37694469</v>
      </c>
      <c r="P20" s="63">
        <v>24141450</v>
      </c>
      <c r="Q20" s="231">
        <f>IFERROR(VLOOKUP(A20, 'CAPITAL Project Requests'!$A$9:$O$48, 14, 0), 0)</f>
        <v>0</v>
      </c>
      <c r="R20" s="97">
        <f t="shared" ref="R20:R25" si="17">SUM(P20:Q20)</f>
        <v>24141450</v>
      </c>
      <c r="S20" s="349">
        <f t="shared" ref="S20:S24" si="18">IF(O20 &gt; 0, R20/SUM(O20,R20), "")</f>
        <v>8.7117617558836707E-2</v>
      </c>
      <c r="T20" s="350">
        <f t="shared" ref="T20:T25" si="19">IF($C20 &gt; 0, (R20-$C20)/$C20, "")</f>
        <v>-0.13725689902866822</v>
      </c>
      <c r="U20" s="231">
        <f>IFERROR(VLOOKUP($A20, 'CAPITAL Project Requests'!$A$9:$O$48, 13, 0), 0)</f>
        <v>0</v>
      </c>
      <c r="V20" s="360" t="str">
        <f t="shared" ref="V20:V24" si="20">IF($E20 &gt; 0, (U20-$E20)/$E20, "")</f>
        <v/>
      </c>
    </row>
    <row r="21" spans="1:22" x14ac:dyDescent="0.25">
      <c r="A21" s="109" t="s">
        <v>51</v>
      </c>
      <c r="B21" s="60">
        <f>'OPERATING Total Funding'!C21</f>
        <v>50661478.826272801</v>
      </c>
      <c r="C21" s="63">
        <v>3788430</v>
      </c>
      <c r="D21" s="350">
        <f t="shared" si="13"/>
        <v>6.957642504209359E-2</v>
      </c>
      <c r="E21" s="60">
        <v>0</v>
      </c>
      <c r="F21" s="106">
        <f>VLOOKUP(A21, 'OPERATING Total Funding'!$A$9:$W$32, 13, 0)</f>
        <v>50661478.826272801</v>
      </c>
      <c r="G21" s="63">
        <v>3781240</v>
      </c>
      <c r="H21" s="231">
        <f>IFERROR(VLOOKUP(A21, 'CAPITAL Project Requests'!$A$9:$O$48, 12, 0), 0)</f>
        <v>0</v>
      </c>
      <c r="I21" s="97">
        <f>SUM(G21:H21)</f>
        <v>3781240</v>
      </c>
      <c r="J21" s="349">
        <f t="shared" si="14"/>
        <v>6.9453548270907828E-2</v>
      </c>
      <c r="K21" s="350">
        <f t="shared" si="15"/>
        <v>-1.8978838199465214E-3</v>
      </c>
      <c r="L21" s="231">
        <f>IFERROR(VLOOKUP(A21, 'CAPITAL Project Requests'!A22:O61, 11,0), 0)</f>
        <v>0</v>
      </c>
      <c r="M21" s="360" t="str">
        <f t="shared" si="16"/>
        <v/>
      </c>
      <c r="N21" s="168"/>
      <c r="O21" s="60">
        <f>VLOOKUP($A21, 'OPERATING Total Funding'!$A$9:$W$32, 22, 0)</f>
        <v>50661478.826272801</v>
      </c>
      <c r="P21" s="63">
        <v>3780740</v>
      </c>
      <c r="Q21" s="97">
        <f>IFERROR(VLOOKUP(A21, 'CAPITAL Project Requests'!$A$9:$O$48, 14, 0), 0)</f>
        <v>0</v>
      </c>
      <c r="R21" s="97">
        <f t="shared" si="17"/>
        <v>3780740</v>
      </c>
      <c r="S21" s="349">
        <f t="shared" si="18"/>
        <v>6.9445002086790136E-2</v>
      </c>
      <c r="T21" s="350">
        <f t="shared" si="19"/>
        <v>-2.0298646141013559E-3</v>
      </c>
      <c r="U21" s="231">
        <f>IFERROR(VLOOKUP($A21, 'CAPITAL Project Requests'!$A$9:$O$48, 13, 0), 0)</f>
        <v>0</v>
      </c>
      <c r="V21" s="360" t="str">
        <f t="shared" si="20"/>
        <v/>
      </c>
    </row>
    <row r="22" spans="1:22" x14ac:dyDescent="0.25">
      <c r="A22" s="109" t="s">
        <v>52</v>
      </c>
      <c r="B22" s="60">
        <f>'OPERATING Total Funding'!C22</f>
        <v>18973866</v>
      </c>
      <c r="C22" s="63">
        <v>0</v>
      </c>
      <c r="D22" s="350">
        <f t="shared" si="13"/>
        <v>0</v>
      </c>
      <c r="E22" s="60">
        <v>0</v>
      </c>
      <c r="F22" s="106">
        <f>VLOOKUP(A22, 'OPERATING Total Funding'!$A$9:$W$32, 13, 0)</f>
        <v>18973866</v>
      </c>
      <c r="G22" s="63">
        <v>0</v>
      </c>
      <c r="H22" s="231">
        <f>IFERROR(VLOOKUP(A22, 'CAPITAL Project Requests'!$A$9:$O$48, 12, 0), 0)</f>
        <v>0</v>
      </c>
      <c r="I22" s="97">
        <f>SUM(G22:H22)</f>
        <v>0</v>
      </c>
      <c r="J22" s="349">
        <f t="shared" si="14"/>
        <v>0</v>
      </c>
      <c r="K22" s="350" t="str">
        <f t="shared" si="15"/>
        <v/>
      </c>
      <c r="L22" s="231">
        <f>IFERROR(VLOOKUP(A22, 'CAPITAL Project Requests'!A23:O62, 11,0), 0)</f>
        <v>0</v>
      </c>
      <c r="M22" s="360" t="str">
        <f t="shared" si="16"/>
        <v/>
      </c>
      <c r="N22" s="168"/>
      <c r="O22" s="60">
        <f>VLOOKUP($A22, 'OPERATING Total Funding'!$A$9:$W$32, 22, 0)</f>
        <v>18973866</v>
      </c>
      <c r="P22" s="63">
        <v>0</v>
      </c>
      <c r="Q22" s="97">
        <f>IFERROR(VLOOKUP(A22, 'CAPITAL Project Requests'!$A$9:$O$48, 14, 0), 0)</f>
        <v>0</v>
      </c>
      <c r="R22" s="97">
        <f t="shared" si="17"/>
        <v>0</v>
      </c>
      <c r="S22" s="349">
        <f>IF(O22 &gt; 0, R22/SUM(O22,R22), "")</f>
        <v>0</v>
      </c>
      <c r="T22" s="350" t="str">
        <f t="shared" si="19"/>
        <v/>
      </c>
      <c r="U22" s="231">
        <f>IFERROR(VLOOKUP($A22, 'CAPITAL Project Requests'!$A$9:$O$48, 13, 0), 0)</f>
        <v>0</v>
      </c>
      <c r="V22" s="360" t="str">
        <f t="shared" si="20"/>
        <v/>
      </c>
    </row>
    <row r="23" spans="1:22" x14ac:dyDescent="0.25">
      <c r="A23" s="109" t="s">
        <v>229</v>
      </c>
      <c r="B23" s="60">
        <f>'OPERATING Total Funding'!C23</f>
        <v>17000000</v>
      </c>
      <c r="C23" s="63">
        <v>0</v>
      </c>
      <c r="D23" s="350">
        <f t="shared" si="13"/>
        <v>0</v>
      </c>
      <c r="E23" s="60">
        <f>'CAPITAL Project Requests'!K38</f>
        <v>0</v>
      </c>
      <c r="F23" s="106">
        <f>VLOOKUP(A23, 'OPERATING Total Funding'!$A$9:$W$32, 13, 0)</f>
        <v>0</v>
      </c>
      <c r="G23" s="63">
        <v>0</v>
      </c>
      <c r="H23" s="231">
        <f>IFERROR(VLOOKUP(A23, 'CAPITAL Project Requests'!$A$9:$O$48, 12, 0), 0)</f>
        <v>0</v>
      </c>
      <c r="I23" s="97"/>
      <c r="J23" s="349"/>
      <c r="K23" s="350"/>
      <c r="L23" s="231">
        <f>IFERROR(VLOOKUP(A23, 'CAPITAL Project Requests'!A24:O63, 11,0), 0)</f>
        <v>0</v>
      </c>
      <c r="M23" s="360"/>
      <c r="N23" s="168"/>
      <c r="O23" s="60">
        <f>VLOOKUP($A23, 'OPERATING Total Funding'!$A$9:$W$32, 22, 0)</f>
        <v>0</v>
      </c>
      <c r="P23" s="63">
        <v>0</v>
      </c>
      <c r="Q23" s="97">
        <f>IFERROR(VLOOKUP(A23, 'CAPITAL Project Requests'!$A$9:$O$48, 14, 0), 0)</f>
        <v>0</v>
      </c>
      <c r="R23" s="97">
        <f t="shared" si="17"/>
        <v>0</v>
      </c>
      <c r="S23" s="349" t="str">
        <f>IF(O23 &gt; 0, R23/SUM(O23,R23), "")</f>
        <v/>
      </c>
      <c r="T23" s="350"/>
      <c r="U23" s="231">
        <f>IFERROR(VLOOKUP($A23, 'CAPITAL Project Requests'!$A$9:$O$48, 13, 0), 0)</f>
        <v>0</v>
      </c>
      <c r="V23" s="360"/>
    </row>
    <row r="24" spans="1:22" ht="15.75" customHeight="1" x14ac:dyDescent="0.25">
      <c r="A24" s="109" t="s">
        <v>53</v>
      </c>
      <c r="B24" s="60">
        <f>'OPERATING Total Funding'!C24</f>
        <v>47438548.772700101</v>
      </c>
      <c r="C24" s="63">
        <v>3046250</v>
      </c>
      <c r="D24" s="350">
        <f t="shared" si="13"/>
        <v>6.033994537078901E-2</v>
      </c>
      <c r="E24" s="60">
        <f>'CAPITAL Project Requests'!K35</f>
        <v>0</v>
      </c>
      <c r="F24" s="106">
        <f>VLOOKUP(A24, 'OPERATING Total Funding'!$A$9:$W$32, 13, 0)</f>
        <v>47438548.772700101</v>
      </c>
      <c r="G24" s="63">
        <v>3044250</v>
      </c>
      <c r="H24" s="231">
        <f>IFERROR(VLOOKUP(A24, 'CAPITAL Project Requests'!$A$9:$O$48, 12, 0), 0)</f>
        <v>0</v>
      </c>
      <c r="I24" s="97">
        <f>SUM(G24:H24)</f>
        <v>3044250</v>
      </c>
      <c r="J24" s="349">
        <f t="shared" si="14"/>
        <v>6.0302718431020468E-2</v>
      </c>
      <c r="K24" s="350">
        <f t="shared" si="15"/>
        <v>-6.5654493229380391E-4</v>
      </c>
      <c r="L24" s="231">
        <f>IFERROR(VLOOKUP(A24, 'CAPITAL Project Requests'!A25:O64, 11,0), 0)</f>
        <v>0</v>
      </c>
      <c r="M24" s="360" t="str">
        <f t="shared" si="16"/>
        <v/>
      </c>
      <c r="N24" s="168"/>
      <c r="O24" s="60">
        <f>VLOOKUP($A24, 'OPERATING Total Funding'!$A$9:$W$32, 22, 0)</f>
        <v>47438548.772700101</v>
      </c>
      <c r="P24" s="63">
        <v>3040750</v>
      </c>
      <c r="Q24" s="97">
        <f>IFERROR(VLOOKUP(A24, 'CAPITAL Project Requests'!$A$9:$O$48, 14, 0), 0)</f>
        <v>0</v>
      </c>
      <c r="R24" s="97">
        <f t="shared" si="17"/>
        <v>3040750</v>
      </c>
      <c r="S24" s="349">
        <f t="shared" si="18"/>
        <v>6.0237564188282258E-2</v>
      </c>
      <c r="T24" s="350">
        <f t="shared" si="19"/>
        <v>-1.8054985638079606E-3</v>
      </c>
      <c r="U24" s="231">
        <f>IFERROR(VLOOKUP($A24, 'CAPITAL Project Requests'!$A$9:$O$48, 13, 0), 0)</f>
        <v>0</v>
      </c>
      <c r="V24" s="360" t="str">
        <f t="shared" si="20"/>
        <v/>
      </c>
    </row>
    <row r="25" spans="1:22" ht="15.75" customHeight="1" thickBot="1" x14ac:dyDescent="0.3">
      <c r="A25" s="109" t="s">
        <v>54</v>
      </c>
      <c r="B25" s="60">
        <v>0</v>
      </c>
      <c r="C25" s="63">
        <v>0</v>
      </c>
      <c r="D25" s="350" t="str">
        <f t="shared" si="13"/>
        <v/>
      </c>
      <c r="E25" s="60">
        <v>4224138</v>
      </c>
      <c r="F25" s="106">
        <v>0</v>
      </c>
      <c r="G25" s="337">
        <v>0</v>
      </c>
      <c r="H25" s="338">
        <f>IFERROR(VLOOKUP(A25, 'CAPITAL Project Requests'!$A$9:$O$48, 12, 0), 0)</f>
        <v>0</v>
      </c>
      <c r="I25" s="339">
        <f>SUM(G25:H25)</f>
        <v>0</v>
      </c>
      <c r="J25" s="351"/>
      <c r="K25" s="352" t="str">
        <f t="shared" si="15"/>
        <v/>
      </c>
      <c r="L25" s="346">
        <f>IFERROR(VLOOKUP(A25, 'CAPITAL Project Requests'!A26:O65, 11,0), 0)</f>
        <v>0</v>
      </c>
      <c r="M25" s="363"/>
      <c r="N25" s="168"/>
      <c r="O25" s="60">
        <v>0</v>
      </c>
      <c r="P25" s="63">
        <v>0</v>
      </c>
      <c r="Q25" s="97">
        <f>IFERROR(VLOOKUP(A25, 'CAPITAL Project Requests'!$A$9:$O$48, 14, 0), 0)</f>
        <v>0</v>
      </c>
      <c r="R25" s="97">
        <f t="shared" si="17"/>
        <v>0</v>
      </c>
      <c r="S25" s="349"/>
      <c r="T25" s="350" t="str">
        <f t="shared" si="19"/>
        <v/>
      </c>
      <c r="U25" s="346">
        <f>IFERROR(VLOOKUP($A25, 'CAPITAL Project Requests'!$A$9:$O$48, 13, 0), 0)</f>
        <v>0</v>
      </c>
      <c r="V25" s="363"/>
    </row>
    <row r="26" spans="1:22" ht="15.75" customHeight="1" thickTop="1" x14ac:dyDescent="0.25">
      <c r="A26" s="110" t="s">
        <v>66</v>
      </c>
      <c r="B26" s="111">
        <f>SUM(B20:B24)</f>
        <v>370045737.97591758</v>
      </c>
      <c r="C26" s="112">
        <f>SUM(C20:C25)</f>
        <v>34816880</v>
      </c>
      <c r="D26" s="366">
        <f t="shared" si="13"/>
        <v>8.5996776323940607E-2</v>
      </c>
      <c r="E26" s="112">
        <f>SUM(E20:E25)</f>
        <v>4224138</v>
      </c>
      <c r="F26" s="113">
        <f>SUM(F20:F25)</f>
        <v>370045737.97591758</v>
      </c>
      <c r="G26" s="340">
        <f>SUM(G20:G25)</f>
        <v>34311190</v>
      </c>
      <c r="H26" s="340">
        <f t="shared" ref="H26:K26" si="21">SUM(H20:H25)</f>
        <v>0</v>
      </c>
      <c r="I26" s="340">
        <f t="shared" si="21"/>
        <v>34311190</v>
      </c>
      <c r="J26" s="353">
        <f t="shared" si="21"/>
        <v>0.22775933544112495</v>
      </c>
      <c r="K26" s="353">
        <f t="shared" si="21"/>
        <v>-2.0297851356610244E-2</v>
      </c>
      <c r="L26" s="345">
        <f>SUM(L20:L25)</f>
        <v>0</v>
      </c>
      <c r="M26" s="361">
        <f>IF($E26 &gt; 0, (L26-$E26)/$E26, "")</f>
        <v>-1</v>
      </c>
      <c r="N26" s="344"/>
      <c r="O26" s="111">
        <f>SUM(O20:O24)</f>
        <v>370045737.97591758</v>
      </c>
      <c r="P26" s="112">
        <f>SUM(P20:P25)</f>
        <v>30962940</v>
      </c>
      <c r="Q26" s="112">
        <f t="shared" ref="Q26" si="22">SUM(Q20:Q25)</f>
        <v>0</v>
      </c>
      <c r="R26" s="112">
        <f t="shared" ref="R26" si="23">SUM(R20:R25)</f>
        <v>30962940</v>
      </c>
      <c r="S26" s="369">
        <f t="shared" ref="S26" si="24">SUM(S20:S25)</f>
        <v>0.21680018383390909</v>
      </c>
      <c r="T26" s="369">
        <f t="shared" ref="T26" si="25">SUM(T20:T25)</f>
        <v>-0.14109226220657753</v>
      </c>
      <c r="U26" s="345">
        <f t="shared" ref="U26" si="26">SUM(U20:U25)</f>
        <v>0</v>
      </c>
      <c r="V26" s="361">
        <f>IF($E26 &gt; 0, (U26-$E26)/$E26, "")</f>
        <v>-1</v>
      </c>
    </row>
    <row r="27" spans="1:22" ht="15.75" thickBot="1" x14ac:dyDescent="0.3">
      <c r="A27" s="118"/>
      <c r="B27" s="108"/>
      <c r="C27" s="335"/>
      <c r="D27" s="367"/>
      <c r="E27" s="108"/>
      <c r="F27" s="123"/>
      <c r="G27" s="119"/>
      <c r="H27" s="121"/>
      <c r="I27" s="121"/>
      <c r="J27" s="355"/>
      <c r="K27" s="356"/>
      <c r="L27" s="121"/>
      <c r="M27" s="362"/>
      <c r="N27" s="168"/>
      <c r="O27" s="108"/>
      <c r="P27" s="119"/>
      <c r="Q27" s="121"/>
      <c r="R27" s="121"/>
      <c r="S27" s="355"/>
      <c r="T27" s="356"/>
      <c r="U27" s="121"/>
      <c r="V27" s="362"/>
    </row>
    <row r="28" spans="1:22" x14ac:dyDescent="0.25">
      <c r="A28" s="109" t="s">
        <v>55</v>
      </c>
      <c r="B28" s="60">
        <f>'OPERATING Total Funding'!C27</f>
        <v>138952024.73652273</v>
      </c>
      <c r="C28" s="63">
        <v>21841263</v>
      </c>
      <c r="D28" s="350">
        <f t="shared" ref="D28:D33" si="27">IF(B28 &gt; 0, C28/SUM(B28,C28), "")</f>
        <v>0.13583442012697247</v>
      </c>
      <c r="E28" s="60">
        <v>0</v>
      </c>
      <c r="F28" s="165">
        <f>VLOOKUP(A28, 'OPERATING Total Funding'!$A$9:$W$32, 13, 0)</f>
        <v>138952024.73652273</v>
      </c>
      <c r="G28" s="225">
        <v>21836212.5</v>
      </c>
      <c r="H28" s="231">
        <f>IFERROR(VLOOKUP(A28, 'CAPITAL Project Requests'!$A$9:$O$48, 12, 0), 0)</f>
        <v>0</v>
      </c>
      <c r="I28" s="97">
        <f>SUM(G28:H28)</f>
        <v>21836212.5</v>
      </c>
      <c r="J28" s="349">
        <f t="shared" ref="J28:J32" si="28">IF(F28 &gt; 0, I28/SUM(F28,I28), "")</f>
        <v>0.13580727592577865</v>
      </c>
      <c r="K28" s="350">
        <f t="shared" ref="K28:K32" si="29">IF($C28 &gt; 0, (I28-$C28)/$C28, "")</f>
        <v>-2.3123662766205415E-4</v>
      </c>
      <c r="L28" s="231">
        <f>IFERROR(VLOOKUP(A28, 'CAPITAL Project Requests'!A29:O68, 11,0), 0)</f>
        <v>0</v>
      </c>
      <c r="M28" s="360" t="str">
        <f>IF($E28 &gt; 0, (L28-$E28)/$E28, "")</f>
        <v/>
      </c>
      <c r="N28" s="168"/>
      <c r="O28" s="165">
        <f>VLOOKUP($A28, 'OPERATING Total Funding'!$A$9:$W$32, 22, 0)</f>
        <v>138952024.73652273</v>
      </c>
      <c r="P28" s="63">
        <v>20324337.5</v>
      </c>
      <c r="Q28" s="231">
        <f>IFERROR(VLOOKUP(A28, 'CAPITAL Project Requests'!$A$9:$O$48, 14, 0), 0)</f>
        <v>0</v>
      </c>
      <c r="R28" s="97">
        <f>SUM(P28:Q28)</f>
        <v>20324337.5</v>
      </c>
      <c r="S28" s="349">
        <f t="shared" ref="S28:S30" si="30">IF(O28 &gt; 0, R28/SUM(O28,R28), "")</f>
        <v>0.12760422962083162</v>
      </c>
      <c r="T28" s="350">
        <f t="shared" ref="T28:T32" si="31">IF($C28 &gt; 0, (R28-$C28)/$C28, "")</f>
        <v>-6.9452279385125298E-2</v>
      </c>
      <c r="U28" s="231">
        <f>IFERROR(VLOOKUP($A28, 'CAPITAL Project Requests'!$A$9:$O$48, 13, 0), 0)</f>
        <v>0</v>
      </c>
      <c r="V28" s="360" t="str">
        <f t="shared" ref="V28:V32" si="32">IF($E28 &gt; 0, (U28-$E28)/$E28, "")</f>
        <v/>
      </c>
    </row>
    <row r="29" spans="1:22" x14ac:dyDescent="0.25">
      <c r="A29" s="109" t="s">
        <v>56</v>
      </c>
      <c r="B29" s="60">
        <f>'OPERATING Total Funding'!C28</f>
        <v>77960325.877869874</v>
      </c>
      <c r="C29" s="63">
        <v>11062732</v>
      </c>
      <c r="D29" s="350">
        <f t="shared" si="27"/>
        <v>0.12426816449258446</v>
      </c>
      <c r="E29" s="60">
        <f>'CAPITAL Project Requests'!K19</f>
        <v>0</v>
      </c>
      <c r="F29" s="106">
        <f>VLOOKUP(A29, 'OPERATING Total Funding'!$A$9:$W$32, 13, 0)</f>
        <v>77960325.877869874</v>
      </c>
      <c r="G29" s="225">
        <v>10498369.789999999</v>
      </c>
      <c r="H29" s="231">
        <f>IFERROR(VLOOKUP(A29, 'CAPITAL Project Requests'!$A$9:$O$48, 12, 0), 0)</f>
        <v>0</v>
      </c>
      <c r="I29" s="97">
        <f>SUM(G29:H29)</f>
        <v>10498369.789999999</v>
      </c>
      <c r="J29" s="349">
        <f t="shared" si="28"/>
        <v>0.11868103763837473</v>
      </c>
      <c r="K29" s="350">
        <f t="shared" si="29"/>
        <v>-5.1014723126258585E-2</v>
      </c>
      <c r="L29" s="231">
        <f>IFERROR(VLOOKUP(A29, 'CAPITAL Project Requests'!A30:O69, 11,0), 0)</f>
        <v>0</v>
      </c>
      <c r="M29" s="360" t="str">
        <f t="shared" ref="M29:M32" si="33">IF($E29 &gt; 0, (L29-$E29)/$E29, "")</f>
        <v/>
      </c>
      <c r="N29" s="168"/>
      <c r="O29" s="60">
        <f>VLOOKUP($A29, 'OPERATING Total Funding'!$A$9:$W$32, 22, 0)</f>
        <v>77960325.877869874</v>
      </c>
      <c r="P29" s="63">
        <v>10593847.27</v>
      </c>
      <c r="Q29" s="97">
        <f>IFERROR(VLOOKUP(A29, 'CAPITAL Project Requests'!$A$9:$O$48, 14, 0), 0)</f>
        <v>0</v>
      </c>
      <c r="R29" s="97">
        <f>SUM(P29:Q29)</f>
        <v>10593847.27</v>
      </c>
      <c r="S29" s="349">
        <f t="shared" si="30"/>
        <v>0.119631259526416</v>
      </c>
      <c r="T29" s="350">
        <f t="shared" si="31"/>
        <v>-4.2384171468675229E-2</v>
      </c>
      <c r="U29" s="231">
        <f>IFERROR(VLOOKUP($A29, 'CAPITAL Project Requests'!$A$9:$O$48, 13, 0), 0)</f>
        <v>0</v>
      </c>
      <c r="V29" s="360" t="str">
        <f t="shared" si="32"/>
        <v/>
      </c>
    </row>
    <row r="30" spans="1:22" x14ac:dyDescent="0.25">
      <c r="A30" s="109" t="s">
        <v>57</v>
      </c>
      <c r="B30" s="336">
        <f>'OPERATING Total Funding'!C29</f>
        <v>53831608.100641973</v>
      </c>
      <c r="C30" s="63">
        <v>12321210</v>
      </c>
      <c r="D30" s="350">
        <f t="shared" si="27"/>
        <v>0.18625374328354471</v>
      </c>
      <c r="E30" s="60">
        <v>0</v>
      </c>
      <c r="F30" s="106">
        <f>VLOOKUP(A30, 'OPERATING Total Funding'!$A$9:$W$32, 13, 0)</f>
        <v>53831608.100641973</v>
      </c>
      <c r="G30" s="225">
        <v>11847730.5</v>
      </c>
      <c r="H30" s="231">
        <f>IFERROR(VLOOKUP(A30, 'CAPITAL Project Requests'!$A$9:$O$48, 12, 0), 0)</f>
        <v>0</v>
      </c>
      <c r="I30" s="97">
        <f>SUM(G30:H30)</f>
        <v>11847730.5</v>
      </c>
      <c r="J30" s="349">
        <f t="shared" si="28"/>
        <v>0.18038748185390827</v>
      </c>
      <c r="K30" s="350">
        <f t="shared" si="29"/>
        <v>-3.8428003418495421E-2</v>
      </c>
      <c r="L30" s="231">
        <f>IFERROR(VLOOKUP(A30, 'CAPITAL Project Requests'!A31:O70, 11,0), 0)</f>
        <v>0</v>
      </c>
      <c r="M30" s="360" t="str">
        <f t="shared" si="33"/>
        <v/>
      </c>
      <c r="N30" s="168"/>
      <c r="O30" s="60">
        <f>VLOOKUP($A30, 'OPERATING Total Funding'!$A$9:$W$32, 22, 0)</f>
        <v>53831608.100641973</v>
      </c>
      <c r="P30" s="63">
        <v>8898786.25</v>
      </c>
      <c r="Q30" s="97">
        <f>IFERROR(VLOOKUP(A30, 'CAPITAL Project Requests'!$A$9:$O$48, 14, 0), 0)</f>
        <v>0</v>
      </c>
      <c r="R30" s="97">
        <f>SUM(P30:Q30)</f>
        <v>8898786.25</v>
      </c>
      <c r="S30" s="349">
        <f t="shared" si="30"/>
        <v>0.14185764878598967</v>
      </c>
      <c r="T30" s="350">
        <f t="shared" si="31"/>
        <v>-0.27776685487870106</v>
      </c>
      <c r="U30" s="231">
        <f>IFERROR(VLOOKUP($A30, 'CAPITAL Project Requests'!$A$9:$O$48, 13, 0), 0)</f>
        <v>0</v>
      </c>
      <c r="V30" s="360" t="str">
        <f t="shared" si="32"/>
        <v/>
      </c>
    </row>
    <row r="31" spans="1:22" x14ac:dyDescent="0.25">
      <c r="A31" s="109" t="s">
        <v>58</v>
      </c>
      <c r="B31" s="60">
        <f>'OPERATING Total Funding'!C30</f>
        <v>46789143.963580526</v>
      </c>
      <c r="C31" s="63">
        <v>4926544.5</v>
      </c>
      <c r="D31" s="350">
        <f t="shared" si="27"/>
        <v>9.5262088669077566E-2</v>
      </c>
      <c r="E31" s="60">
        <v>0</v>
      </c>
      <c r="F31" s="106">
        <f>VLOOKUP(A31, 'OPERATING Total Funding'!$A$9:$W$32, 13, 0)</f>
        <v>46789143.963580526</v>
      </c>
      <c r="G31" s="225">
        <v>4926598.45</v>
      </c>
      <c r="H31" s="231">
        <f>IFERROR(VLOOKUP(A31, 'CAPITAL Project Requests'!$A$9:$O$48, 12, 0), 0)</f>
        <v>0</v>
      </c>
      <c r="I31" s="97">
        <v>4913442</v>
      </c>
      <c r="J31" s="349">
        <f t="shared" si="28"/>
        <v>9.5032809450982678E-2</v>
      </c>
      <c r="K31" s="350">
        <f t="shared" si="29"/>
        <v>-2.6595720387789048E-3</v>
      </c>
      <c r="L31" s="231">
        <f>IFERROR(VLOOKUP(A31, 'CAPITAL Project Requests'!A32:O71, 11,0), 0)</f>
        <v>0</v>
      </c>
      <c r="M31" s="360" t="str">
        <f t="shared" si="33"/>
        <v/>
      </c>
      <c r="N31" s="168"/>
      <c r="O31" s="60">
        <f>VLOOKUP($A31, 'OPERATING Total Funding'!$A$9:$W$32, 22, 0)</f>
        <v>46789143.963580526</v>
      </c>
      <c r="P31" s="63">
        <v>4932055.5</v>
      </c>
      <c r="Q31" s="97">
        <f>IFERROR(VLOOKUP(A31, 'CAPITAL Project Requests'!$A$9:$O$48, 14, 0), 0)</f>
        <v>0</v>
      </c>
      <c r="R31" s="97">
        <f>SUM(P31:Q31)</f>
        <v>4932055.5</v>
      </c>
      <c r="S31" s="349">
        <f>IF(O31 &gt; 0, R31/SUM(O31,R31), "")</f>
        <v>9.5358490351193537E-2</v>
      </c>
      <c r="T31" s="350">
        <f t="shared" si="31"/>
        <v>1.1186339634199995E-3</v>
      </c>
      <c r="U31" s="231">
        <f>IFERROR(VLOOKUP($A31, 'CAPITAL Project Requests'!$A$9:$O$48, 13, 0), 0)</f>
        <v>0</v>
      </c>
      <c r="V31" s="360" t="str">
        <f t="shared" si="32"/>
        <v/>
      </c>
    </row>
    <row r="32" spans="1:22" ht="15.75" customHeight="1" thickBot="1" x14ac:dyDescent="0.3">
      <c r="A32" s="109" t="s">
        <v>59</v>
      </c>
      <c r="B32" s="60">
        <f>'OPERATING Total Funding'!C31</f>
        <v>248772294.68364924</v>
      </c>
      <c r="C32" s="63">
        <v>27602046.530000001</v>
      </c>
      <c r="D32" s="350">
        <f t="shared" si="27"/>
        <v>9.9871957754075411E-2</v>
      </c>
      <c r="E32" s="60">
        <f>'CAPITAL Project Requests'!K41</f>
        <v>0</v>
      </c>
      <c r="F32" s="106">
        <f>VLOOKUP(A32, 'OPERATING Total Funding'!$A$9:$W$32, 13, 0)</f>
        <v>248772294.68364924</v>
      </c>
      <c r="G32" s="341">
        <v>27980510.75</v>
      </c>
      <c r="H32" s="338">
        <f>IFERROR(VLOOKUP(A32, 'CAPITAL Project Requests'!$A$9:$O$48, 12, 0), 0)</f>
        <v>0</v>
      </c>
      <c r="I32" s="339">
        <f>SUM(G32:H32)</f>
        <v>27980510.75</v>
      </c>
      <c r="J32" s="351">
        <f t="shared" si="28"/>
        <v>0.10110289832891416</v>
      </c>
      <c r="K32" s="352">
        <f t="shared" si="29"/>
        <v>1.3711455039707115E-2</v>
      </c>
      <c r="L32" s="231">
        <f>IFERROR(VLOOKUP(A32, 'CAPITAL Project Requests'!A33:O72, 11,0), 0)</f>
        <v>0</v>
      </c>
      <c r="M32" s="360" t="str">
        <f t="shared" si="33"/>
        <v/>
      </c>
      <c r="N32" s="168"/>
      <c r="O32" s="60">
        <f>VLOOKUP($A32, 'OPERATING Total Funding'!$A$9:$W$32, 22, 0)</f>
        <v>248772294.68364924</v>
      </c>
      <c r="P32" s="63">
        <v>28218419</v>
      </c>
      <c r="Q32" s="97">
        <f>IFERROR(VLOOKUP(A32, 'CAPITAL Project Requests'!$A$9:$O$48, 14, 0), 0)</f>
        <v>0</v>
      </c>
      <c r="R32" s="97">
        <f>SUM(P32:Q32)</f>
        <v>28218419</v>
      </c>
      <c r="S32" s="349">
        <f>IF(O32 &gt; 0, R32/SUM(O32,R32), "")</f>
        <v>0.10187496405467304</v>
      </c>
      <c r="T32" s="350">
        <f t="shared" si="31"/>
        <v>2.2330680057729719E-2</v>
      </c>
      <c r="U32" s="231">
        <f>IFERROR(VLOOKUP($A32, 'CAPITAL Project Requests'!$A$9:$O$48, 13, 0), 0)</f>
        <v>0</v>
      </c>
      <c r="V32" s="360" t="str">
        <f t="shared" si="32"/>
        <v/>
      </c>
    </row>
    <row r="33" spans="1:22" ht="15.75" customHeight="1" thickTop="1" thickBot="1" x14ac:dyDescent="0.3">
      <c r="A33" s="171" t="s">
        <v>32</v>
      </c>
      <c r="B33" s="127">
        <f>SUM(B18,B26,B28:B32)</f>
        <v>1517330163.734771</v>
      </c>
      <c r="C33" s="127">
        <f>C18+C26+SUM(C28:C32)</f>
        <v>148863817.03</v>
      </c>
      <c r="D33" s="368">
        <f t="shared" si="27"/>
        <v>8.9343629102340519E-2</v>
      </c>
      <c r="E33" s="127">
        <f>E18+E26+SUM(E28:E32)</f>
        <v>14000000</v>
      </c>
      <c r="F33" s="127">
        <f>SUM(F18,F26,F28:F32)</f>
        <v>1517330163.734771</v>
      </c>
      <c r="G33" s="343">
        <f>SUM(G18,G26,G28:G32)</f>
        <v>145672438.43000001</v>
      </c>
      <c r="H33" s="342">
        <f t="shared" ref="H33:K33" si="34">SUM(H18,H26,H28:H32)</f>
        <v>0</v>
      </c>
      <c r="I33" s="342">
        <f t="shared" si="34"/>
        <v>145659281.97999999</v>
      </c>
      <c r="J33" s="357">
        <f t="shared" si="34"/>
        <v>1.200511897047303</v>
      </c>
      <c r="K33" s="358">
        <f t="shared" si="34"/>
        <v>-0.19535234819836389</v>
      </c>
      <c r="L33" s="253">
        <f>SUM(L18,L26,L28:L32)</f>
        <v>0</v>
      </c>
      <c r="M33" s="364">
        <f>IF($E33 &gt; 0, (L33-$E33)/$E33, "")</f>
        <v>-1</v>
      </c>
      <c r="N33" s="172"/>
      <c r="O33" s="127">
        <f>SUM(O18,O26,O28:O32)</f>
        <v>1517330163.734771</v>
      </c>
      <c r="P33" s="88">
        <f>SUM(P18,P26,P28:P32)</f>
        <v>138190597.22</v>
      </c>
      <c r="Q33" s="88">
        <f t="shared" ref="Q33" si="35">SUM(Q18,Q26,Q28:Q32)</f>
        <v>0</v>
      </c>
      <c r="R33" s="88">
        <f t="shared" ref="R33" si="36">SUM(R18,R26,R28:R32)</f>
        <v>138190597.22</v>
      </c>
      <c r="S33" s="368">
        <f t="shared" ref="S33" si="37">SUM(S18,S26,S28:S32)</f>
        <v>1.1446048593403726</v>
      </c>
      <c r="T33" s="368">
        <f t="shared" ref="T33" si="38">SUM(T18,T26,T28:T32)</f>
        <v>-0.60818769374835546</v>
      </c>
      <c r="U33" s="253">
        <f>SUM(U18,U26,U28:U32)</f>
        <v>0</v>
      </c>
      <c r="V33" s="364">
        <f>IF($E33 &gt; 0, (U33-$E33)/$E33, "")</f>
        <v>-1</v>
      </c>
    </row>
    <row r="34" spans="1:22" x14ac:dyDescent="0.25">
      <c r="I34" s="7">
        <f>I33-C33</f>
        <v>-3204535.0500000119</v>
      </c>
      <c r="R34" s="7">
        <f>R33-C33</f>
        <v>-10673219.810000002</v>
      </c>
    </row>
    <row r="39" spans="1:22" x14ac:dyDescent="0.25">
      <c r="H39" s="370"/>
    </row>
  </sheetData>
  <mergeCells count="14">
    <mergeCell ref="A5:A7"/>
    <mergeCell ref="O5:V5"/>
    <mergeCell ref="U6:V6"/>
    <mergeCell ref="B5:E5"/>
    <mergeCell ref="B6:B7"/>
    <mergeCell ref="D6:D7"/>
    <mergeCell ref="E6:E7"/>
    <mergeCell ref="C6:C7"/>
    <mergeCell ref="G6:K6"/>
    <mergeCell ref="F6:F7"/>
    <mergeCell ref="O6:O7"/>
    <mergeCell ref="P6:T6"/>
    <mergeCell ref="F5:M5"/>
    <mergeCell ref="L6:M6"/>
  </mergeCells>
  <pageMargins left="0.7" right="0.7" top="0.75" bottom="0.75" header="0.3" footer="0.3"/>
  <pageSetup scale="55" orientation="landscape" r:id="rId1"/>
  <headerFoot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RUN Overview</vt:lpstr>
      <vt:lpstr>OVERALL Summary</vt:lpstr>
      <vt:lpstr>OVERALL Summary Detail</vt:lpstr>
      <vt:lpstr>OPERATING Total Funding</vt:lpstr>
      <vt:lpstr>OPERATING IU SOMD</vt:lpstr>
      <vt:lpstr>OPERATING Funding Per FTE</vt:lpstr>
      <vt:lpstr>Performance Goals</vt:lpstr>
      <vt:lpstr>CAPITAL Project Requests</vt:lpstr>
      <vt:lpstr>CAPITAL Summary</vt:lpstr>
      <vt:lpstr>CAPITAL Debt Summary</vt:lpstr>
      <vt:lpstr>R&amp;R Funding</vt:lpstr>
      <vt:lpstr>LINE ITEM Requests</vt:lpstr>
      <vt:lpstr>LINE ITEM Dual Credit</vt:lpstr>
      <vt:lpstr>LINE ITEM Summary</vt:lpstr>
      <vt:lpstr>CAPITAL Debt Service Chart</vt:lpstr>
      <vt:lpstr>CAPITAL Outstanding Debt Chart</vt:lpstr>
      <vt:lpstr>'CAPITAL Debt Summary'!Print_Area</vt:lpstr>
      <vt:lpstr>'CAPITAL Project Requests'!Print_Area</vt:lpstr>
      <vt:lpstr>'CAPITAL Summary'!Print_Area</vt:lpstr>
      <vt:lpstr>'LINE ITEM Dual Credit'!Print_Area</vt:lpstr>
      <vt:lpstr>'OPERATING Funding Per FTE'!Print_Area</vt:lpstr>
      <vt:lpstr>'OPERATING IU SOMD'!Print_Area</vt:lpstr>
      <vt:lpstr>'OPERATING Total Funding'!Print_Area</vt:lpstr>
      <vt:lpstr>'OVERALL Summary'!Print_Area</vt:lpstr>
      <vt:lpstr>'OVERALL Summary Detail'!Print_Area</vt:lpstr>
      <vt:lpstr>'R&amp;R Funding'!Print_Area</vt:lpstr>
      <vt:lpstr>'CAPITAL Debt Summary'!Print_Titles</vt:lpstr>
      <vt:lpstr>'CAPITAL Project Requests'!Print_Titles</vt:lpstr>
      <vt:lpstr>'LINE ITEM Requests'!Print_Titles</vt:lpstr>
      <vt:lpstr>'OVERALL Summary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Hinshaw, Seth (CHE)</dc:creator>
  <cp:keywords/>
  <dc:description/>
  <cp:lastModifiedBy>Hinshaw, Seth (CHE)</cp:lastModifiedBy>
  <cp:revision/>
  <dcterms:created xsi:type="dcterms:W3CDTF">2014-09-19T12:34:06Z</dcterms:created>
  <dcterms:modified xsi:type="dcterms:W3CDTF">2025-02-24T15:54:26Z</dcterms:modified>
  <cp:category/>
  <cp:contentStatus/>
</cp:coreProperties>
</file>