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Credit'!$A$1:$I$32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Funding'!$A$1:$BC$58</definedName>
    <definedName name="_xlnm.Print_Area" localSheetId="3">'OPERATING Performance Outputs'!$A$1:$AC$30</definedName>
    <definedName name="_xlnm.Print_Area" localSheetId="4">'OPERATING Performance Per Unit'!$A$1:$K$44</definedName>
    <definedName name="_xlnm.Print_Area" localSheetId="6">'OPERATING Total Funding'!$A$1:$Z$34</definedName>
    <definedName name="_xlnm.Print_Area" localSheetId="1">'OVERALL Summary'!$A$1:$I$21</definedName>
    <definedName name="_xlnm.Print_Area" localSheetId="2">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8" l="1"/>
  <c r="B63" i="18"/>
  <c r="C63" i="18"/>
  <c r="D63" i="18"/>
  <c r="E63" i="18" s="1"/>
  <c r="G63" i="18"/>
  <c r="H63" i="18" s="1"/>
  <c r="I63" i="18"/>
  <c r="D66" i="18"/>
  <c r="E66" i="18" s="1"/>
  <c r="H66" i="18"/>
  <c r="I66" i="18" s="1"/>
  <c r="D69" i="18"/>
  <c r="E69" i="18"/>
  <c r="H69" i="18"/>
  <c r="I69" i="18" s="1"/>
  <c r="I77" i="18"/>
  <c r="I79" i="18"/>
  <c r="I80" i="18"/>
  <c r="I81" i="18"/>
  <c r="I82" i="18"/>
  <c r="I84" i="18"/>
  <c r="I85" i="18"/>
  <c r="D94" i="18"/>
  <c r="E94" i="18" s="1"/>
  <c r="H94" i="18"/>
  <c r="I94" i="18" s="1"/>
  <c r="D95" i="18"/>
  <c r="E95" i="18" s="1"/>
  <c r="H95" i="18"/>
  <c r="I95" i="18" s="1"/>
  <c r="D96" i="18"/>
  <c r="E96" i="18" s="1"/>
  <c r="H96" i="18"/>
  <c r="I96" i="18" s="1"/>
  <c r="D97" i="18"/>
  <c r="E97" i="18" s="1"/>
  <c r="H97" i="18"/>
  <c r="I97" i="18" s="1"/>
  <c r="D98" i="18"/>
  <c r="E98" i="18"/>
  <c r="H98" i="18"/>
  <c r="I98" i="18"/>
  <c r="B100" i="18"/>
  <c r="C100" i="18"/>
  <c r="D100" i="18"/>
  <c r="G100" i="18"/>
  <c r="H100" i="18" s="1"/>
  <c r="I100" i="18" s="1"/>
  <c r="D101" i="18"/>
  <c r="E101" i="18"/>
  <c r="H101" i="18"/>
  <c r="I101" i="18"/>
  <c r="D102" i="18"/>
  <c r="E102" i="18"/>
  <c r="H102" i="18"/>
  <c r="I102" i="18"/>
  <c r="D103" i="18"/>
  <c r="E103" i="18"/>
  <c r="H103" i="18"/>
  <c r="I103" i="18"/>
  <c r="D104" i="18"/>
  <c r="E104" i="18"/>
  <c r="H104" i="18"/>
  <c r="I104" i="18"/>
  <c r="D105" i="18"/>
  <c r="E105" i="18"/>
  <c r="H105" i="18"/>
  <c r="I105" i="18"/>
  <c r="B107" i="18"/>
  <c r="I107" i="18" s="1"/>
  <c r="C107" i="18"/>
  <c r="D107" i="18" s="1"/>
  <c r="E107" i="18" s="1"/>
  <c r="G107" i="18"/>
  <c r="H107" i="18"/>
  <c r="D108" i="18"/>
  <c r="E108" i="18" s="1"/>
  <c r="H108" i="18"/>
  <c r="I108" i="18" s="1"/>
  <c r="D109" i="18"/>
  <c r="E109" i="18" s="1"/>
  <c r="H109" i="18"/>
  <c r="I109" i="18" s="1"/>
  <c r="D110" i="18"/>
  <c r="E110" i="18" s="1"/>
  <c r="H110" i="18"/>
  <c r="I110" i="18" s="1"/>
  <c r="D111" i="18"/>
  <c r="E111" i="18" s="1"/>
  <c r="H111" i="18"/>
  <c r="I111" i="18" s="1"/>
  <c r="D112" i="18"/>
  <c r="E112" i="18" s="1"/>
  <c r="H112" i="18"/>
  <c r="I112" i="18" s="1"/>
  <c r="B114" i="18"/>
  <c r="C114" i="18"/>
  <c r="G114" i="18"/>
  <c r="H114" i="18" s="1"/>
  <c r="D115" i="18"/>
  <c r="E115" i="18"/>
  <c r="H115" i="18"/>
  <c r="I115" i="18"/>
  <c r="D116" i="18"/>
  <c r="E116" i="18"/>
  <c r="H116" i="18"/>
  <c r="I116" i="18"/>
  <c r="D117" i="18"/>
  <c r="E117" i="18"/>
  <c r="H117" i="18"/>
  <c r="I117" i="18"/>
  <c r="D118" i="18"/>
  <c r="E118" i="18"/>
  <c r="H118" i="18"/>
  <c r="I118" i="18"/>
  <c r="D119" i="18"/>
  <c r="E119" i="18"/>
  <c r="H119" i="18"/>
  <c r="I119" i="18"/>
  <c r="B121" i="18"/>
  <c r="C121" i="18"/>
  <c r="D121" i="18" s="1"/>
  <c r="E121" i="18" s="1"/>
  <c r="G121" i="18"/>
  <c r="H121" i="18"/>
  <c r="I121" i="18" s="1"/>
  <c r="D122" i="18"/>
  <c r="E122" i="18" s="1"/>
  <c r="H122" i="18"/>
  <c r="I122" i="18" s="1"/>
  <c r="D123" i="18"/>
  <c r="E123" i="18" s="1"/>
  <c r="H123" i="18"/>
  <c r="I123" i="18" s="1"/>
  <c r="D124" i="18"/>
  <c r="E124" i="18" s="1"/>
  <c r="H124" i="18"/>
  <c r="I124" i="18" s="1"/>
  <c r="D125" i="18"/>
  <c r="E125" i="18" s="1"/>
  <c r="H125" i="18"/>
  <c r="I125" i="18" s="1"/>
  <c r="D126" i="18"/>
  <c r="E126" i="18"/>
  <c r="H126" i="18"/>
  <c r="I126" i="18"/>
  <c r="B128" i="18"/>
  <c r="E128" i="18" s="1"/>
  <c r="C128" i="18"/>
  <c r="D128" i="18"/>
  <c r="G128" i="18"/>
  <c r="H128" i="18" s="1"/>
  <c r="I128" i="18" s="1"/>
  <c r="D129" i="18"/>
  <c r="E129" i="18"/>
  <c r="H129" i="18"/>
  <c r="I129" i="18"/>
  <c r="D130" i="18"/>
  <c r="E130" i="18"/>
  <c r="H130" i="18"/>
  <c r="I130" i="18"/>
  <c r="D131" i="18"/>
  <c r="E131" i="18"/>
  <c r="H131" i="18"/>
  <c r="I131" i="18"/>
  <c r="D132" i="18"/>
  <c r="E132" i="18"/>
  <c r="H132" i="18"/>
  <c r="I132" i="18"/>
  <c r="AH10" i="3"/>
  <c r="AJ10" i="3"/>
  <c r="AL10" i="3"/>
  <c r="AL17" i="3" s="1"/>
  <c r="AL29" i="3" s="1"/>
  <c r="AN10" i="3"/>
  <c r="AQ10" i="3"/>
  <c r="AS10" i="3"/>
  <c r="AV10" i="3" s="1"/>
  <c r="AU10" i="3"/>
  <c r="AX10" i="3"/>
  <c r="AZ10" i="3"/>
  <c r="AH11" i="3"/>
  <c r="AH17" i="3" s="1"/>
  <c r="AH29" i="3" s="1"/>
  <c r="AJ11" i="3"/>
  <c r="AL11" i="3"/>
  <c r="AN11" i="3"/>
  <c r="AQ11" i="3"/>
  <c r="AS11" i="3"/>
  <c r="AU11" i="3"/>
  <c r="AV11" i="3"/>
  <c r="AX11" i="3"/>
  <c r="BA11" i="3" s="1"/>
  <c r="AZ11" i="3"/>
  <c r="AH12" i="3"/>
  <c r="AJ12" i="3"/>
  <c r="AL12" i="3"/>
  <c r="AN12" i="3"/>
  <c r="AQ12" i="3"/>
  <c r="AS12" i="3"/>
  <c r="AU12" i="3"/>
  <c r="AX12" i="3"/>
  <c r="AZ12" i="3"/>
  <c r="AH13" i="3"/>
  <c r="AJ13" i="3"/>
  <c r="AL13" i="3"/>
  <c r="AN13" i="3"/>
  <c r="AN17" i="3" s="1"/>
  <c r="AQ13" i="3"/>
  <c r="AS13" i="3"/>
  <c r="AU13" i="3"/>
  <c r="AU17" i="3" s="1"/>
  <c r="AX13" i="3"/>
  <c r="AZ13" i="3"/>
  <c r="BA13" i="3"/>
  <c r="AH14" i="3"/>
  <c r="AJ14" i="3"/>
  <c r="AL14" i="3"/>
  <c r="AN14" i="3"/>
  <c r="AQ14" i="3"/>
  <c r="AV14" i="3" s="1"/>
  <c r="AS14" i="3"/>
  <c r="AU14" i="3"/>
  <c r="AX14" i="3"/>
  <c r="BA14" i="3" s="1"/>
  <c r="AZ14" i="3"/>
  <c r="AF15" i="3"/>
  <c r="AH15" i="3"/>
  <c r="AJ15" i="3"/>
  <c r="AL15" i="3"/>
  <c r="AN15" i="3"/>
  <c r="AQ15" i="3"/>
  <c r="AV15" i="3" s="1"/>
  <c r="AS15" i="3"/>
  <c r="AU15" i="3"/>
  <c r="AX15" i="3"/>
  <c r="BA15" i="3" s="1"/>
  <c r="AZ15" i="3"/>
  <c r="Y16" i="3"/>
  <c r="AA16" i="3"/>
  <c r="AC16" i="3"/>
  <c r="AF16" i="3"/>
  <c r="AO16" i="3" s="1"/>
  <c r="AH16" i="3"/>
  <c r="AJ16" i="3"/>
  <c r="AL16" i="3"/>
  <c r="AN16" i="3"/>
  <c r="AQ16" i="3"/>
  <c r="AV16" i="3" s="1"/>
  <c r="AS16" i="3"/>
  <c r="AU16" i="3"/>
  <c r="AX16" i="3"/>
  <c r="BA16" i="3" s="1"/>
  <c r="AZ16" i="3"/>
  <c r="AE17" i="3"/>
  <c r="AG17" i="3"/>
  <c r="AI17" i="3"/>
  <c r="AK17" i="3"/>
  <c r="AK29" i="3" s="1"/>
  <c r="AM17" i="3"/>
  <c r="AP17" i="3"/>
  <c r="AR17" i="3"/>
  <c r="AS17" i="3"/>
  <c r="AT17" i="3"/>
  <c r="AW17" i="3"/>
  <c r="AY17" i="3"/>
  <c r="Y19" i="3"/>
  <c r="AA19" i="3"/>
  <c r="AC19" i="3"/>
  <c r="AF19" i="3"/>
  <c r="AH19" i="3"/>
  <c r="AJ19" i="3"/>
  <c r="AL19" i="3"/>
  <c r="AN19" i="3"/>
  <c r="AN22" i="3" s="1"/>
  <c r="AQ19" i="3"/>
  <c r="AS19" i="3"/>
  <c r="AU19" i="3"/>
  <c r="AU22" i="3" s="1"/>
  <c r="AU29" i="3" s="1"/>
  <c r="AX19" i="3"/>
  <c r="AZ19" i="3"/>
  <c r="BA19" i="3"/>
  <c r="AA20" i="3"/>
  <c r="AC20" i="3"/>
  <c r="AF20" i="3"/>
  <c r="AH20" i="3"/>
  <c r="AJ20" i="3"/>
  <c r="AJ22" i="3" s="1"/>
  <c r="AL20" i="3"/>
  <c r="AN20" i="3"/>
  <c r="AQ20" i="3"/>
  <c r="AS20" i="3"/>
  <c r="AU20" i="3"/>
  <c r="AX20" i="3"/>
  <c r="AZ20" i="3"/>
  <c r="Y21" i="3"/>
  <c r="AD21" i="3" s="1"/>
  <c r="AA21" i="3"/>
  <c r="AC21" i="3"/>
  <c r="AF21" i="3"/>
  <c r="AO21" i="3" s="1"/>
  <c r="AH21" i="3"/>
  <c r="AJ21" i="3"/>
  <c r="AL21" i="3"/>
  <c r="AN21" i="3"/>
  <c r="AQ21" i="3"/>
  <c r="AV21" i="3" s="1"/>
  <c r="AS21" i="3"/>
  <c r="AU21" i="3"/>
  <c r="AX21" i="3"/>
  <c r="BA21" i="3" s="1"/>
  <c r="AZ21" i="3"/>
  <c r="AA22" i="3"/>
  <c r="AC22" i="3"/>
  <c r="AE22" i="3"/>
  <c r="AG22" i="3"/>
  <c r="AH22" i="3"/>
  <c r="AI22" i="3"/>
  <c r="AK22" i="3"/>
  <c r="AL22" i="3"/>
  <c r="AM22" i="3"/>
  <c r="AP22" i="3"/>
  <c r="AR22" i="3"/>
  <c r="AS22" i="3"/>
  <c r="AT22" i="3"/>
  <c r="AW22" i="3"/>
  <c r="AW29" i="3" s="1"/>
  <c r="AY22" i="3"/>
  <c r="AZ22" i="3"/>
  <c r="Y24" i="3"/>
  <c r="AD24" i="3" s="1"/>
  <c r="AA24" i="3"/>
  <c r="AC24" i="3"/>
  <c r="AF24" i="3"/>
  <c r="AH24" i="3"/>
  <c r="AJ24" i="3"/>
  <c r="AL24" i="3"/>
  <c r="AN24" i="3"/>
  <c r="AQ24" i="3"/>
  <c r="AV24" i="3" s="1"/>
  <c r="AS24" i="3"/>
  <c r="AU24" i="3"/>
  <c r="AX24" i="3"/>
  <c r="AZ24" i="3"/>
  <c r="BA24" i="3"/>
  <c r="Y25" i="3"/>
  <c r="AD25" i="3" s="1"/>
  <c r="AA25" i="3"/>
  <c r="AC25" i="3"/>
  <c r="AF25" i="3"/>
  <c r="AH25" i="3"/>
  <c r="AJ25" i="3"/>
  <c r="AL25" i="3"/>
  <c r="AN25" i="3"/>
  <c r="AQ25" i="3"/>
  <c r="AS25" i="3"/>
  <c r="AU25" i="3"/>
  <c r="AX25" i="3"/>
  <c r="AZ25" i="3"/>
  <c r="BA25" i="3"/>
  <c r="AA26" i="3"/>
  <c r="AC26" i="3"/>
  <c r="AF26" i="3"/>
  <c r="AH26" i="3"/>
  <c r="AJ26" i="3"/>
  <c r="AL26" i="3"/>
  <c r="AN26" i="3"/>
  <c r="AQ26" i="3"/>
  <c r="AV26" i="3" s="1"/>
  <c r="AS26" i="3"/>
  <c r="AU26" i="3"/>
  <c r="AX26" i="3"/>
  <c r="BA26" i="3" s="1"/>
  <c r="AZ26" i="3"/>
  <c r="Y27" i="3"/>
  <c r="AA27" i="3"/>
  <c r="AC27" i="3"/>
  <c r="AF27" i="3"/>
  <c r="AO27" i="3" s="1"/>
  <c r="AH27" i="3"/>
  <c r="AJ27" i="3"/>
  <c r="AL27" i="3"/>
  <c r="AN27" i="3"/>
  <c r="AQ27" i="3"/>
  <c r="AV27" i="3" s="1"/>
  <c r="AS27" i="3"/>
  <c r="AU27" i="3"/>
  <c r="AX27" i="3"/>
  <c r="BA27" i="3" s="1"/>
  <c r="AZ27" i="3"/>
  <c r="Y28" i="3"/>
  <c r="AD28" i="3" s="1"/>
  <c r="AA28" i="3"/>
  <c r="AC28" i="3"/>
  <c r="AF28" i="3"/>
  <c r="AH28" i="3"/>
  <c r="AJ28" i="3"/>
  <c r="AL28" i="3"/>
  <c r="AN28" i="3"/>
  <c r="AQ28" i="3"/>
  <c r="AV28" i="3" s="1"/>
  <c r="AS28" i="3"/>
  <c r="AU28" i="3"/>
  <c r="AX28" i="3"/>
  <c r="BA28" i="3" s="1"/>
  <c r="AZ28" i="3"/>
  <c r="AE29" i="3"/>
  <c r="AG29" i="3"/>
  <c r="AI29" i="3"/>
  <c r="AM29" i="3"/>
  <c r="AP29" i="3"/>
  <c r="AR29" i="3"/>
  <c r="AS29" i="3"/>
  <c r="AT29" i="3"/>
  <c r="AY29" i="3"/>
  <c r="P38" i="3"/>
  <c r="R38" i="3"/>
  <c r="T38" i="3"/>
  <c r="V38" i="3"/>
  <c r="W38" i="3"/>
  <c r="Y38" i="3"/>
  <c r="AA38" i="3"/>
  <c r="AC38" i="3"/>
  <c r="AD38" i="3"/>
  <c r="AF38" i="3"/>
  <c r="AH38" i="3"/>
  <c r="AJ38" i="3"/>
  <c r="AL38" i="3"/>
  <c r="AL45" i="3" s="1"/>
  <c r="AN38" i="3"/>
  <c r="AQ38" i="3"/>
  <c r="AS38" i="3"/>
  <c r="AU38" i="3"/>
  <c r="AX38" i="3"/>
  <c r="AZ38" i="3"/>
  <c r="G39" i="3"/>
  <c r="K39" i="3"/>
  <c r="M39" i="3"/>
  <c r="P39" i="3"/>
  <c r="R39" i="3"/>
  <c r="T39" i="3"/>
  <c r="V39" i="3"/>
  <c r="W39" i="3"/>
  <c r="Y39" i="3"/>
  <c r="AA39" i="3"/>
  <c r="AC39" i="3"/>
  <c r="AD39" i="3"/>
  <c r="AF39" i="3"/>
  <c r="AH39" i="3"/>
  <c r="AJ39" i="3"/>
  <c r="AL39" i="3"/>
  <c r="AN39" i="3"/>
  <c r="AQ39" i="3"/>
  <c r="AS39" i="3"/>
  <c r="AV39" i="3" s="1"/>
  <c r="AU39" i="3"/>
  <c r="AX39" i="3"/>
  <c r="AZ39" i="3"/>
  <c r="BA39" i="3" s="1"/>
  <c r="R40" i="3"/>
  <c r="T40" i="3"/>
  <c r="V40" i="3"/>
  <c r="Y40" i="3"/>
  <c r="AA40" i="3"/>
  <c r="AC40" i="3"/>
  <c r="AF40" i="3"/>
  <c r="AH40" i="3"/>
  <c r="AJ40" i="3"/>
  <c r="AL40" i="3"/>
  <c r="AN40" i="3"/>
  <c r="AQ40" i="3"/>
  <c r="AS40" i="3"/>
  <c r="AU40" i="3"/>
  <c r="AV40" i="3" s="1"/>
  <c r="AX40" i="3"/>
  <c r="AZ40" i="3"/>
  <c r="BA40" i="3"/>
  <c r="P41" i="3"/>
  <c r="R41" i="3"/>
  <c r="W41" i="3" s="1"/>
  <c r="T41" i="3"/>
  <c r="V41" i="3"/>
  <c r="Y41" i="3"/>
  <c r="AD41" i="3" s="1"/>
  <c r="AA41" i="3"/>
  <c r="AC41" i="3"/>
  <c r="AF41" i="3"/>
  <c r="AH41" i="3"/>
  <c r="AJ41" i="3"/>
  <c r="AL41" i="3"/>
  <c r="AN41" i="3"/>
  <c r="AQ41" i="3"/>
  <c r="AS41" i="3"/>
  <c r="AU41" i="3"/>
  <c r="AV41" i="3" s="1"/>
  <c r="AX41" i="3"/>
  <c r="AZ41" i="3"/>
  <c r="BA41" i="3"/>
  <c r="P42" i="3"/>
  <c r="R42" i="3"/>
  <c r="W42" i="3" s="1"/>
  <c r="T42" i="3"/>
  <c r="V42" i="3"/>
  <c r="Y42" i="3"/>
  <c r="AD42" i="3" s="1"/>
  <c r="AA42" i="3"/>
  <c r="AC42" i="3"/>
  <c r="AF42" i="3"/>
  <c r="AH42" i="3"/>
  <c r="AH45" i="3" s="1"/>
  <c r="AH57" i="3" s="1"/>
  <c r="AJ42" i="3"/>
  <c r="AL42" i="3"/>
  <c r="AN42" i="3"/>
  <c r="AQ42" i="3"/>
  <c r="AS42" i="3"/>
  <c r="AU42" i="3"/>
  <c r="AV42" i="3" s="1"/>
  <c r="AX42" i="3"/>
  <c r="AZ42" i="3"/>
  <c r="BA42" i="3"/>
  <c r="P43" i="3"/>
  <c r="R43" i="3"/>
  <c r="W43" i="3" s="1"/>
  <c r="T43" i="3"/>
  <c r="V43" i="3"/>
  <c r="V45" i="3" s="1"/>
  <c r="Y43" i="3"/>
  <c r="AD43" i="3" s="1"/>
  <c r="AA43" i="3"/>
  <c r="AC43" i="3"/>
  <c r="AF43" i="3"/>
  <c r="AH43" i="3"/>
  <c r="AJ43" i="3"/>
  <c r="AL43" i="3"/>
  <c r="AN43" i="3"/>
  <c r="AQ43" i="3"/>
  <c r="AS43" i="3"/>
  <c r="AU43" i="3"/>
  <c r="AV43" i="3" s="1"/>
  <c r="AX43" i="3"/>
  <c r="AZ43" i="3"/>
  <c r="BA43" i="3"/>
  <c r="P44" i="3"/>
  <c r="R44" i="3"/>
  <c r="W44" i="3" s="1"/>
  <c r="T44" i="3"/>
  <c r="V44" i="3"/>
  <c r="Y44" i="3"/>
  <c r="AD44" i="3" s="1"/>
  <c r="AA44" i="3"/>
  <c r="AC44" i="3"/>
  <c r="AF44" i="3"/>
  <c r="AH44" i="3"/>
  <c r="AJ44" i="3"/>
  <c r="AL44" i="3"/>
  <c r="AN44" i="3"/>
  <c r="AQ44" i="3"/>
  <c r="AS44" i="3"/>
  <c r="AU44" i="3"/>
  <c r="AV44" i="3" s="1"/>
  <c r="AX44" i="3"/>
  <c r="AX45" i="3" s="1"/>
  <c r="AZ44" i="3"/>
  <c r="BA44" i="3"/>
  <c r="F45" i="3"/>
  <c r="Q45" i="3"/>
  <c r="S45" i="3"/>
  <c r="T45" i="3"/>
  <c r="U45" i="3"/>
  <c r="X45" i="3"/>
  <c r="Z45" i="3"/>
  <c r="AA45" i="3"/>
  <c r="AB45" i="3"/>
  <c r="AC45" i="3"/>
  <c r="AE45" i="3"/>
  <c r="AG45" i="3"/>
  <c r="AI45" i="3"/>
  <c r="AI57" i="3" s="1"/>
  <c r="AJ45" i="3"/>
  <c r="AK45" i="3"/>
  <c r="AM45" i="3"/>
  <c r="AP45" i="3"/>
  <c r="AQ45" i="3"/>
  <c r="AR45" i="3"/>
  <c r="AT45" i="3"/>
  <c r="AW45" i="3"/>
  <c r="AY45" i="3"/>
  <c r="R47" i="3"/>
  <c r="T47" i="3"/>
  <c r="V47" i="3"/>
  <c r="Y47" i="3"/>
  <c r="AA47" i="3"/>
  <c r="AC47" i="3"/>
  <c r="AD47" i="3"/>
  <c r="AF47" i="3"/>
  <c r="AO47" i="3" s="1"/>
  <c r="AH47" i="3"/>
  <c r="AJ47" i="3"/>
  <c r="AL47" i="3"/>
  <c r="AN47" i="3"/>
  <c r="AQ47" i="3"/>
  <c r="AS47" i="3"/>
  <c r="AU47" i="3"/>
  <c r="AU50" i="3" s="1"/>
  <c r="AX47" i="3"/>
  <c r="AZ47" i="3"/>
  <c r="BA47" i="3" s="1"/>
  <c r="P48" i="3"/>
  <c r="R48" i="3"/>
  <c r="R50" i="3" s="1"/>
  <c r="T48" i="3"/>
  <c r="V48" i="3"/>
  <c r="W48" i="3"/>
  <c r="Y48" i="3"/>
  <c r="AA48" i="3"/>
  <c r="AA50" i="3" s="1"/>
  <c r="AA57" i="3" s="1"/>
  <c r="AC48" i="3"/>
  <c r="AD48" i="3"/>
  <c r="AF48" i="3"/>
  <c r="AO48" i="3" s="1"/>
  <c r="AH48" i="3"/>
  <c r="AJ48" i="3"/>
  <c r="AL48" i="3"/>
  <c r="AN48" i="3"/>
  <c r="AQ48" i="3"/>
  <c r="AS48" i="3"/>
  <c r="AV48" i="3" s="1"/>
  <c r="AU48" i="3"/>
  <c r="AX48" i="3"/>
  <c r="AZ48" i="3"/>
  <c r="BA48" i="3" s="1"/>
  <c r="P49" i="3"/>
  <c r="R49" i="3"/>
  <c r="T49" i="3"/>
  <c r="V49" i="3"/>
  <c r="W49" i="3"/>
  <c r="Y49" i="3"/>
  <c r="AA49" i="3"/>
  <c r="AC49" i="3"/>
  <c r="AD49" i="3"/>
  <c r="AF49" i="3"/>
  <c r="AH49" i="3"/>
  <c r="AJ49" i="3"/>
  <c r="AL49" i="3"/>
  <c r="AN49" i="3"/>
  <c r="AQ49" i="3"/>
  <c r="AS49" i="3"/>
  <c r="AV49" i="3" s="1"/>
  <c r="AU49" i="3"/>
  <c r="AX49" i="3"/>
  <c r="AZ49" i="3"/>
  <c r="BA49" i="3" s="1"/>
  <c r="Q50" i="3"/>
  <c r="S50" i="3"/>
  <c r="T50" i="3"/>
  <c r="U50" i="3"/>
  <c r="V50" i="3"/>
  <c r="X50" i="3"/>
  <c r="X57" i="3" s="1"/>
  <c r="Y50" i="3"/>
  <c r="Z50" i="3"/>
  <c r="AB50" i="3"/>
  <c r="AB57" i="3" s="1"/>
  <c r="AC50" i="3"/>
  <c r="AE50" i="3"/>
  <c r="AF50" i="3"/>
  <c r="AG50" i="3"/>
  <c r="AH50" i="3"/>
  <c r="AI50" i="3"/>
  <c r="AJ50" i="3"/>
  <c r="AJ57" i="3" s="1"/>
  <c r="AK50" i="3"/>
  <c r="AM50" i="3"/>
  <c r="AN50" i="3"/>
  <c r="AP50" i="3"/>
  <c r="AQ50" i="3"/>
  <c r="AR50" i="3"/>
  <c r="AR57" i="3" s="1"/>
  <c r="AT50" i="3"/>
  <c r="AW50" i="3"/>
  <c r="AX50" i="3"/>
  <c r="AY50" i="3"/>
  <c r="AZ50" i="3"/>
  <c r="G52" i="3"/>
  <c r="K52" i="3"/>
  <c r="M52" i="3"/>
  <c r="P52" i="3"/>
  <c r="R52" i="3"/>
  <c r="T52" i="3"/>
  <c r="V52" i="3"/>
  <c r="W52" i="3"/>
  <c r="Y52" i="3"/>
  <c r="AA52" i="3"/>
  <c r="AC52" i="3"/>
  <c r="AD52" i="3"/>
  <c r="AF52" i="3"/>
  <c r="AH52" i="3"/>
  <c r="AJ52" i="3"/>
  <c r="AL52" i="3"/>
  <c r="AN52" i="3"/>
  <c r="AQ52" i="3"/>
  <c r="AS52" i="3"/>
  <c r="AV52" i="3" s="1"/>
  <c r="AU52" i="3"/>
  <c r="AX52" i="3"/>
  <c r="AZ52" i="3"/>
  <c r="BA52" i="3" s="1"/>
  <c r="R53" i="3"/>
  <c r="T53" i="3"/>
  <c r="V53" i="3"/>
  <c r="Y53" i="3"/>
  <c r="AD53" i="3" s="1"/>
  <c r="AA53" i="3"/>
  <c r="AC53" i="3"/>
  <c r="AF53" i="3"/>
  <c r="AH53" i="3"/>
  <c r="AJ53" i="3"/>
  <c r="AL53" i="3"/>
  <c r="AN53" i="3"/>
  <c r="AQ53" i="3"/>
  <c r="AS53" i="3"/>
  <c r="AU53" i="3"/>
  <c r="AV53" i="3" s="1"/>
  <c r="AX53" i="3"/>
  <c r="AZ53" i="3"/>
  <c r="BA53" i="3"/>
  <c r="I54" i="3"/>
  <c r="M54" i="3"/>
  <c r="P54" i="3"/>
  <c r="R54" i="3"/>
  <c r="T54" i="3"/>
  <c r="V54" i="3"/>
  <c r="W54" i="3" s="1"/>
  <c r="Y54" i="3"/>
  <c r="AA54" i="3"/>
  <c r="AC54" i="3"/>
  <c r="AF54" i="3"/>
  <c r="AH54" i="3"/>
  <c r="AJ54" i="3"/>
  <c r="AL54" i="3"/>
  <c r="AN54" i="3"/>
  <c r="AQ54" i="3"/>
  <c r="AV54" i="3" s="1"/>
  <c r="AS54" i="3"/>
  <c r="AU54" i="3"/>
  <c r="AX54" i="3"/>
  <c r="BA54" i="3" s="1"/>
  <c r="AZ54" i="3"/>
  <c r="I55" i="3"/>
  <c r="M55" i="3"/>
  <c r="P55" i="3"/>
  <c r="R55" i="3"/>
  <c r="W55" i="3" s="1"/>
  <c r="T55" i="3"/>
  <c r="V55" i="3"/>
  <c r="Y55" i="3"/>
  <c r="AD55" i="3" s="1"/>
  <c r="AA55" i="3"/>
  <c r="AC55" i="3"/>
  <c r="AF55" i="3"/>
  <c r="AH55" i="3"/>
  <c r="AJ55" i="3"/>
  <c r="AL55" i="3"/>
  <c r="AN55" i="3"/>
  <c r="AQ55" i="3"/>
  <c r="AS55" i="3"/>
  <c r="AU55" i="3"/>
  <c r="AV55" i="3" s="1"/>
  <c r="AX55" i="3"/>
  <c r="AZ55" i="3"/>
  <c r="BA55" i="3"/>
  <c r="C56" i="3"/>
  <c r="E56" i="3"/>
  <c r="G56" i="3"/>
  <c r="I56" i="3"/>
  <c r="K56" i="3"/>
  <c r="M56" i="3"/>
  <c r="P56" i="3"/>
  <c r="R56" i="3"/>
  <c r="T56" i="3"/>
  <c r="W56" i="3" s="1"/>
  <c r="V56" i="3"/>
  <c r="Y56" i="3"/>
  <c r="AA56" i="3"/>
  <c r="AD56" i="3" s="1"/>
  <c r="AC56" i="3"/>
  <c r="AF56" i="3"/>
  <c r="AH56" i="3"/>
  <c r="AJ56" i="3"/>
  <c r="AL56" i="3"/>
  <c r="AN56" i="3"/>
  <c r="AO56" i="3"/>
  <c r="AQ56" i="3"/>
  <c r="AS56" i="3"/>
  <c r="AU56" i="3"/>
  <c r="AV56" i="3"/>
  <c r="AX56" i="3"/>
  <c r="BA56" i="3" s="1"/>
  <c r="AZ56" i="3"/>
  <c r="Q57" i="3"/>
  <c r="S57" i="3"/>
  <c r="U57" i="3"/>
  <c r="Z57" i="3"/>
  <c r="AE57" i="3"/>
  <c r="AG57" i="3"/>
  <c r="AK57" i="3"/>
  <c r="AM57" i="3"/>
  <c r="AP57" i="3"/>
  <c r="AQ57" i="3"/>
  <c r="AT57" i="3"/>
  <c r="AW57" i="3"/>
  <c r="AY57" i="3"/>
  <c r="W16" i="5"/>
  <c r="W18" i="5"/>
  <c r="Y18" i="5"/>
  <c r="S19" i="5"/>
  <c r="W21" i="5"/>
  <c r="W25" i="5" s="1"/>
  <c r="W22" i="5"/>
  <c r="W23" i="5"/>
  <c r="W24" i="5"/>
  <c r="Y24" i="5"/>
  <c r="S25" i="5"/>
  <c r="W27" i="5"/>
  <c r="W28" i="5"/>
  <c r="W29" i="5"/>
  <c r="W30" i="5"/>
  <c r="W31" i="5"/>
  <c r="M17" i="6"/>
  <c r="M26" i="6"/>
  <c r="M17" i="7"/>
  <c r="M26" i="7"/>
  <c r="M33" i="7"/>
  <c r="M36" i="7"/>
  <c r="F39" i="7"/>
  <c r="G39" i="7"/>
  <c r="H39" i="7"/>
  <c r="K39" i="7"/>
  <c r="M39" i="7"/>
  <c r="F45" i="7"/>
  <c r="M45" i="7"/>
  <c r="F52" i="7"/>
  <c r="G52" i="7"/>
  <c r="H52" i="7"/>
  <c r="K52" i="7"/>
  <c r="M52" i="7"/>
  <c r="R9" i="8"/>
  <c r="S9" i="8" s="1"/>
  <c r="V9" i="8"/>
  <c r="I16" i="8"/>
  <c r="M16" i="8"/>
  <c r="M17" i="8"/>
  <c r="M18" i="8"/>
  <c r="S18" i="8"/>
  <c r="Q19" i="8"/>
  <c r="U19" i="8"/>
  <c r="M22" i="8"/>
  <c r="I23" i="8"/>
  <c r="M23" i="8"/>
  <c r="I24" i="8"/>
  <c r="M24" i="8"/>
  <c r="S24" i="8"/>
  <c r="I25" i="8"/>
  <c r="M25" i="8"/>
  <c r="S25" i="8"/>
  <c r="Q26" i="8"/>
  <c r="U26" i="8"/>
  <c r="U33" i="8" s="1"/>
  <c r="I28" i="8"/>
  <c r="M28" i="8"/>
  <c r="I29" i="8"/>
  <c r="K29" i="8" s="1"/>
  <c r="M29" i="8"/>
  <c r="I30" i="8"/>
  <c r="M30" i="8"/>
  <c r="I31" i="8"/>
  <c r="M31" i="8"/>
  <c r="M32" i="8"/>
  <c r="Q33" i="8"/>
  <c r="AD12" i="9"/>
  <c r="AD15" i="9"/>
  <c r="AE15" i="9"/>
  <c r="AF15" i="9"/>
  <c r="AG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E20" i="9"/>
  <c r="G20" i="9"/>
  <c r="M20" i="9"/>
  <c r="O20" i="9"/>
  <c r="Q20" i="9"/>
  <c r="S20" i="9"/>
  <c r="U20" i="9"/>
  <c r="W20" i="9"/>
  <c r="Y20" i="9"/>
  <c r="AA20" i="9"/>
  <c r="AC20" i="9"/>
  <c r="AD20" i="9"/>
  <c r="AF20" i="9"/>
  <c r="Q21" i="9"/>
  <c r="S21" i="9"/>
  <c r="U21" i="9"/>
  <c r="W21" i="9"/>
  <c r="Y21" i="9"/>
  <c r="AA21" i="9"/>
  <c r="AC21" i="9"/>
  <c r="AD21" i="9"/>
  <c r="AF21" i="9"/>
  <c r="M22" i="9"/>
  <c r="Q22" i="9"/>
  <c r="S22" i="9"/>
  <c r="U22" i="9"/>
  <c r="W22" i="9"/>
  <c r="Y22" i="9"/>
  <c r="AA22" i="9"/>
  <c r="AC22" i="9"/>
  <c r="AD22" i="9"/>
  <c r="AF22" i="9"/>
  <c r="I23" i="9"/>
  <c r="M23" i="9"/>
  <c r="Q23" i="9"/>
  <c r="S23" i="9"/>
  <c r="U23" i="9"/>
  <c r="W23" i="9"/>
  <c r="Y23" i="9"/>
  <c r="AA23" i="9"/>
  <c r="AC23" i="9"/>
  <c r="AD23" i="9"/>
  <c r="AF23" i="9"/>
  <c r="AG23" i="9"/>
  <c r="I24" i="9"/>
  <c r="M24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AG27" i="9" s="1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E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AG31" i="9"/>
  <c r="M32" i="9"/>
  <c r="Q32" i="9"/>
  <c r="S32" i="9"/>
  <c r="U32" i="9"/>
  <c r="W32" i="9"/>
  <c r="Y32" i="9"/>
  <c r="AA32" i="9"/>
  <c r="AC32" i="9"/>
  <c r="AD32" i="9"/>
  <c r="AF32" i="9"/>
  <c r="I33" i="9"/>
  <c r="M33" i="9"/>
  <c r="Q33" i="9"/>
  <c r="S33" i="9"/>
  <c r="U33" i="9"/>
  <c r="W33" i="9"/>
  <c r="Y33" i="9"/>
  <c r="AA33" i="9"/>
  <c r="AC33" i="9"/>
  <c r="AD33" i="9"/>
  <c r="AF33" i="9"/>
  <c r="C34" i="9"/>
  <c r="E34" i="9"/>
  <c r="G34" i="9"/>
  <c r="I34" i="9"/>
  <c r="K34" i="9"/>
  <c r="M34" i="9"/>
  <c r="O34" i="9"/>
  <c r="Q34" i="9"/>
  <c r="AG34" i="9" s="1"/>
  <c r="S34" i="9"/>
  <c r="U34" i="9"/>
  <c r="W34" i="9"/>
  <c r="Y34" i="9"/>
  <c r="AA34" i="9"/>
  <c r="AC34" i="9"/>
  <c r="AD34" i="9"/>
  <c r="AF34" i="9"/>
  <c r="Q35" i="9"/>
  <c r="S35" i="9"/>
  <c r="U35" i="9"/>
  <c r="W35" i="9"/>
  <c r="Y35" i="9"/>
  <c r="AA35" i="9"/>
  <c r="AC35" i="9"/>
  <c r="AD35" i="9"/>
  <c r="AF35" i="9"/>
  <c r="I36" i="9"/>
  <c r="M36" i="9"/>
  <c r="Q36" i="9"/>
  <c r="S36" i="9"/>
  <c r="U36" i="9"/>
  <c r="W36" i="9"/>
  <c r="Y36" i="9"/>
  <c r="AA36" i="9"/>
  <c r="AC36" i="9"/>
  <c r="AD36" i="9"/>
  <c r="AF36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E20" i="12"/>
  <c r="G20" i="12"/>
  <c r="L20" i="12"/>
  <c r="M20" i="12"/>
  <c r="N20" i="12"/>
  <c r="O20" i="12"/>
  <c r="M22" i="12"/>
  <c r="P22" i="12"/>
  <c r="I23" i="12"/>
  <c r="M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M32" i="12"/>
  <c r="P32" i="12"/>
  <c r="F33" i="12"/>
  <c r="I33" i="12"/>
  <c r="M33" i="12"/>
  <c r="P33" i="12"/>
  <c r="B34" i="12"/>
  <c r="C34" i="12"/>
  <c r="I34" i="12" s="1"/>
  <c r="D34" i="12"/>
  <c r="E34" i="12"/>
  <c r="F34" i="12" s="1"/>
  <c r="G34" i="12"/>
  <c r="H34" i="12"/>
  <c r="K34" i="12"/>
  <c r="L34" i="12"/>
  <c r="M34" i="12"/>
  <c r="N34" i="12"/>
  <c r="O34" i="12"/>
  <c r="P34" i="12"/>
  <c r="F36" i="12"/>
  <c r="I36" i="12"/>
  <c r="M36" i="12"/>
  <c r="P36" i="12"/>
  <c r="F37" i="12"/>
  <c r="I37" i="12"/>
  <c r="M37" i="12"/>
  <c r="P37" i="12"/>
  <c r="F38" i="12"/>
  <c r="I38" i="12"/>
  <c r="M38" i="12"/>
  <c r="P38" i="12"/>
  <c r="B39" i="12"/>
  <c r="M39" i="12" s="1"/>
  <c r="C39" i="12"/>
  <c r="D39" i="12"/>
  <c r="E39" i="12"/>
  <c r="F39" i="12"/>
  <c r="G39" i="12"/>
  <c r="H39" i="12"/>
  <c r="I39" i="12"/>
  <c r="K39" i="12"/>
  <c r="L39" i="12"/>
  <c r="N39" i="12"/>
  <c r="O39" i="12"/>
  <c r="O95" i="12" s="1"/>
  <c r="O97" i="12" s="1"/>
  <c r="P39" i="12"/>
  <c r="F41" i="12"/>
  <c r="I41" i="12"/>
  <c r="M41" i="12"/>
  <c r="P41" i="12"/>
  <c r="F42" i="12"/>
  <c r="I42" i="12"/>
  <c r="M42" i="12"/>
  <c r="P42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B46" i="12"/>
  <c r="C46" i="12"/>
  <c r="D46" i="12"/>
  <c r="D95" i="12" s="1"/>
  <c r="E46" i="12"/>
  <c r="F46" i="12" s="1"/>
  <c r="G46" i="12"/>
  <c r="H46" i="12"/>
  <c r="H95" i="12" s="1"/>
  <c r="K46" i="12"/>
  <c r="L46" i="12"/>
  <c r="M46" i="12"/>
  <c r="N46" i="12"/>
  <c r="O46" i="12"/>
  <c r="P46" i="12"/>
  <c r="F48" i="12"/>
  <c r="I48" i="12"/>
  <c r="M48" i="12"/>
  <c r="P48" i="12"/>
  <c r="F49" i="12"/>
  <c r="I49" i="12"/>
  <c r="M49" i="12"/>
  <c r="P49" i="12"/>
  <c r="F50" i="12"/>
  <c r="I50" i="12"/>
  <c r="M50" i="12"/>
  <c r="P50" i="12"/>
  <c r="F51" i="12"/>
  <c r="I51" i="12"/>
  <c r="M51" i="12"/>
  <c r="P51" i="12"/>
  <c r="B52" i="12"/>
  <c r="M52" i="12" s="1"/>
  <c r="C52" i="12"/>
  <c r="D52" i="12"/>
  <c r="E52" i="12"/>
  <c r="F52" i="12"/>
  <c r="G52" i="12"/>
  <c r="H52" i="12"/>
  <c r="I52" i="12"/>
  <c r="K52" i="12"/>
  <c r="L52" i="12"/>
  <c r="N52" i="12"/>
  <c r="O52" i="12"/>
  <c r="P52" i="12"/>
  <c r="F54" i="12"/>
  <c r="I54" i="12"/>
  <c r="M54" i="12"/>
  <c r="P54" i="12"/>
  <c r="F55" i="12"/>
  <c r="I55" i="12"/>
  <c r="M55" i="12"/>
  <c r="P55" i="12"/>
  <c r="B56" i="12"/>
  <c r="C56" i="12"/>
  <c r="I56" i="12" s="1"/>
  <c r="D56" i="12"/>
  <c r="E56" i="12"/>
  <c r="F56" i="12" s="1"/>
  <c r="G56" i="12"/>
  <c r="H56" i="12"/>
  <c r="K56" i="12"/>
  <c r="L56" i="12"/>
  <c r="M56" i="12"/>
  <c r="N56" i="12"/>
  <c r="O56" i="12"/>
  <c r="P56" i="12"/>
  <c r="F58" i="12"/>
  <c r="I58" i="12"/>
  <c r="M58" i="12"/>
  <c r="P58" i="12"/>
  <c r="F59" i="12"/>
  <c r="I59" i="12"/>
  <c r="M59" i="12"/>
  <c r="P59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B63" i="12"/>
  <c r="M63" i="12" s="1"/>
  <c r="C63" i="12"/>
  <c r="D63" i="12"/>
  <c r="E63" i="12"/>
  <c r="F63" i="12"/>
  <c r="G63" i="12"/>
  <c r="H63" i="12"/>
  <c r="I63" i="12"/>
  <c r="K63" i="12"/>
  <c r="L63" i="12"/>
  <c r="N63" i="12"/>
  <c r="O63" i="12"/>
  <c r="P63" i="12" s="1"/>
  <c r="F65" i="12"/>
  <c r="I65" i="12"/>
  <c r="M65" i="12"/>
  <c r="P65" i="12"/>
  <c r="B66" i="12"/>
  <c r="C66" i="12"/>
  <c r="I66" i="12" s="1"/>
  <c r="D66" i="12"/>
  <c r="E66" i="12"/>
  <c r="F66" i="12" s="1"/>
  <c r="G66" i="12"/>
  <c r="H66" i="12"/>
  <c r="K66" i="12"/>
  <c r="L66" i="12"/>
  <c r="M66" i="12"/>
  <c r="N66" i="12"/>
  <c r="O66" i="12"/>
  <c r="P66" i="12"/>
  <c r="F68" i="12"/>
  <c r="I68" i="12"/>
  <c r="M68" i="12"/>
  <c r="P68" i="12"/>
  <c r="B69" i="12"/>
  <c r="M69" i="12" s="1"/>
  <c r="C69" i="12"/>
  <c r="D69" i="12"/>
  <c r="E69" i="12"/>
  <c r="F69" i="12"/>
  <c r="G69" i="12"/>
  <c r="H69" i="12"/>
  <c r="I69" i="12"/>
  <c r="K69" i="12"/>
  <c r="L69" i="12"/>
  <c r="N69" i="12"/>
  <c r="O69" i="12"/>
  <c r="P69" i="12" s="1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B86" i="12"/>
  <c r="C86" i="12"/>
  <c r="I86" i="12" s="1"/>
  <c r="D86" i="12"/>
  <c r="E86" i="12"/>
  <c r="F86" i="12" s="1"/>
  <c r="G86" i="12"/>
  <c r="H86" i="12"/>
  <c r="K86" i="12"/>
  <c r="L86" i="12"/>
  <c r="M86" i="12"/>
  <c r="N86" i="12"/>
  <c r="O86" i="12"/>
  <c r="P86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B94" i="12"/>
  <c r="M94" i="12" s="1"/>
  <c r="C94" i="12"/>
  <c r="D94" i="12"/>
  <c r="E94" i="12"/>
  <c r="F94" i="12"/>
  <c r="G94" i="12"/>
  <c r="H94" i="12"/>
  <c r="I94" i="12"/>
  <c r="K94" i="12"/>
  <c r="L94" i="12"/>
  <c r="N94" i="12"/>
  <c r="O94" i="12"/>
  <c r="P94" i="12" s="1"/>
  <c r="E95" i="12"/>
  <c r="G95" i="12"/>
  <c r="L95" i="12"/>
  <c r="N95" i="12"/>
  <c r="C96" i="12"/>
  <c r="E96" i="12"/>
  <c r="E97" i="12" s="1"/>
  <c r="G96" i="12"/>
  <c r="K96" i="12"/>
  <c r="L96" i="12"/>
  <c r="N96" i="12"/>
  <c r="N97" i="12" s="1"/>
  <c r="O96" i="12"/>
  <c r="P96" i="12" s="1"/>
  <c r="G97" i="12"/>
  <c r="L97" i="12"/>
  <c r="E9" i="13"/>
  <c r="G9" i="13"/>
  <c r="G16" i="13" s="1"/>
  <c r="G10" i="13"/>
  <c r="E11" i="13"/>
  <c r="G11" i="13"/>
  <c r="G12" i="13"/>
  <c r="E13" i="13"/>
  <c r="G13" i="13"/>
  <c r="G14" i="13"/>
  <c r="E15" i="13"/>
  <c r="G15" i="13"/>
  <c r="B16" i="13"/>
  <c r="C16" i="13"/>
  <c r="G18" i="13"/>
  <c r="G19" i="13"/>
  <c r="G20" i="13"/>
  <c r="H20" i="13" s="1"/>
  <c r="G23" i="13"/>
  <c r="G24" i="13"/>
  <c r="H24" i="13"/>
  <c r="E25" i="13"/>
  <c r="G25" i="13"/>
  <c r="H25" i="13" s="1"/>
  <c r="G26" i="13"/>
  <c r="H26" i="13" s="1"/>
  <c r="G27" i="13"/>
  <c r="H27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F16" i="14"/>
  <c r="I16" i="14"/>
  <c r="K16" i="14"/>
  <c r="K23" i="14" s="1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I23" i="14"/>
  <c r="E9" i="15"/>
  <c r="F9" i="15"/>
  <c r="F16" i="15" s="1"/>
  <c r="F28" i="15" s="1"/>
  <c r="E10" i="15"/>
  <c r="F10" i="15"/>
  <c r="G10" i="15"/>
  <c r="E11" i="15"/>
  <c r="F11" i="15"/>
  <c r="G11" i="15"/>
  <c r="K11" i="15" s="1"/>
  <c r="L11" i="15" s="1"/>
  <c r="H11" i="15"/>
  <c r="I11" i="15" s="1"/>
  <c r="E12" i="15"/>
  <c r="F12" i="15"/>
  <c r="E13" i="15"/>
  <c r="F13" i="15"/>
  <c r="E14" i="15"/>
  <c r="F14" i="15"/>
  <c r="G14" i="15"/>
  <c r="E15" i="15"/>
  <c r="F15" i="15"/>
  <c r="G15" i="15"/>
  <c r="K15" i="15" s="1"/>
  <c r="L15" i="15" s="1"/>
  <c r="H15" i="15"/>
  <c r="I15" i="15" s="1"/>
  <c r="B16" i="15"/>
  <c r="C16" i="15"/>
  <c r="D16" i="15"/>
  <c r="E18" i="15"/>
  <c r="F18" i="15"/>
  <c r="G18" i="15"/>
  <c r="E19" i="15"/>
  <c r="F19" i="15"/>
  <c r="G19" i="15"/>
  <c r="K19" i="15" s="1"/>
  <c r="L19" i="15" s="1"/>
  <c r="H19" i="15"/>
  <c r="I19" i="15" s="1"/>
  <c r="E20" i="15"/>
  <c r="F20" i="15"/>
  <c r="B21" i="15"/>
  <c r="C21" i="15"/>
  <c r="C28" i="15" s="1"/>
  <c r="D21" i="15"/>
  <c r="F21" i="15"/>
  <c r="E23" i="15"/>
  <c r="F23" i="15"/>
  <c r="G23" i="15"/>
  <c r="K23" i="15" s="1"/>
  <c r="L23" i="15" s="1"/>
  <c r="H23" i="15"/>
  <c r="I23" i="15" s="1"/>
  <c r="E24" i="15"/>
  <c r="G24" i="15" s="1"/>
  <c r="F24" i="15"/>
  <c r="E25" i="15"/>
  <c r="F25" i="15"/>
  <c r="E26" i="15"/>
  <c r="F26" i="15"/>
  <c r="G26" i="15"/>
  <c r="E27" i="15"/>
  <c r="F27" i="15"/>
  <c r="G27" i="15"/>
  <c r="K27" i="15" s="1"/>
  <c r="L27" i="15" s="1"/>
  <c r="H27" i="15"/>
  <c r="I27" i="15" s="1"/>
  <c r="B28" i="15"/>
  <c r="D28" i="15"/>
  <c r="D23" i="14"/>
  <c r="C23" i="14"/>
  <c r="K22" i="14"/>
  <c r="J22" i="14"/>
  <c r="I22" i="14"/>
  <c r="F22" i="14"/>
  <c r="E22" i="14"/>
  <c r="D22" i="14"/>
  <c r="C22" i="14"/>
  <c r="L22" i="14" s="1"/>
  <c r="B22" i="14"/>
  <c r="J21" i="14"/>
  <c r="J20" i="14"/>
  <c r="J19" i="14"/>
  <c r="J18" i="14"/>
  <c r="J15" i="14"/>
  <c r="J14" i="14"/>
  <c r="J13" i="14"/>
  <c r="J12" i="14"/>
  <c r="J11" i="14"/>
  <c r="J10" i="14"/>
  <c r="J9" i="14"/>
  <c r="D27" i="13"/>
  <c r="E27" i="13" s="1"/>
  <c r="D26" i="13"/>
  <c r="E26" i="13" s="1"/>
  <c r="D25" i="13"/>
  <c r="D24" i="13"/>
  <c r="E24" i="13" s="1"/>
  <c r="H23" i="13"/>
  <c r="D23" i="13"/>
  <c r="E23" i="13" s="1"/>
  <c r="C21" i="13"/>
  <c r="B21" i="13"/>
  <c r="D20" i="13"/>
  <c r="E20" i="13" s="1"/>
  <c r="H19" i="13"/>
  <c r="D19" i="13"/>
  <c r="E19" i="13" s="1"/>
  <c r="D18" i="13"/>
  <c r="E18" i="13" s="1"/>
  <c r="H16" i="13"/>
  <c r="H15" i="13"/>
  <c r="D15" i="13"/>
  <c r="H14" i="13"/>
  <c r="D14" i="13"/>
  <c r="E14" i="13" s="1"/>
  <c r="H13" i="13"/>
  <c r="D13" i="13"/>
  <c r="H12" i="13"/>
  <c r="D12" i="13"/>
  <c r="E12" i="13" s="1"/>
  <c r="H11" i="13"/>
  <c r="D11" i="13"/>
  <c r="H10" i="13"/>
  <c r="D10" i="13"/>
  <c r="E10" i="13" s="1"/>
  <c r="H9" i="13"/>
  <c r="D9" i="13"/>
  <c r="I32" i="12"/>
  <c r="F32" i="12"/>
  <c r="F28" i="12"/>
  <c r="F27" i="12"/>
  <c r="F26" i="12"/>
  <c r="F25" i="12"/>
  <c r="F24" i="12"/>
  <c r="F23" i="12"/>
  <c r="I22" i="12"/>
  <c r="F22" i="12"/>
  <c r="K20" i="12"/>
  <c r="K95" i="12" s="1"/>
  <c r="K97" i="12" s="1"/>
  <c r="H20" i="12"/>
  <c r="F20" i="12"/>
  <c r="D20" i="12"/>
  <c r="C20" i="12"/>
  <c r="I20" i="12" s="1"/>
  <c r="B20" i="12"/>
  <c r="B95" i="12" s="1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6" i="9"/>
  <c r="K36" i="9"/>
  <c r="G36" i="9"/>
  <c r="E36" i="9"/>
  <c r="AG36" i="9" s="1"/>
  <c r="C36" i="9"/>
  <c r="AE36" i="9" s="1"/>
  <c r="O35" i="9"/>
  <c r="M35" i="9"/>
  <c r="K35" i="9"/>
  <c r="I35" i="9"/>
  <c r="G35" i="9"/>
  <c r="AE35" i="9" s="1"/>
  <c r="E35" i="9"/>
  <c r="AG35" i="9" s="1"/>
  <c r="C35" i="9"/>
  <c r="O33" i="9"/>
  <c r="K33" i="9"/>
  <c r="G33" i="9"/>
  <c r="E33" i="9"/>
  <c r="AG33" i="9" s="1"/>
  <c r="C33" i="9"/>
  <c r="AE33" i="9" s="1"/>
  <c r="O32" i="9"/>
  <c r="K32" i="9"/>
  <c r="I32" i="9"/>
  <c r="G32" i="9"/>
  <c r="E32" i="9"/>
  <c r="AG32" i="9" s="1"/>
  <c r="C32" i="9"/>
  <c r="O31" i="9"/>
  <c r="K31" i="9"/>
  <c r="G31" i="9"/>
  <c r="E31" i="9"/>
  <c r="C31" i="9"/>
  <c r="AE31" i="9" s="1"/>
  <c r="O30" i="9"/>
  <c r="K30" i="9"/>
  <c r="G30" i="9"/>
  <c r="E30" i="9"/>
  <c r="AG30" i="9" s="1"/>
  <c r="C30" i="9"/>
  <c r="AE30" i="9" s="1"/>
  <c r="O29" i="9"/>
  <c r="K29" i="9"/>
  <c r="G29" i="9"/>
  <c r="E29" i="9"/>
  <c r="AG29" i="9" s="1"/>
  <c r="C29" i="9"/>
  <c r="O28" i="9"/>
  <c r="K28" i="9"/>
  <c r="G28" i="9"/>
  <c r="E28" i="9"/>
  <c r="AG28" i="9" s="1"/>
  <c r="C28" i="9"/>
  <c r="AE28" i="9" s="1"/>
  <c r="O27" i="9"/>
  <c r="K27" i="9"/>
  <c r="G27" i="9"/>
  <c r="E27" i="9"/>
  <c r="C27" i="9"/>
  <c r="O26" i="9"/>
  <c r="K26" i="9"/>
  <c r="G26" i="9"/>
  <c r="E26" i="9"/>
  <c r="AG26" i="9" s="1"/>
  <c r="C26" i="9"/>
  <c r="AE26" i="9" s="1"/>
  <c r="O25" i="9"/>
  <c r="K25" i="9"/>
  <c r="G25" i="9"/>
  <c r="E25" i="9"/>
  <c r="AG25" i="9" s="1"/>
  <c r="C25" i="9"/>
  <c r="AE25" i="9" s="1"/>
  <c r="O24" i="9"/>
  <c r="K24" i="9"/>
  <c r="G24" i="9"/>
  <c r="E24" i="9"/>
  <c r="AG24" i="9" s="1"/>
  <c r="C24" i="9"/>
  <c r="O23" i="9"/>
  <c r="K23" i="9"/>
  <c r="G23" i="9"/>
  <c r="E23" i="9"/>
  <c r="C23" i="9"/>
  <c r="O22" i="9"/>
  <c r="K22" i="9"/>
  <c r="I22" i="9"/>
  <c r="G22" i="9"/>
  <c r="E22" i="9"/>
  <c r="AG22" i="9" s="1"/>
  <c r="C22" i="9"/>
  <c r="AE22" i="9" s="1"/>
  <c r="O21" i="9"/>
  <c r="M21" i="9"/>
  <c r="K21" i="9"/>
  <c r="I21" i="9"/>
  <c r="G21" i="9"/>
  <c r="E21" i="9"/>
  <c r="C21" i="9"/>
  <c r="AE21" i="9" s="1"/>
  <c r="K20" i="9"/>
  <c r="I20" i="9"/>
  <c r="AG20" i="9" s="1"/>
  <c r="C20" i="9"/>
  <c r="O19" i="9"/>
  <c r="K19" i="9"/>
  <c r="I19" i="9"/>
  <c r="G19" i="9"/>
  <c r="E19" i="9"/>
  <c r="AG19" i="9" s="1"/>
  <c r="C19" i="9"/>
  <c r="AE19" i="9" s="1"/>
  <c r="O18" i="9"/>
  <c r="K18" i="9"/>
  <c r="I18" i="9"/>
  <c r="G18" i="9"/>
  <c r="E18" i="9"/>
  <c r="C18" i="9"/>
  <c r="O17" i="9"/>
  <c r="K17" i="9"/>
  <c r="I17" i="9"/>
  <c r="G17" i="9"/>
  <c r="E17" i="9"/>
  <c r="AG17" i="9" s="1"/>
  <c r="C17" i="9"/>
  <c r="AE17" i="9" s="1"/>
  <c r="O16" i="9"/>
  <c r="K16" i="9"/>
  <c r="G16" i="9"/>
  <c r="E16" i="9"/>
  <c r="AG16" i="9" s="1"/>
  <c r="C16" i="9"/>
  <c r="G33" i="8"/>
  <c r="C33" i="8"/>
  <c r="B33" i="8"/>
  <c r="D33" i="8" s="1"/>
  <c r="V32" i="8"/>
  <c r="R32" i="8"/>
  <c r="S32" i="8" s="1"/>
  <c r="K32" i="8"/>
  <c r="J32" i="8"/>
  <c r="I32" i="8"/>
  <c r="D32" i="8"/>
  <c r="V31" i="8"/>
  <c r="T31" i="8"/>
  <c r="R31" i="8"/>
  <c r="S31" i="8" s="1"/>
  <c r="K31" i="8"/>
  <c r="J31" i="8"/>
  <c r="D31" i="8"/>
  <c r="V30" i="8"/>
  <c r="R30" i="8"/>
  <c r="K30" i="8"/>
  <c r="J30" i="8"/>
  <c r="D30" i="8"/>
  <c r="V29" i="8"/>
  <c r="T29" i="8"/>
  <c r="R29" i="8"/>
  <c r="S29" i="8" s="1"/>
  <c r="J29" i="8"/>
  <c r="D29" i="8"/>
  <c r="V28" i="8"/>
  <c r="R28" i="8"/>
  <c r="K28" i="8"/>
  <c r="J28" i="8"/>
  <c r="D28" i="8"/>
  <c r="V26" i="8"/>
  <c r="P26" i="8"/>
  <c r="O26" i="8"/>
  <c r="L26" i="8"/>
  <c r="H26" i="8"/>
  <c r="G26" i="8"/>
  <c r="F26" i="8"/>
  <c r="E26" i="8"/>
  <c r="M26" i="8" s="1"/>
  <c r="D26" i="8"/>
  <c r="C26" i="8"/>
  <c r="B26" i="8"/>
  <c r="V25" i="8"/>
  <c r="T25" i="8"/>
  <c r="R25" i="8"/>
  <c r="K25" i="8"/>
  <c r="J25" i="8"/>
  <c r="D25" i="8"/>
  <c r="V24" i="8"/>
  <c r="T24" i="8"/>
  <c r="R24" i="8"/>
  <c r="K24" i="8"/>
  <c r="J24" i="8"/>
  <c r="D24" i="8"/>
  <c r="V23" i="8"/>
  <c r="T23" i="8"/>
  <c r="R23" i="8"/>
  <c r="S23" i="8" s="1"/>
  <c r="K23" i="8"/>
  <c r="J23" i="8"/>
  <c r="D23" i="8"/>
  <c r="V22" i="8"/>
  <c r="R22" i="8"/>
  <c r="K22" i="8"/>
  <c r="J22" i="8"/>
  <c r="I22" i="8"/>
  <c r="D22" i="8"/>
  <c r="V21" i="8"/>
  <c r="T21" i="8"/>
  <c r="R21" i="8"/>
  <c r="S21" i="8" s="1"/>
  <c r="M21" i="8"/>
  <c r="K21" i="8"/>
  <c r="J21" i="8"/>
  <c r="I21" i="8"/>
  <c r="I26" i="8" s="1"/>
  <c r="J26" i="8" s="1"/>
  <c r="D21" i="8"/>
  <c r="P19" i="8"/>
  <c r="P33" i="8" s="1"/>
  <c r="O19" i="8"/>
  <c r="L19" i="8"/>
  <c r="L33" i="8" s="1"/>
  <c r="H19" i="8"/>
  <c r="G19" i="8"/>
  <c r="F19" i="8"/>
  <c r="F33" i="8" s="1"/>
  <c r="E19" i="8"/>
  <c r="C19" i="8"/>
  <c r="B19" i="8"/>
  <c r="D19" i="8" s="1"/>
  <c r="V18" i="8"/>
  <c r="T18" i="8"/>
  <c r="R18" i="8"/>
  <c r="K18" i="8"/>
  <c r="J18" i="8"/>
  <c r="I18" i="8"/>
  <c r="D18" i="8"/>
  <c r="V17" i="8"/>
  <c r="T17" i="8"/>
  <c r="R17" i="8"/>
  <c r="S17" i="8" s="1"/>
  <c r="K17" i="8"/>
  <c r="J17" i="8"/>
  <c r="I17" i="8"/>
  <c r="D17" i="8"/>
  <c r="V16" i="8"/>
  <c r="R16" i="8"/>
  <c r="S16" i="8" s="1"/>
  <c r="K16" i="8"/>
  <c r="J16" i="8"/>
  <c r="D16" i="8"/>
  <c r="V15" i="8"/>
  <c r="R15" i="8"/>
  <c r="M15" i="8"/>
  <c r="I15" i="8"/>
  <c r="D15" i="8"/>
  <c r="V14" i="8"/>
  <c r="S14" i="8"/>
  <c r="R14" i="8"/>
  <c r="T14" i="8" s="1"/>
  <c r="M14" i="8"/>
  <c r="J14" i="8"/>
  <c r="I14" i="8"/>
  <c r="K14" i="8" s="1"/>
  <c r="D14" i="8"/>
  <c r="V13" i="8"/>
  <c r="T13" i="8"/>
  <c r="S13" i="8"/>
  <c r="R13" i="8"/>
  <c r="M13" i="8"/>
  <c r="K13" i="8"/>
  <c r="J13" i="8"/>
  <c r="I13" i="8"/>
  <c r="D13" i="8"/>
  <c r="V12" i="8"/>
  <c r="T12" i="8"/>
  <c r="S12" i="8"/>
  <c r="R12" i="8"/>
  <c r="M12" i="8"/>
  <c r="K12" i="8"/>
  <c r="J12" i="8"/>
  <c r="I12" i="8"/>
  <c r="D12" i="8"/>
  <c r="V11" i="8"/>
  <c r="R11" i="8"/>
  <c r="M11" i="8"/>
  <c r="K11" i="8"/>
  <c r="I11" i="8"/>
  <c r="J11" i="8" s="1"/>
  <c r="D11" i="8"/>
  <c r="V10" i="8"/>
  <c r="S10" i="8"/>
  <c r="R10" i="8"/>
  <c r="M10" i="8"/>
  <c r="I10" i="8"/>
  <c r="K10" i="8" s="1"/>
  <c r="D10" i="8"/>
  <c r="M9" i="8"/>
  <c r="J9" i="8"/>
  <c r="I9" i="8"/>
  <c r="K9" i="8" s="1"/>
  <c r="D9" i="8"/>
  <c r="M53" i="7"/>
  <c r="L51" i="7"/>
  <c r="J51" i="7"/>
  <c r="L50" i="7"/>
  <c r="J50" i="7"/>
  <c r="L49" i="7"/>
  <c r="J49" i="7"/>
  <c r="L48" i="7"/>
  <c r="J48" i="7"/>
  <c r="L47" i="7"/>
  <c r="L52" i="7" s="1"/>
  <c r="J47" i="7"/>
  <c r="K45" i="7"/>
  <c r="H45" i="7"/>
  <c r="G45" i="7"/>
  <c r="L44" i="7"/>
  <c r="J44" i="7"/>
  <c r="L43" i="7"/>
  <c r="J43" i="7"/>
  <c r="L42" i="7"/>
  <c r="L45" i="7" s="1"/>
  <c r="J42" i="7"/>
  <c r="J45" i="7" s="1"/>
  <c r="L41" i="7"/>
  <c r="J41" i="7"/>
  <c r="J39" i="7"/>
  <c r="L38" i="7"/>
  <c r="L39" i="7" s="1"/>
  <c r="J38" i="7"/>
  <c r="K36" i="7"/>
  <c r="J36" i="7"/>
  <c r="H36" i="7"/>
  <c r="G36" i="7"/>
  <c r="F36" i="7"/>
  <c r="L35" i="7"/>
  <c r="L36" i="7" s="1"/>
  <c r="J35" i="7"/>
  <c r="K33" i="7"/>
  <c r="H33" i="7"/>
  <c r="G33" i="7"/>
  <c r="F33" i="7"/>
  <c r="L32" i="7"/>
  <c r="J32" i="7"/>
  <c r="L31" i="7"/>
  <c r="J31" i="7"/>
  <c r="L30" i="7"/>
  <c r="J30" i="7"/>
  <c r="L29" i="7"/>
  <c r="J29" i="7"/>
  <c r="J33" i="7" s="1"/>
  <c r="L28" i="7"/>
  <c r="L33" i="7" s="1"/>
  <c r="J28" i="7"/>
  <c r="K26" i="7"/>
  <c r="H26" i="7"/>
  <c r="G26" i="7"/>
  <c r="F26" i="7"/>
  <c r="L25" i="7"/>
  <c r="J25" i="7"/>
  <c r="L24" i="7"/>
  <c r="J24" i="7"/>
  <c r="L23" i="7"/>
  <c r="J23" i="7"/>
  <c r="L22" i="7"/>
  <c r="J22" i="7"/>
  <c r="L21" i="7"/>
  <c r="J21" i="7"/>
  <c r="L20" i="7"/>
  <c r="J20" i="7"/>
  <c r="J26" i="7" s="1"/>
  <c r="L19" i="7"/>
  <c r="L26" i="7" s="1"/>
  <c r="J19" i="7"/>
  <c r="K17" i="7"/>
  <c r="K53" i="7" s="1"/>
  <c r="H17" i="7"/>
  <c r="H53" i="7" s="1"/>
  <c r="G17" i="7"/>
  <c r="F17" i="7"/>
  <c r="F53" i="7" s="1"/>
  <c r="L16" i="7"/>
  <c r="J16" i="7"/>
  <c r="L15" i="7"/>
  <c r="J15" i="7"/>
  <c r="L14" i="7"/>
  <c r="J14" i="7"/>
  <c r="L13" i="7"/>
  <c r="J13" i="7"/>
  <c r="L12" i="7"/>
  <c r="J12" i="7"/>
  <c r="L11" i="7"/>
  <c r="J11" i="7"/>
  <c r="J17" i="7" s="1"/>
  <c r="L10" i="7"/>
  <c r="L17" i="7" s="1"/>
  <c r="L53" i="7" s="1"/>
  <c r="J10" i="7"/>
  <c r="N26" i="6"/>
  <c r="I26" i="6"/>
  <c r="H26" i="6"/>
  <c r="E26" i="6"/>
  <c r="M25" i="6"/>
  <c r="N25" i="6" s="1"/>
  <c r="I25" i="6"/>
  <c r="H25" i="6"/>
  <c r="E25" i="6"/>
  <c r="N24" i="6"/>
  <c r="M24" i="6"/>
  <c r="H24" i="6"/>
  <c r="I24" i="6" s="1"/>
  <c r="E24" i="6"/>
  <c r="M23" i="6"/>
  <c r="H23" i="6"/>
  <c r="I23" i="6" s="1"/>
  <c r="E23" i="6"/>
  <c r="N23" i="6" s="1"/>
  <c r="M22" i="6"/>
  <c r="N22" i="6" s="1"/>
  <c r="I22" i="6"/>
  <c r="H22" i="6"/>
  <c r="E22" i="6"/>
  <c r="M20" i="6"/>
  <c r="L20" i="6"/>
  <c r="L27" i="6" s="1"/>
  <c r="K20" i="6"/>
  <c r="H20" i="6"/>
  <c r="G20" i="6"/>
  <c r="G27" i="6" s="1"/>
  <c r="F20" i="6"/>
  <c r="D20" i="6"/>
  <c r="D27" i="6" s="1"/>
  <c r="C20" i="6"/>
  <c r="C27" i="6" s="1"/>
  <c r="B20" i="6"/>
  <c r="M19" i="6"/>
  <c r="N19" i="6" s="1"/>
  <c r="I19" i="6"/>
  <c r="H19" i="6"/>
  <c r="E19" i="6"/>
  <c r="N18" i="6"/>
  <c r="M18" i="6"/>
  <c r="H18" i="6"/>
  <c r="I18" i="6" s="1"/>
  <c r="E18" i="6"/>
  <c r="H17" i="6"/>
  <c r="I17" i="6" s="1"/>
  <c r="E17" i="6"/>
  <c r="N17" i="6" s="1"/>
  <c r="L15" i="6"/>
  <c r="K15" i="6"/>
  <c r="K27" i="6" s="1"/>
  <c r="G15" i="6"/>
  <c r="F15" i="6"/>
  <c r="F27" i="6" s="1"/>
  <c r="D15" i="6"/>
  <c r="C15" i="6"/>
  <c r="B15" i="6"/>
  <c r="M14" i="6"/>
  <c r="H14" i="6"/>
  <c r="I14" i="6" s="1"/>
  <c r="E14" i="6"/>
  <c r="N14" i="6" s="1"/>
  <c r="M13" i="6"/>
  <c r="N13" i="6" s="1"/>
  <c r="I13" i="6"/>
  <c r="H13" i="6"/>
  <c r="E13" i="6"/>
  <c r="M12" i="6"/>
  <c r="N12" i="6" s="1"/>
  <c r="I12" i="6"/>
  <c r="H12" i="6"/>
  <c r="E12" i="6"/>
  <c r="N11" i="6"/>
  <c r="M11" i="6"/>
  <c r="H11" i="6"/>
  <c r="I11" i="6" s="1"/>
  <c r="E11" i="6"/>
  <c r="M10" i="6"/>
  <c r="H10" i="6"/>
  <c r="I10" i="6" s="1"/>
  <c r="E10" i="6"/>
  <c r="N10" i="6" s="1"/>
  <c r="M9" i="6"/>
  <c r="N9" i="6" s="1"/>
  <c r="I9" i="6"/>
  <c r="H9" i="6"/>
  <c r="E9" i="6"/>
  <c r="M8" i="6"/>
  <c r="N8" i="6" s="1"/>
  <c r="I8" i="6"/>
  <c r="H8" i="6"/>
  <c r="E8" i="6"/>
  <c r="F16" i="21"/>
  <c r="C16" i="21"/>
  <c r="B16" i="21"/>
  <c r="G16" i="21" s="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C32" i="5"/>
  <c r="V31" i="5"/>
  <c r="L31" i="5"/>
  <c r="K31" i="5"/>
  <c r="E31" i="5"/>
  <c r="Q31" i="5" s="1"/>
  <c r="R31" i="5" s="1"/>
  <c r="T31" i="5" s="1"/>
  <c r="V30" i="5"/>
  <c r="R30" i="5"/>
  <c r="T30" i="5" s="1"/>
  <c r="Q30" i="5"/>
  <c r="L30" i="5"/>
  <c r="K30" i="5"/>
  <c r="G30" i="5"/>
  <c r="I30" i="5" s="1"/>
  <c r="F30" i="5"/>
  <c r="E30" i="5"/>
  <c r="V29" i="5"/>
  <c r="Q29" i="5"/>
  <c r="R29" i="5" s="1"/>
  <c r="L29" i="5"/>
  <c r="K29" i="5"/>
  <c r="F29" i="5"/>
  <c r="G29" i="5" s="1"/>
  <c r="E29" i="5"/>
  <c r="T29" i="5" s="1"/>
  <c r="V28" i="5"/>
  <c r="L28" i="5"/>
  <c r="K28" i="5"/>
  <c r="E28" i="5"/>
  <c r="V27" i="5"/>
  <c r="L27" i="5"/>
  <c r="K27" i="5"/>
  <c r="E27" i="5"/>
  <c r="Q27" i="5" s="1"/>
  <c r="R27" i="5" s="1"/>
  <c r="T27" i="5" s="1"/>
  <c r="X25" i="5"/>
  <c r="M25" i="5"/>
  <c r="H25" i="5"/>
  <c r="D25" i="5"/>
  <c r="C25" i="5"/>
  <c r="Z24" i="5"/>
  <c r="V24" i="5"/>
  <c r="U24" i="5"/>
  <c r="T24" i="5"/>
  <c r="R24" i="5"/>
  <c r="Q24" i="5"/>
  <c r="O24" i="5"/>
  <c r="N24" i="5"/>
  <c r="L24" i="5"/>
  <c r="K24" i="5"/>
  <c r="J24" i="5"/>
  <c r="I24" i="5"/>
  <c r="G24" i="5"/>
  <c r="F24" i="5"/>
  <c r="E24" i="5"/>
  <c r="V23" i="5"/>
  <c r="Q23" i="5"/>
  <c r="R23" i="5" s="1"/>
  <c r="L23" i="5"/>
  <c r="K23" i="5"/>
  <c r="F23" i="5"/>
  <c r="G23" i="5" s="1"/>
  <c r="E23" i="5"/>
  <c r="T23" i="5" s="1"/>
  <c r="V22" i="5"/>
  <c r="L22" i="5"/>
  <c r="K22" i="5"/>
  <c r="E22" i="5"/>
  <c r="V21" i="5"/>
  <c r="V25" i="5" s="1"/>
  <c r="L21" i="5"/>
  <c r="K21" i="5"/>
  <c r="E21" i="5"/>
  <c r="Q21" i="5" s="1"/>
  <c r="X19" i="5"/>
  <c r="X32" i="5" s="1"/>
  <c r="M19" i="5"/>
  <c r="M32" i="5" s="1"/>
  <c r="H19" i="5"/>
  <c r="D19" i="5"/>
  <c r="D32" i="5" s="1"/>
  <c r="C19" i="5"/>
  <c r="Z18" i="5"/>
  <c r="V18" i="5"/>
  <c r="U18" i="5"/>
  <c r="T18" i="5"/>
  <c r="R18" i="5"/>
  <c r="Q18" i="5"/>
  <c r="O18" i="5"/>
  <c r="N18" i="5"/>
  <c r="L18" i="5"/>
  <c r="K18" i="5"/>
  <c r="J18" i="5"/>
  <c r="I18" i="5"/>
  <c r="G18" i="5"/>
  <c r="F18" i="5"/>
  <c r="E18" i="5"/>
  <c r="Z17" i="5"/>
  <c r="V17" i="5"/>
  <c r="W17" i="5" s="1"/>
  <c r="Y17" i="5" s="1"/>
  <c r="U17" i="5"/>
  <c r="T17" i="5"/>
  <c r="R17" i="5"/>
  <c r="Q17" i="5"/>
  <c r="N17" i="5"/>
  <c r="O17" i="5" s="1"/>
  <c r="L17" i="5"/>
  <c r="K17" i="5"/>
  <c r="J17" i="5"/>
  <c r="I17" i="5"/>
  <c r="G17" i="5"/>
  <c r="F17" i="5"/>
  <c r="E17" i="5"/>
  <c r="V16" i="5"/>
  <c r="R16" i="5"/>
  <c r="T16" i="5" s="1"/>
  <c r="Q16" i="5"/>
  <c r="L16" i="5"/>
  <c r="K16" i="5"/>
  <c r="G16" i="5"/>
  <c r="I16" i="5" s="1"/>
  <c r="F16" i="5"/>
  <c r="E16" i="5"/>
  <c r="W15" i="5"/>
  <c r="V15" i="5"/>
  <c r="T15" i="5"/>
  <c r="U15" i="5" s="1"/>
  <c r="L15" i="5"/>
  <c r="K15" i="5"/>
  <c r="E15" i="5"/>
  <c r="Q15" i="5" s="1"/>
  <c r="R15" i="5" s="1"/>
  <c r="W14" i="5"/>
  <c r="V14" i="5"/>
  <c r="L14" i="5"/>
  <c r="K14" i="5"/>
  <c r="E14" i="5"/>
  <c r="W13" i="5"/>
  <c r="V13" i="5"/>
  <c r="Q13" i="5"/>
  <c r="R13" i="5" s="1"/>
  <c r="L13" i="5"/>
  <c r="K13" i="5"/>
  <c r="F13" i="5"/>
  <c r="G13" i="5" s="1"/>
  <c r="E13" i="5"/>
  <c r="T13" i="5" s="1"/>
  <c r="W12" i="5"/>
  <c r="V12" i="5"/>
  <c r="R12" i="5"/>
  <c r="T12" i="5" s="1"/>
  <c r="Q12" i="5"/>
  <c r="L12" i="5"/>
  <c r="L19" i="5" s="1"/>
  <c r="K12" i="5"/>
  <c r="K19" i="5" s="1"/>
  <c r="G12" i="5"/>
  <c r="I12" i="5" s="1"/>
  <c r="F12" i="5"/>
  <c r="E12" i="5"/>
  <c r="W11" i="5"/>
  <c r="V11" i="5"/>
  <c r="T11" i="5"/>
  <c r="U11" i="5" s="1"/>
  <c r="L11" i="5"/>
  <c r="K11" i="5"/>
  <c r="E11" i="5"/>
  <c r="Q11" i="5" s="1"/>
  <c r="R11" i="5" s="1"/>
  <c r="W10" i="5"/>
  <c r="V10" i="5"/>
  <c r="L10" i="5"/>
  <c r="K10" i="5"/>
  <c r="E10" i="5"/>
  <c r="L57" i="3"/>
  <c r="H57" i="3"/>
  <c r="D57" i="3"/>
  <c r="K55" i="3"/>
  <c r="G55" i="3"/>
  <c r="E55" i="3"/>
  <c r="C55" i="3"/>
  <c r="N55" i="3" s="1"/>
  <c r="K54" i="3"/>
  <c r="G54" i="3"/>
  <c r="E54" i="3"/>
  <c r="C54" i="3"/>
  <c r="N54" i="3" s="1"/>
  <c r="P53" i="3"/>
  <c r="W53" i="3" s="1"/>
  <c r="M53" i="3"/>
  <c r="K53" i="3"/>
  <c r="I53" i="3"/>
  <c r="G53" i="3"/>
  <c r="E53" i="3"/>
  <c r="C53" i="3"/>
  <c r="N53" i="3" s="1"/>
  <c r="I52" i="3"/>
  <c r="E52" i="3"/>
  <c r="C52" i="3"/>
  <c r="O50" i="3"/>
  <c r="L50" i="3"/>
  <c r="J50" i="3"/>
  <c r="H50" i="3"/>
  <c r="G50" i="3"/>
  <c r="F50" i="3"/>
  <c r="F57" i="3" s="1"/>
  <c r="D50" i="3"/>
  <c r="B50" i="3"/>
  <c r="M49" i="3"/>
  <c r="K49" i="3"/>
  <c r="K50" i="3" s="1"/>
  <c r="I49" i="3"/>
  <c r="G49" i="3"/>
  <c r="E49" i="3"/>
  <c r="C49" i="3"/>
  <c r="N49" i="3" s="1"/>
  <c r="M48" i="3"/>
  <c r="K48" i="3"/>
  <c r="I48" i="3"/>
  <c r="G48" i="3"/>
  <c r="N48" i="3" s="1"/>
  <c r="BB48" i="3" s="1"/>
  <c r="E48" i="3"/>
  <c r="C48" i="3"/>
  <c r="P47" i="3"/>
  <c r="M47" i="3"/>
  <c r="M50" i="3" s="1"/>
  <c r="K47" i="3"/>
  <c r="I47" i="3"/>
  <c r="I50" i="3" s="1"/>
  <c r="G47" i="3"/>
  <c r="E47" i="3"/>
  <c r="E50" i="3" s="1"/>
  <c r="C47" i="3"/>
  <c r="O45" i="3"/>
  <c r="L45" i="3"/>
  <c r="J45" i="3"/>
  <c r="J57" i="3" s="1"/>
  <c r="H45" i="3"/>
  <c r="D45" i="3"/>
  <c r="B45" i="3"/>
  <c r="B57" i="3" s="1"/>
  <c r="M44" i="3"/>
  <c r="K44" i="3"/>
  <c r="I44" i="3"/>
  <c r="G44" i="3"/>
  <c r="N44" i="3" s="1"/>
  <c r="E44" i="3"/>
  <c r="C44" i="3"/>
  <c r="M43" i="3"/>
  <c r="K43" i="3"/>
  <c r="I43" i="3"/>
  <c r="G43" i="3"/>
  <c r="E43" i="3"/>
  <c r="C43" i="3"/>
  <c r="M42" i="3"/>
  <c r="K42" i="3"/>
  <c r="I42" i="3"/>
  <c r="G42" i="3"/>
  <c r="E42" i="3"/>
  <c r="C42" i="3"/>
  <c r="N42" i="3" s="1"/>
  <c r="M41" i="3"/>
  <c r="K41" i="3"/>
  <c r="I41" i="3"/>
  <c r="G41" i="3"/>
  <c r="E41" i="3"/>
  <c r="C41" i="3"/>
  <c r="P40" i="3"/>
  <c r="W40" i="3" s="1"/>
  <c r="M40" i="3"/>
  <c r="K40" i="3"/>
  <c r="I40" i="3"/>
  <c r="G40" i="3"/>
  <c r="E40" i="3"/>
  <c r="C40" i="3"/>
  <c r="I39" i="3"/>
  <c r="I45" i="3" s="1"/>
  <c r="I57" i="3" s="1"/>
  <c r="E39" i="3"/>
  <c r="C39" i="3"/>
  <c r="M38" i="3"/>
  <c r="M45" i="3" s="1"/>
  <c r="M57" i="3" s="1"/>
  <c r="K38" i="3"/>
  <c r="K45" i="3" s="1"/>
  <c r="I38" i="3"/>
  <c r="G38" i="3"/>
  <c r="E38" i="3"/>
  <c r="E45" i="3" s="1"/>
  <c r="E57" i="3" s="1"/>
  <c r="C38" i="3"/>
  <c r="C45" i="3" s="1"/>
  <c r="V28" i="3"/>
  <c r="T28" i="3"/>
  <c r="R28" i="3"/>
  <c r="P28" i="3"/>
  <c r="M28" i="3"/>
  <c r="K28" i="3"/>
  <c r="I28" i="3"/>
  <c r="G28" i="3"/>
  <c r="N28" i="3" s="1"/>
  <c r="E28" i="3"/>
  <c r="C28" i="3"/>
  <c r="V27" i="3"/>
  <c r="T27" i="3"/>
  <c r="R27" i="3"/>
  <c r="P27" i="3"/>
  <c r="M27" i="3"/>
  <c r="K27" i="3"/>
  <c r="I27" i="3"/>
  <c r="G27" i="3"/>
  <c r="E27" i="3"/>
  <c r="C27" i="3"/>
  <c r="N27" i="3" s="1"/>
  <c r="Y26" i="3"/>
  <c r="AD26" i="3" s="1"/>
  <c r="V26" i="3"/>
  <c r="T26" i="3"/>
  <c r="R26" i="3"/>
  <c r="P26" i="3"/>
  <c r="W26" i="3" s="1"/>
  <c r="M26" i="3"/>
  <c r="K26" i="3"/>
  <c r="I26" i="3"/>
  <c r="G26" i="3"/>
  <c r="N26" i="3" s="1"/>
  <c r="E26" i="3"/>
  <c r="C26" i="3"/>
  <c r="V25" i="3"/>
  <c r="T25" i="3"/>
  <c r="R25" i="3"/>
  <c r="P25" i="3"/>
  <c r="M25" i="3"/>
  <c r="K25" i="3"/>
  <c r="I25" i="3"/>
  <c r="G25" i="3"/>
  <c r="E25" i="3"/>
  <c r="C25" i="3"/>
  <c r="V24" i="3"/>
  <c r="T24" i="3"/>
  <c r="R24" i="3"/>
  <c r="P24" i="3"/>
  <c r="M24" i="3"/>
  <c r="K24" i="3"/>
  <c r="I24" i="3"/>
  <c r="G24" i="3"/>
  <c r="E24" i="3"/>
  <c r="C24" i="3"/>
  <c r="N24" i="3" s="1"/>
  <c r="AB22" i="3"/>
  <c r="Z22" i="3"/>
  <c r="X22" i="3"/>
  <c r="U22" i="3"/>
  <c r="S22" i="3"/>
  <c r="Q22" i="3"/>
  <c r="O22" i="3"/>
  <c r="M22" i="3"/>
  <c r="L22" i="3"/>
  <c r="J22" i="3"/>
  <c r="H22" i="3"/>
  <c r="F22" i="3"/>
  <c r="E22" i="3"/>
  <c r="D22" i="3"/>
  <c r="B22" i="3"/>
  <c r="V21" i="3"/>
  <c r="V22" i="3" s="1"/>
  <c r="T21" i="3"/>
  <c r="R21" i="3"/>
  <c r="P21" i="3"/>
  <c r="M21" i="3"/>
  <c r="K21" i="3"/>
  <c r="I21" i="3"/>
  <c r="G21" i="3"/>
  <c r="N21" i="3" s="1"/>
  <c r="E21" i="3"/>
  <c r="C21" i="3"/>
  <c r="Y20" i="3"/>
  <c r="AD20" i="3" s="1"/>
  <c r="V20" i="3"/>
  <c r="T20" i="3"/>
  <c r="R20" i="3"/>
  <c r="R22" i="3" s="1"/>
  <c r="P20" i="3"/>
  <c r="W20" i="3" s="1"/>
  <c r="M20" i="3"/>
  <c r="K20" i="3"/>
  <c r="I20" i="3"/>
  <c r="G20" i="3"/>
  <c r="E20" i="3"/>
  <c r="C20" i="3"/>
  <c r="N20" i="3" s="1"/>
  <c r="V19" i="3"/>
  <c r="T19" i="3"/>
  <c r="T22" i="3" s="1"/>
  <c r="R19" i="3"/>
  <c r="P19" i="3"/>
  <c r="M19" i="3"/>
  <c r="K19" i="3"/>
  <c r="K22" i="3" s="1"/>
  <c r="I19" i="3"/>
  <c r="I22" i="3" s="1"/>
  <c r="G19" i="3"/>
  <c r="E19" i="3"/>
  <c r="C19" i="3"/>
  <c r="C22" i="3" s="1"/>
  <c r="AB17" i="3"/>
  <c r="AB29" i="3" s="1"/>
  <c r="Z17" i="3"/>
  <c r="Z29" i="3" s="1"/>
  <c r="X17" i="3"/>
  <c r="X29" i="3" s="1"/>
  <c r="U17" i="3"/>
  <c r="U29" i="3" s="1"/>
  <c r="S17" i="3"/>
  <c r="S29" i="3" s="1"/>
  <c r="Q17" i="3"/>
  <c r="Q29" i="3" s="1"/>
  <c r="O17" i="3"/>
  <c r="O29" i="3" s="1"/>
  <c r="L17" i="3"/>
  <c r="L29" i="3" s="1"/>
  <c r="J17" i="3"/>
  <c r="J29" i="3" s="1"/>
  <c r="H17" i="3"/>
  <c r="H29" i="3" s="1"/>
  <c r="F17" i="3"/>
  <c r="F29" i="3" s="1"/>
  <c r="D17" i="3"/>
  <c r="D29" i="3" s="1"/>
  <c r="B17" i="3"/>
  <c r="B29" i="3" s="1"/>
  <c r="V16" i="3"/>
  <c r="T16" i="3"/>
  <c r="R16" i="3"/>
  <c r="P16" i="3"/>
  <c r="M16" i="3"/>
  <c r="K16" i="3"/>
  <c r="I16" i="3"/>
  <c r="G16" i="3"/>
  <c r="N16" i="3" s="1"/>
  <c r="E16" i="3"/>
  <c r="C16" i="3"/>
  <c r="AC15" i="3"/>
  <c r="AA15" i="3"/>
  <c r="Y15" i="3"/>
  <c r="V15" i="3"/>
  <c r="T15" i="3"/>
  <c r="R15" i="3"/>
  <c r="P15" i="3"/>
  <c r="M15" i="3"/>
  <c r="K15" i="3"/>
  <c r="I15" i="3"/>
  <c r="G15" i="3"/>
  <c r="E15" i="3"/>
  <c r="C15" i="3"/>
  <c r="AF14" i="3"/>
  <c r="AO14" i="3" s="1"/>
  <c r="AC14" i="3"/>
  <c r="AA14" i="3"/>
  <c r="Y14" i="3"/>
  <c r="V14" i="3"/>
  <c r="T14" i="3"/>
  <c r="R14" i="3"/>
  <c r="P14" i="3"/>
  <c r="M14" i="3"/>
  <c r="K14" i="3"/>
  <c r="I14" i="3"/>
  <c r="G14" i="3"/>
  <c r="N14" i="3" s="1"/>
  <c r="E14" i="3"/>
  <c r="C14" i="3"/>
  <c r="AF13" i="3"/>
  <c r="AO13" i="3" s="1"/>
  <c r="AD13" i="3"/>
  <c r="AC13" i="3"/>
  <c r="AA13" i="3"/>
  <c r="Y13" i="3"/>
  <c r="V13" i="3"/>
  <c r="T13" i="3"/>
  <c r="R13" i="3"/>
  <c r="P13" i="3"/>
  <c r="W13" i="3" s="1"/>
  <c r="M13" i="3"/>
  <c r="K13" i="3"/>
  <c r="I13" i="3"/>
  <c r="G13" i="3"/>
  <c r="N13" i="3" s="1"/>
  <c r="E13" i="3"/>
  <c r="C13" i="3"/>
  <c r="AF12" i="3"/>
  <c r="AO12" i="3" s="1"/>
  <c r="AC12" i="3"/>
  <c r="AA12" i="3"/>
  <c r="Y12" i="3"/>
  <c r="V12" i="3"/>
  <c r="T12" i="3"/>
  <c r="R12" i="3"/>
  <c r="P12" i="3"/>
  <c r="W12" i="3" s="1"/>
  <c r="M12" i="3"/>
  <c r="K12" i="3"/>
  <c r="I12" i="3"/>
  <c r="G12" i="3"/>
  <c r="N12" i="3" s="1"/>
  <c r="E12" i="3"/>
  <c r="C12" i="3"/>
  <c r="AF11" i="3"/>
  <c r="AO11" i="3" s="1"/>
  <c r="AC11" i="3"/>
  <c r="AA11" i="3"/>
  <c r="Y11" i="3"/>
  <c r="AD11" i="3" s="1"/>
  <c r="V11" i="3"/>
  <c r="T11" i="3"/>
  <c r="R11" i="3"/>
  <c r="P11" i="3"/>
  <c r="P17" i="3" s="1"/>
  <c r="M11" i="3"/>
  <c r="K11" i="3"/>
  <c r="I11" i="3"/>
  <c r="I17" i="3" s="1"/>
  <c r="I29" i="3" s="1"/>
  <c r="G11" i="3"/>
  <c r="E11" i="3"/>
  <c r="C11" i="3"/>
  <c r="AF10" i="3"/>
  <c r="AC10" i="3"/>
  <c r="AC17" i="3" s="1"/>
  <c r="AC29" i="3" s="1"/>
  <c r="AA10" i="3"/>
  <c r="Y10" i="3"/>
  <c r="V10" i="3"/>
  <c r="V17" i="3" s="1"/>
  <c r="T10" i="3"/>
  <c r="T17" i="3" s="1"/>
  <c r="T29" i="3" s="1"/>
  <c r="R10" i="3"/>
  <c r="P10" i="3"/>
  <c r="M10" i="3"/>
  <c r="M17" i="3" s="1"/>
  <c r="M29" i="3" s="1"/>
  <c r="K10" i="3"/>
  <c r="K17" i="3" s="1"/>
  <c r="K29" i="3" s="1"/>
  <c r="I10" i="3"/>
  <c r="G10" i="3"/>
  <c r="E10" i="3"/>
  <c r="E17" i="3" s="1"/>
  <c r="E29" i="3" s="1"/>
  <c r="C10" i="3"/>
  <c r="J42" i="4"/>
  <c r="I42" i="4"/>
  <c r="F42" i="4"/>
  <c r="G42" i="4" s="1"/>
  <c r="D42" i="4"/>
  <c r="I41" i="4"/>
  <c r="J41" i="4" s="1"/>
  <c r="F41" i="4"/>
  <c r="G41" i="4" s="1"/>
  <c r="D41" i="4"/>
  <c r="D43" i="4" s="1"/>
  <c r="J38" i="4"/>
  <c r="I38" i="4"/>
  <c r="F38" i="4"/>
  <c r="G38" i="4" s="1"/>
  <c r="D38" i="4"/>
  <c r="I37" i="4"/>
  <c r="J37" i="4" s="1"/>
  <c r="F37" i="4"/>
  <c r="G37" i="4" s="1"/>
  <c r="D37" i="4"/>
  <c r="J36" i="4"/>
  <c r="I36" i="4"/>
  <c r="F36" i="4"/>
  <c r="G36" i="4" s="1"/>
  <c r="D36" i="4"/>
  <c r="D39" i="4" s="1"/>
  <c r="I33" i="4"/>
  <c r="J33" i="4" s="1"/>
  <c r="G33" i="4"/>
  <c r="F33" i="4"/>
  <c r="D33" i="4"/>
  <c r="I32" i="4"/>
  <c r="J32" i="4" s="1"/>
  <c r="G32" i="4"/>
  <c r="F32" i="4"/>
  <c r="D32" i="4"/>
  <c r="I31" i="4"/>
  <c r="J31" i="4" s="1"/>
  <c r="G31" i="4"/>
  <c r="F31" i="4"/>
  <c r="D31" i="4"/>
  <c r="I30" i="4"/>
  <c r="J30" i="4" s="1"/>
  <c r="G30" i="4"/>
  <c r="F30" i="4"/>
  <c r="D30" i="4"/>
  <c r="I29" i="4"/>
  <c r="J29" i="4" s="1"/>
  <c r="J34" i="4" s="1"/>
  <c r="G29" i="4"/>
  <c r="F29" i="4"/>
  <c r="D29" i="4"/>
  <c r="D34" i="4" s="1"/>
  <c r="J26" i="4"/>
  <c r="I26" i="4"/>
  <c r="F26" i="4"/>
  <c r="G26" i="4" s="1"/>
  <c r="D26" i="4"/>
  <c r="J25" i="4"/>
  <c r="I25" i="4"/>
  <c r="F25" i="4"/>
  <c r="G25" i="4" s="1"/>
  <c r="D25" i="4"/>
  <c r="I24" i="4"/>
  <c r="J24" i="4" s="1"/>
  <c r="F24" i="4"/>
  <c r="G24" i="4" s="1"/>
  <c r="G27" i="4" s="1"/>
  <c r="D24" i="4"/>
  <c r="D27" i="4" s="1"/>
  <c r="I21" i="4"/>
  <c r="J21" i="4" s="1"/>
  <c r="J22" i="4" s="1"/>
  <c r="G21" i="4"/>
  <c r="F21" i="4"/>
  <c r="D21" i="4"/>
  <c r="I20" i="4"/>
  <c r="J20" i="4" s="1"/>
  <c r="G20" i="4"/>
  <c r="F20" i="4"/>
  <c r="D20" i="4"/>
  <c r="I19" i="4"/>
  <c r="J19" i="4" s="1"/>
  <c r="G19" i="4"/>
  <c r="F19" i="4"/>
  <c r="D19" i="4"/>
  <c r="I18" i="4"/>
  <c r="J18" i="4" s="1"/>
  <c r="G18" i="4"/>
  <c r="F18" i="4"/>
  <c r="D18" i="4"/>
  <c r="D22" i="4" s="1"/>
  <c r="J16" i="4"/>
  <c r="J15" i="4"/>
  <c r="I15" i="4"/>
  <c r="G15" i="4"/>
  <c r="F15" i="4"/>
  <c r="D15" i="4"/>
  <c r="J14" i="4"/>
  <c r="I14" i="4"/>
  <c r="G14" i="4"/>
  <c r="F14" i="4"/>
  <c r="D14" i="4"/>
  <c r="J13" i="4"/>
  <c r="I13" i="4"/>
  <c r="G13" i="4"/>
  <c r="F13" i="4"/>
  <c r="D13" i="4"/>
  <c r="J12" i="4"/>
  <c r="I12" i="4"/>
  <c r="G12" i="4"/>
  <c r="F12" i="4"/>
  <c r="D12" i="4"/>
  <c r="J11" i="4"/>
  <c r="I11" i="4"/>
  <c r="G11" i="4"/>
  <c r="F11" i="4"/>
  <c r="D11" i="4"/>
  <c r="J10" i="4"/>
  <c r="I10" i="4"/>
  <c r="G10" i="4"/>
  <c r="G16" i="4" s="1"/>
  <c r="F10" i="4"/>
  <c r="D10" i="4"/>
  <c r="D16" i="4" s="1"/>
  <c r="H93" i="18"/>
  <c r="G93" i="18"/>
  <c r="D93" i="18"/>
  <c r="C93" i="18"/>
  <c r="B93" i="18"/>
  <c r="E93" i="18" s="1"/>
  <c r="G91" i="18"/>
  <c r="H91" i="18" s="1"/>
  <c r="C91" i="18"/>
  <c r="B91" i="18"/>
  <c r="H90" i="18"/>
  <c r="I90" i="18" s="1"/>
  <c r="E90" i="18"/>
  <c r="D90" i="18"/>
  <c r="H89" i="18"/>
  <c r="G89" i="18"/>
  <c r="C89" i="18"/>
  <c r="D89" i="18" s="1"/>
  <c r="B89" i="18"/>
  <c r="E89" i="18" s="1"/>
  <c r="H88" i="18"/>
  <c r="G88" i="18"/>
  <c r="E88" i="18"/>
  <c r="D88" i="18"/>
  <c r="C88" i="18"/>
  <c r="B88" i="18"/>
  <c r="I87" i="18"/>
  <c r="H87" i="18"/>
  <c r="G87" i="18"/>
  <c r="D87" i="18"/>
  <c r="C87" i="18"/>
  <c r="B87" i="18"/>
  <c r="H85" i="18"/>
  <c r="E85" i="18"/>
  <c r="D85" i="18"/>
  <c r="H84" i="18"/>
  <c r="E84" i="18"/>
  <c r="D84" i="18"/>
  <c r="H83" i="18"/>
  <c r="G83" i="18"/>
  <c r="D83" i="18"/>
  <c r="C83" i="18"/>
  <c r="B83" i="18"/>
  <c r="I83" i="18" s="1"/>
  <c r="H82" i="18"/>
  <c r="E82" i="18"/>
  <c r="D82" i="18"/>
  <c r="H81" i="18"/>
  <c r="E81" i="18"/>
  <c r="D81" i="18"/>
  <c r="H80" i="18"/>
  <c r="E80" i="18"/>
  <c r="D80" i="18"/>
  <c r="H79" i="18"/>
  <c r="E79" i="18"/>
  <c r="D79" i="18"/>
  <c r="G78" i="18"/>
  <c r="C78" i="18"/>
  <c r="B78" i="18"/>
  <c r="H77" i="18"/>
  <c r="E77" i="18"/>
  <c r="D77" i="18"/>
  <c r="H76" i="18"/>
  <c r="I76" i="18" s="1"/>
  <c r="E76" i="18"/>
  <c r="D76" i="18"/>
  <c r="H75" i="18"/>
  <c r="I75" i="18" s="1"/>
  <c r="E75" i="18"/>
  <c r="D75" i="18"/>
  <c r="H74" i="18"/>
  <c r="I74" i="18" s="1"/>
  <c r="D74" i="18"/>
  <c r="E74" i="18" s="1"/>
  <c r="H73" i="18"/>
  <c r="G73" i="18"/>
  <c r="D73" i="18"/>
  <c r="C73" i="18"/>
  <c r="B73" i="18"/>
  <c r="E73" i="18" s="1"/>
  <c r="H72" i="18"/>
  <c r="I72" i="18" s="1"/>
  <c r="E72" i="18"/>
  <c r="D72" i="18"/>
  <c r="H71" i="18"/>
  <c r="I71" i="18" s="1"/>
  <c r="D71" i="18"/>
  <c r="E71" i="18" s="1"/>
  <c r="I70" i="18"/>
  <c r="H70" i="18"/>
  <c r="D70" i="18"/>
  <c r="E70" i="18" s="1"/>
  <c r="H68" i="18"/>
  <c r="G68" i="18"/>
  <c r="D68" i="18"/>
  <c r="C68" i="18"/>
  <c r="B68" i="18"/>
  <c r="H67" i="18"/>
  <c r="I67" i="18" s="1"/>
  <c r="E67" i="18"/>
  <c r="D67" i="18"/>
  <c r="H65" i="18"/>
  <c r="I65" i="18" s="1"/>
  <c r="E65" i="18"/>
  <c r="D65" i="18"/>
  <c r="I64" i="18"/>
  <c r="H64" i="18"/>
  <c r="E64" i="18"/>
  <c r="D64" i="18"/>
  <c r="H61" i="18"/>
  <c r="G61" i="18"/>
  <c r="E61" i="18"/>
  <c r="D61" i="18"/>
  <c r="C61" i="18"/>
  <c r="B61" i="18"/>
  <c r="H60" i="18"/>
  <c r="I60" i="18" s="1"/>
  <c r="E60" i="18"/>
  <c r="D60" i="18"/>
  <c r="G59" i="18"/>
  <c r="C59" i="18"/>
  <c r="B59" i="18"/>
  <c r="I58" i="18"/>
  <c r="H58" i="18"/>
  <c r="G58" i="18"/>
  <c r="E58" i="18"/>
  <c r="D58" i="18"/>
  <c r="C58" i="18"/>
  <c r="B58" i="18"/>
  <c r="I57" i="18"/>
  <c r="H57" i="18"/>
  <c r="G57" i="18"/>
  <c r="D57" i="18"/>
  <c r="C57" i="18"/>
  <c r="C56" i="18" s="1"/>
  <c r="B57" i="18"/>
  <c r="H55" i="18"/>
  <c r="I55" i="18" s="1"/>
  <c r="D55" i="18"/>
  <c r="E55" i="18" s="1"/>
  <c r="H54" i="18"/>
  <c r="E54" i="18"/>
  <c r="D54" i="18"/>
  <c r="I53" i="18"/>
  <c r="H53" i="18"/>
  <c r="G53" i="18"/>
  <c r="D53" i="18"/>
  <c r="C53" i="18"/>
  <c r="B53" i="18"/>
  <c r="I52" i="18"/>
  <c r="H52" i="18"/>
  <c r="E52" i="18"/>
  <c r="D52" i="18"/>
  <c r="I51" i="18"/>
  <c r="H51" i="18"/>
  <c r="E51" i="18"/>
  <c r="D51" i="18"/>
  <c r="I50" i="18"/>
  <c r="H50" i="18"/>
  <c r="E50" i="18"/>
  <c r="D50" i="18"/>
  <c r="I49" i="18"/>
  <c r="H49" i="18"/>
  <c r="E49" i="18"/>
  <c r="D49" i="18"/>
  <c r="G48" i="18"/>
  <c r="H48" i="18" s="1"/>
  <c r="E48" i="18"/>
  <c r="C48" i="18"/>
  <c r="B48" i="18"/>
  <c r="I48" i="18" s="1"/>
  <c r="I47" i="18"/>
  <c r="H47" i="18"/>
  <c r="D47" i="18"/>
  <c r="E47" i="18" s="1"/>
  <c r="I46" i="18"/>
  <c r="H46" i="18"/>
  <c r="E46" i="18"/>
  <c r="D46" i="18"/>
  <c r="I45" i="18"/>
  <c r="H45" i="18"/>
  <c r="D45" i="18"/>
  <c r="E45" i="18" s="1"/>
  <c r="I44" i="18"/>
  <c r="H44" i="18"/>
  <c r="D44" i="18"/>
  <c r="E44" i="18" s="1"/>
  <c r="G43" i="18"/>
  <c r="C43" i="18"/>
  <c r="B43" i="18"/>
  <c r="D43" i="18" s="1"/>
  <c r="I42" i="18"/>
  <c r="H42" i="18"/>
  <c r="E42" i="18"/>
  <c r="D42" i="18"/>
  <c r="H41" i="18"/>
  <c r="I41" i="18" s="1"/>
  <c r="D41" i="18"/>
  <c r="E41" i="18" s="1"/>
  <c r="I40" i="18"/>
  <c r="H40" i="18"/>
  <c r="D40" i="18"/>
  <c r="E40" i="18" s="1"/>
  <c r="I39" i="18"/>
  <c r="H39" i="18"/>
  <c r="D39" i="18"/>
  <c r="E39" i="18" s="1"/>
  <c r="G38" i="18"/>
  <c r="C38" i="18"/>
  <c r="D38" i="18" s="1"/>
  <c r="B38" i="18"/>
  <c r="I37" i="18"/>
  <c r="H37" i="18"/>
  <c r="E37" i="18"/>
  <c r="D37" i="18"/>
  <c r="H36" i="18"/>
  <c r="I36" i="18" s="1"/>
  <c r="D36" i="18"/>
  <c r="E36" i="18" s="1"/>
  <c r="H35" i="18"/>
  <c r="I35" i="18" s="1"/>
  <c r="D35" i="18"/>
  <c r="E35" i="18" s="1"/>
  <c r="H34" i="18"/>
  <c r="I34" i="18" s="1"/>
  <c r="D34" i="18"/>
  <c r="E34" i="18" s="1"/>
  <c r="G33" i="18"/>
  <c r="H33" i="18" s="1"/>
  <c r="C33" i="18"/>
  <c r="D33" i="18" s="1"/>
  <c r="B33" i="18"/>
  <c r="E33" i="18" s="1"/>
  <c r="I32" i="18"/>
  <c r="H32" i="18"/>
  <c r="E32" i="18"/>
  <c r="D32" i="18"/>
  <c r="I31" i="18"/>
  <c r="H31" i="18"/>
  <c r="D31" i="18"/>
  <c r="E31" i="18" s="1"/>
  <c r="I30" i="18"/>
  <c r="H30" i="18"/>
  <c r="D30" i="18"/>
  <c r="E30" i="18" s="1"/>
  <c r="I29" i="18"/>
  <c r="H29" i="18"/>
  <c r="D29" i="18"/>
  <c r="E29" i="18" s="1"/>
  <c r="G28" i="18"/>
  <c r="H28" i="18" s="1"/>
  <c r="I28" i="18" s="1"/>
  <c r="D28" i="18"/>
  <c r="E28" i="18" s="1"/>
  <c r="C28" i="18"/>
  <c r="B28" i="18"/>
  <c r="I27" i="18"/>
  <c r="H27" i="18"/>
  <c r="E27" i="18"/>
  <c r="D27" i="18"/>
  <c r="H26" i="18"/>
  <c r="I26" i="18" s="1"/>
  <c r="D26" i="18"/>
  <c r="E26" i="18" s="1"/>
  <c r="H25" i="18"/>
  <c r="I25" i="18" s="1"/>
  <c r="D25" i="18"/>
  <c r="E25" i="18" s="1"/>
  <c r="H24" i="18"/>
  <c r="I24" i="18" s="1"/>
  <c r="D24" i="18"/>
  <c r="E24" i="18" s="1"/>
  <c r="H23" i="18"/>
  <c r="I23" i="18" s="1"/>
  <c r="G23" i="18"/>
  <c r="C23" i="18"/>
  <c r="D23" i="18" s="1"/>
  <c r="E23" i="18" s="1"/>
  <c r="B23" i="18"/>
  <c r="I22" i="18"/>
  <c r="H22" i="18"/>
  <c r="E22" i="18"/>
  <c r="D22" i="18"/>
  <c r="H21" i="18"/>
  <c r="I21" i="18" s="1"/>
  <c r="E21" i="18"/>
  <c r="D21" i="18"/>
  <c r="H20" i="18"/>
  <c r="I20" i="18" s="1"/>
  <c r="E20" i="18"/>
  <c r="D20" i="18"/>
  <c r="H19" i="18"/>
  <c r="I19" i="18" s="1"/>
  <c r="E19" i="18"/>
  <c r="D19" i="18"/>
  <c r="G18" i="18"/>
  <c r="H18" i="18" s="1"/>
  <c r="C18" i="18"/>
  <c r="D18" i="18" s="1"/>
  <c r="B18" i="18"/>
  <c r="I18" i="18" s="1"/>
  <c r="I17" i="18"/>
  <c r="H17" i="18"/>
  <c r="E17" i="18"/>
  <c r="D17" i="18"/>
  <c r="H16" i="18"/>
  <c r="I16" i="18" s="1"/>
  <c r="D16" i="18"/>
  <c r="E16" i="18" s="1"/>
  <c r="H15" i="18"/>
  <c r="I15" i="18" s="1"/>
  <c r="D15" i="18"/>
  <c r="E15" i="18" s="1"/>
  <c r="H14" i="18"/>
  <c r="I14" i="18" s="1"/>
  <c r="D14" i="18"/>
  <c r="E14" i="18" s="1"/>
  <c r="G13" i="18"/>
  <c r="H13" i="18" s="1"/>
  <c r="C13" i="18"/>
  <c r="D13" i="18" s="1"/>
  <c r="E13" i="18" s="1"/>
  <c r="B13" i="18"/>
  <c r="I12" i="18"/>
  <c r="H12" i="18"/>
  <c r="E12" i="18"/>
  <c r="D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G8" i="18"/>
  <c r="H8" i="18" s="1"/>
  <c r="I8" i="18" s="1"/>
  <c r="D8" i="18"/>
  <c r="E8" i="18" s="1"/>
  <c r="C8" i="18"/>
  <c r="B8" i="18"/>
  <c r="C19" i="17"/>
  <c r="H18" i="17"/>
  <c r="G18" i="17"/>
  <c r="C18" i="17"/>
  <c r="B18" i="17"/>
  <c r="I18" i="17" s="1"/>
  <c r="H17" i="17"/>
  <c r="I17" i="17" s="1"/>
  <c r="D17" i="17"/>
  <c r="D18" i="17" s="1"/>
  <c r="G15" i="17"/>
  <c r="G19" i="17" s="1"/>
  <c r="C15" i="17"/>
  <c r="B15" i="17"/>
  <c r="B19" i="17" s="1"/>
  <c r="I14" i="17"/>
  <c r="H14" i="17"/>
  <c r="D14" i="17"/>
  <c r="E14" i="17" s="1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10" i="17"/>
  <c r="H10" i="17"/>
  <c r="D10" i="17"/>
  <c r="E10" i="17" s="1"/>
  <c r="I9" i="17"/>
  <c r="H9" i="17"/>
  <c r="D9" i="17"/>
  <c r="E9" i="17" s="1"/>
  <c r="I8" i="17"/>
  <c r="H8" i="17"/>
  <c r="H15" i="17" s="1"/>
  <c r="H19" i="17" s="1"/>
  <c r="D8" i="17"/>
  <c r="E8" i="17" s="1"/>
  <c r="G53" i="7" l="1"/>
  <c r="I13" i="18"/>
  <c r="I19" i="17"/>
  <c r="E17" i="17"/>
  <c r="D15" i="17"/>
  <c r="I15" i="17"/>
  <c r="E18" i="17"/>
  <c r="E18" i="18"/>
  <c r="I33" i="18"/>
  <c r="E38" i="18"/>
  <c r="E43" i="18"/>
  <c r="D48" i="18"/>
  <c r="E53" i="18"/>
  <c r="H59" i="18"/>
  <c r="E68" i="18"/>
  <c r="Y31" i="5"/>
  <c r="Z31" i="5" s="1"/>
  <c r="U31" i="5"/>
  <c r="H43" i="18"/>
  <c r="I43" i="18" s="1"/>
  <c r="E57" i="18"/>
  <c r="I78" i="18"/>
  <c r="E78" i="18"/>
  <c r="D78" i="18"/>
  <c r="E22" i="4"/>
  <c r="J43" i="4"/>
  <c r="H38" i="18"/>
  <c r="I38" i="18" s="1"/>
  <c r="I59" i="18"/>
  <c r="E59" i="18"/>
  <c r="D59" i="18"/>
  <c r="C44" i="4"/>
  <c r="E34" i="4" s="1"/>
  <c r="E16" i="4"/>
  <c r="Y27" i="5"/>
  <c r="Z27" i="5" s="1"/>
  <c r="U27" i="5"/>
  <c r="B56" i="18"/>
  <c r="H78" i="18"/>
  <c r="E87" i="18"/>
  <c r="E11" i="4"/>
  <c r="E15" i="4"/>
  <c r="J27" i="4"/>
  <c r="I61" i="18"/>
  <c r="E83" i="18"/>
  <c r="I88" i="18"/>
  <c r="E10" i="4"/>
  <c r="G22" i="4"/>
  <c r="G34" i="4"/>
  <c r="E30" i="4"/>
  <c r="E32" i="4"/>
  <c r="G17" i="3"/>
  <c r="G29" i="3" s="1"/>
  <c r="W10" i="3"/>
  <c r="Y17" i="3"/>
  <c r="AD10" i="3"/>
  <c r="N11" i="3"/>
  <c r="W14" i="3"/>
  <c r="BB14" i="3" s="1"/>
  <c r="N15" i="3"/>
  <c r="G22" i="3"/>
  <c r="N19" i="3"/>
  <c r="W21" i="3"/>
  <c r="BB21" i="3" s="1"/>
  <c r="G45" i="3"/>
  <c r="G57" i="3" s="1"/>
  <c r="N41" i="3"/>
  <c r="N47" i="3"/>
  <c r="W47" i="3"/>
  <c r="W50" i="3" s="1"/>
  <c r="P50" i="3"/>
  <c r="Y11" i="5"/>
  <c r="Z11" i="5" s="1"/>
  <c r="L25" i="5"/>
  <c r="L32" i="5" s="1"/>
  <c r="E25" i="5"/>
  <c r="T22" i="5"/>
  <c r="Q22" i="5"/>
  <c r="R22" i="5" s="1"/>
  <c r="F22" i="5"/>
  <c r="G22" i="5" s="1"/>
  <c r="I22" i="5" s="1"/>
  <c r="Y29" i="5"/>
  <c r="Z29" i="5" s="1"/>
  <c r="U29" i="5"/>
  <c r="J30" i="5"/>
  <c r="N30" i="5"/>
  <c r="O30" i="5" s="1"/>
  <c r="Y30" i="5"/>
  <c r="Z30" i="5" s="1"/>
  <c r="U30" i="5"/>
  <c r="D16" i="21"/>
  <c r="G56" i="18"/>
  <c r="I68" i="18"/>
  <c r="I73" i="18"/>
  <c r="B86" i="18"/>
  <c r="G86" i="18"/>
  <c r="D91" i="18"/>
  <c r="E91" i="18" s="1"/>
  <c r="I93" i="18"/>
  <c r="G39" i="4"/>
  <c r="R17" i="3"/>
  <c r="R29" i="3" s="1"/>
  <c r="AA17" i="3"/>
  <c r="AA29" i="3" s="1"/>
  <c r="AD14" i="3"/>
  <c r="W19" i="3"/>
  <c r="W22" i="3" s="1"/>
  <c r="P22" i="3"/>
  <c r="P29" i="3" s="1"/>
  <c r="W24" i="3"/>
  <c r="N25" i="3"/>
  <c r="N40" i="3"/>
  <c r="O57" i="3"/>
  <c r="V19" i="5"/>
  <c r="V32" i="5" s="1"/>
  <c r="T14" i="5"/>
  <c r="I14" i="5"/>
  <c r="Q14" i="5"/>
  <c r="R14" i="5" s="1"/>
  <c r="F14" i="5"/>
  <c r="G14" i="5" s="1"/>
  <c r="J16" i="5"/>
  <c r="N16" i="5"/>
  <c r="O16" i="5" s="1"/>
  <c r="Y16" i="5"/>
  <c r="Z16" i="5" s="1"/>
  <c r="U16" i="5"/>
  <c r="R21" i="5"/>
  <c r="Q25" i="5"/>
  <c r="Q28" i="5"/>
  <c r="R28" i="5" s="1"/>
  <c r="T28" i="5" s="1"/>
  <c r="F28" i="5"/>
  <c r="G28" i="5" s="1"/>
  <c r="I28" i="5" s="1"/>
  <c r="E15" i="6"/>
  <c r="B27" i="6"/>
  <c r="M15" i="6"/>
  <c r="N15" i="6" s="1"/>
  <c r="H15" i="6"/>
  <c r="I15" i="6" s="1"/>
  <c r="W45" i="3"/>
  <c r="W57" i="3" s="1"/>
  <c r="C86" i="18"/>
  <c r="D86" i="18" s="1"/>
  <c r="I89" i="18"/>
  <c r="E29" i="4"/>
  <c r="E31" i="4"/>
  <c r="E33" i="4"/>
  <c r="C17" i="3"/>
  <c r="C29" i="3" s="1"/>
  <c r="N10" i="3"/>
  <c r="W11" i="3"/>
  <c r="W15" i="3"/>
  <c r="AD15" i="3"/>
  <c r="K57" i="3"/>
  <c r="N43" i="3"/>
  <c r="C50" i="3"/>
  <c r="C57" i="3" s="1"/>
  <c r="U13" i="5"/>
  <c r="Y13" i="5"/>
  <c r="Z13" i="5" s="1"/>
  <c r="Y15" i="5"/>
  <c r="Z15" i="5" s="1"/>
  <c r="K25" i="5"/>
  <c r="K32" i="5" s="1"/>
  <c r="I91" i="18"/>
  <c r="I44" i="4"/>
  <c r="K22" i="4" s="1"/>
  <c r="J39" i="4"/>
  <c r="G43" i="4"/>
  <c r="V29" i="3"/>
  <c r="AO10" i="3"/>
  <c r="AF17" i="3"/>
  <c r="E19" i="5"/>
  <c r="E32" i="5" s="1"/>
  <c r="Q10" i="5"/>
  <c r="F10" i="5"/>
  <c r="J12" i="5"/>
  <c r="N12" i="5"/>
  <c r="O12" i="5" s="1"/>
  <c r="U12" i="5"/>
  <c r="Y12" i="5"/>
  <c r="Z12" i="5" s="1"/>
  <c r="H32" i="5"/>
  <c r="Y23" i="5"/>
  <c r="Z23" i="5" s="1"/>
  <c r="U23" i="5"/>
  <c r="T15" i="8"/>
  <c r="S15" i="8"/>
  <c r="E33" i="8"/>
  <c r="M19" i="8"/>
  <c r="I19" i="8"/>
  <c r="I33" i="8" s="1"/>
  <c r="K33" i="8" s="1"/>
  <c r="S28" i="8"/>
  <c r="T28" i="8"/>
  <c r="F95" i="12"/>
  <c r="H10" i="15"/>
  <c r="I10" i="15" s="1"/>
  <c r="K10" i="15"/>
  <c r="L10" i="15" s="1"/>
  <c r="C28" i="13"/>
  <c r="M95" i="12"/>
  <c r="H96" i="12"/>
  <c r="I96" i="12" s="1"/>
  <c r="AD12" i="3"/>
  <c r="BB12" i="3" s="1"/>
  <c r="W16" i="3"/>
  <c r="BB16" i="3" s="1"/>
  <c r="W28" i="3"/>
  <c r="BB28" i="3" s="1"/>
  <c r="N38" i="3"/>
  <c r="N52" i="3"/>
  <c r="E20" i="6"/>
  <c r="I20" i="6" s="1"/>
  <c r="J10" i="8"/>
  <c r="J19" i="8"/>
  <c r="V19" i="8"/>
  <c r="AE27" i="9"/>
  <c r="H18" i="15"/>
  <c r="K18" i="15"/>
  <c r="G9" i="15"/>
  <c r="B23" i="14"/>
  <c r="E16" i="14"/>
  <c r="I46" i="12"/>
  <c r="AD54" i="3"/>
  <c r="BB54" i="3" s="1"/>
  <c r="AC57" i="3"/>
  <c r="AX17" i="3"/>
  <c r="BA12" i="3"/>
  <c r="W25" i="3"/>
  <c r="W27" i="3"/>
  <c r="BB27" i="3" s="1"/>
  <c r="N39" i="3"/>
  <c r="W19" i="5"/>
  <c r="W32" i="5" s="1"/>
  <c r="F11" i="5"/>
  <c r="G11" i="5" s="1"/>
  <c r="I11" i="5" s="1"/>
  <c r="I13" i="5"/>
  <c r="F15" i="5"/>
  <c r="G15" i="5" s="1"/>
  <c r="I15" i="5" s="1"/>
  <c r="F21" i="5"/>
  <c r="I23" i="5"/>
  <c r="F27" i="5"/>
  <c r="G27" i="5" s="1"/>
  <c r="I27" i="5" s="1"/>
  <c r="I29" i="5"/>
  <c r="F31" i="5"/>
  <c r="G31" i="5" s="1"/>
  <c r="I31" i="5" s="1"/>
  <c r="J52" i="7"/>
  <c r="J53" i="7" s="1"/>
  <c r="T11" i="8"/>
  <c r="S11" i="8"/>
  <c r="K15" i="8"/>
  <c r="J15" i="8"/>
  <c r="T16" i="8"/>
  <c r="S22" i="8"/>
  <c r="T22" i="8"/>
  <c r="S30" i="8"/>
  <c r="T30" i="8"/>
  <c r="AE32" i="9"/>
  <c r="J16" i="14"/>
  <c r="H26" i="15"/>
  <c r="I26" i="15" s="1"/>
  <c r="K26" i="15"/>
  <c r="L26" i="15" s="1"/>
  <c r="K24" i="15"/>
  <c r="L24" i="15" s="1"/>
  <c r="H24" i="15"/>
  <c r="I24" i="15" s="1"/>
  <c r="H14" i="15"/>
  <c r="I14" i="15" s="1"/>
  <c r="K14" i="15"/>
  <c r="L14" i="15" s="1"/>
  <c r="G12" i="15"/>
  <c r="E16" i="15"/>
  <c r="G16" i="14"/>
  <c r="F23" i="14"/>
  <c r="G21" i="13"/>
  <c r="H18" i="13"/>
  <c r="B96" i="12"/>
  <c r="Y45" i="3"/>
  <c r="Y57" i="3" s="1"/>
  <c r="AD40" i="3"/>
  <c r="AD45" i="3"/>
  <c r="AD57" i="3" s="1"/>
  <c r="P45" i="3"/>
  <c r="P57" i="3" s="1"/>
  <c r="R19" i="8"/>
  <c r="T10" i="8"/>
  <c r="K19" i="8"/>
  <c r="H33" i="8"/>
  <c r="S19" i="8"/>
  <c r="O33" i="8"/>
  <c r="L23" i="14"/>
  <c r="G23" i="14"/>
  <c r="G25" i="15"/>
  <c r="G20" i="15"/>
  <c r="E21" i="15"/>
  <c r="G13" i="15"/>
  <c r="D16" i="13"/>
  <c r="G28" i="13"/>
  <c r="D96" i="12"/>
  <c r="D97" i="12" s="1"/>
  <c r="AE34" i="9"/>
  <c r="AU45" i="3"/>
  <c r="AU57" i="3" s="1"/>
  <c r="D21" i="13"/>
  <c r="E21" i="13" s="1"/>
  <c r="C95" i="12"/>
  <c r="P20" i="12"/>
  <c r="T57" i="3"/>
  <c r="AL50" i="3"/>
  <c r="AL57" i="3" s="1"/>
  <c r="AD50" i="3"/>
  <c r="AX57" i="3"/>
  <c r="AO44" i="3"/>
  <c r="BB44" i="3" s="1"/>
  <c r="AO42" i="3"/>
  <c r="BB42" i="3" s="1"/>
  <c r="AN45" i="3"/>
  <c r="AN57" i="3" s="1"/>
  <c r="AO40" i="3"/>
  <c r="AF45" i="3"/>
  <c r="AF57" i="3" s="1"/>
  <c r="AO39" i="3"/>
  <c r="AV38" i="3"/>
  <c r="AV45" i="3" s="1"/>
  <c r="AS45" i="3"/>
  <c r="K26" i="8"/>
  <c r="R26" i="8"/>
  <c r="T26" i="8" s="1"/>
  <c r="T32" i="8"/>
  <c r="AE18" i="9"/>
  <c r="AE20" i="9"/>
  <c r="AG21" i="9"/>
  <c r="AE23" i="9"/>
  <c r="H21" i="13"/>
  <c r="G22" i="14"/>
  <c r="AO49" i="3"/>
  <c r="BB49" i="3" s="1"/>
  <c r="AS50" i="3"/>
  <c r="AV47" i="3"/>
  <c r="AV50" i="3" s="1"/>
  <c r="BA38" i="3"/>
  <c r="BA45" i="3" s="1"/>
  <c r="BA57" i="3" s="1"/>
  <c r="AZ45" i="3"/>
  <c r="AZ57" i="3" s="1"/>
  <c r="AE16" i="9"/>
  <c r="AG18" i="9"/>
  <c r="AE24" i="9"/>
  <c r="B28" i="13"/>
  <c r="N56" i="3"/>
  <c r="BB56" i="3" s="1"/>
  <c r="AO55" i="3"/>
  <c r="BB55" i="3" s="1"/>
  <c r="AO54" i="3"/>
  <c r="AO53" i="3"/>
  <c r="BB53" i="3" s="1"/>
  <c r="AO52" i="3"/>
  <c r="BA50" i="3"/>
  <c r="AO43" i="3"/>
  <c r="V57" i="3"/>
  <c r="AO41" i="3"/>
  <c r="R45" i="3"/>
  <c r="R57" i="3" s="1"/>
  <c r="AO38" i="3"/>
  <c r="AO45" i="3" s="1"/>
  <c r="AO24" i="3"/>
  <c r="BB24" i="3" s="1"/>
  <c r="BA10" i="3"/>
  <c r="BA17" i="3" s="1"/>
  <c r="AZ17" i="3"/>
  <c r="AZ29" i="3" s="1"/>
  <c r="T9" i="8"/>
  <c r="AO28" i="3"/>
  <c r="AO26" i="3"/>
  <c r="BB26" i="3" s="1"/>
  <c r="AV25" i="3"/>
  <c r="AQ22" i="3"/>
  <c r="AV20" i="3"/>
  <c r="AO15" i="3"/>
  <c r="AV13" i="3"/>
  <c r="BB13" i="3" s="1"/>
  <c r="S32" i="5"/>
  <c r="AD27" i="3"/>
  <c r="AO25" i="3"/>
  <c r="AX22" i="3"/>
  <c r="BA20" i="3"/>
  <c r="BA22" i="3" s="1"/>
  <c r="AO20" i="3"/>
  <c r="BB20" i="3" s="1"/>
  <c r="AV19" i="3"/>
  <c r="Y22" i="3"/>
  <c r="AD19" i="3"/>
  <c r="AD22" i="3" s="1"/>
  <c r="AD16" i="3"/>
  <c r="AN29" i="3"/>
  <c r="AJ17" i="3"/>
  <c r="AJ29" i="3" s="1"/>
  <c r="D114" i="18"/>
  <c r="E114" i="18" s="1"/>
  <c r="I114" i="18"/>
  <c r="E100" i="18"/>
  <c r="AO19" i="3"/>
  <c r="AO22" i="3" s="1"/>
  <c r="AF22" i="3"/>
  <c r="AQ17" i="3"/>
  <c r="AV12" i="3"/>
  <c r="AV17" i="3" s="1"/>
  <c r="N28" i="5" l="1"/>
  <c r="O28" i="5" s="1"/>
  <c r="J28" i="5"/>
  <c r="Y28" i="5"/>
  <c r="Z28" i="5" s="1"/>
  <c r="U28" i="5"/>
  <c r="N22" i="5"/>
  <c r="O22" i="5" s="1"/>
  <c r="J22" i="5"/>
  <c r="AS57" i="3"/>
  <c r="H13" i="15"/>
  <c r="I13" i="15" s="1"/>
  <c r="K13" i="15"/>
  <c r="L13" i="15" s="1"/>
  <c r="M96" i="12"/>
  <c r="F96" i="12"/>
  <c r="J27" i="5"/>
  <c r="N27" i="5"/>
  <c r="O27" i="5" s="1"/>
  <c r="J13" i="5"/>
  <c r="N13" i="5"/>
  <c r="O13" i="5" s="1"/>
  <c r="AO50" i="3"/>
  <c r="AO57" i="3" s="1"/>
  <c r="G16" i="15"/>
  <c r="H9" i="15"/>
  <c r="K9" i="15"/>
  <c r="B97" i="12"/>
  <c r="F19" i="5"/>
  <c r="G10" i="5"/>
  <c r="K36" i="4"/>
  <c r="R25" i="5"/>
  <c r="T21" i="5"/>
  <c r="Y14" i="5"/>
  <c r="Z14" i="5" s="1"/>
  <c r="U14" i="5"/>
  <c r="BB25" i="3"/>
  <c r="K42" i="4"/>
  <c r="K25" i="4"/>
  <c r="E86" i="18"/>
  <c r="H97" i="12"/>
  <c r="BB15" i="3"/>
  <c r="Y29" i="3"/>
  <c r="K27" i="4"/>
  <c r="C133" i="18"/>
  <c r="E39" i="4"/>
  <c r="E12" i="4"/>
  <c r="AQ29" i="3"/>
  <c r="AV57" i="3"/>
  <c r="I95" i="12"/>
  <c r="P95" i="12"/>
  <c r="C97" i="12"/>
  <c r="T19" i="8"/>
  <c r="R33" i="8"/>
  <c r="T33" i="8" s="1"/>
  <c r="E28" i="15"/>
  <c r="S26" i="8"/>
  <c r="J23" i="5"/>
  <c r="N23" i="5"/>
  <c r="O23" i="5" s="1"/>
  <c r="J11" i="5"/>
  <c r="N11" i="5"/>
  <c r="O11" i="5" s="1"/>
  <c r="L18" i="15"/>
  <c r="BB52" i="3"/>
  <c r="Q19" i="5"/>
  <c r="Q32" i="5" s="1"/>
  <c r="R10" i="5"/>
  <c r="K39" i="4"/>
  <c r="N20" i="6"/>
  <c r="BB43" i="3"/>
  <c r="K26" i="4"/>
  <c r="E27" i="6"/>
  <c r="H27" i="6"/>
  <c r="M27" i="6"/>
  <c r="K38" i="4"/>
  <c r="BB47" i="3"/>
  <c r="N50" i="3"/>
  <c r="BB50" i="3" s="1"/>
  <c r="W17" i="3"/>
  <c r="W29" i="3" s="1"/>
  <c r="E14" i="4"/>
  <c r="K41" i="4"/>
  <c r="E13" i="4"/>
  <c r="D19" i="17"/>
  <c r="E19" i="17" s="1"/>
  <c r="E15" i="17"/>
  <c r="AV22" i="3"/>
  <c r="AV29" i="3" s="1"/>
  <c r="BA29" i="3"/>
  <c r="K20" i="15"/>
  <c r="L20" i="15" s="1"/>
  <c r="H20" i="15"/>
  <c r="I20" i="15" s="1"/>
  <c r="G21" i="15"/>
  <c r="K12" i="15"/>
  <c r="L12" i="15" s="1"/>
  <c r="H12" i="15"/>
  <c r="I12" i="15" s="1"/>
  <c r="J31" i="5"/>
  <c r="N31" i="5"/>
  <c r="O31" i="5" s="1"/>
  <c r="G21" i="5"/>
  <c r="F25" i="5"/>
  <c r="H21" i="15"/>
  <c r="I21" i="15" s="1"/>
  <c r="I18" i="15"/>
  <c r="BB38" i="3"/>
  <c r="N45" i="3"/>
  <c r="V33" i="8"/>
  <c r="M33" i="8"/>
  <c r="AF29" i="3"/>
  <c r="BB10" i="3"/>
  <c r="N17" i="3"/>
  <c r="J33" i="8"/>
  <c r="BB19" i="3"/>
  <c r="N22" i="3"/>
  <c r="BB22" i="3" s="1"/>
  <c r="BB11" i="3"/>
  <c r="K34" i="4"/>
  <c r="B133" i="18"/>
  <c r="E56" i="18"/>
  <c r="K43" i="4"/>
  <c r="F44" i="4"/>
  <c r="H22" i="4" s="1"/>
  <c r="D56" i="18"/>
  <c r="H28" i="13"/>
  <c r="E28" i="13"/>
  <c r="E16" i="13"/>
  <c r="D28" i="13"/>
  <c r="H25" i="15"/>
  <c r="I25" i="15" s="1"/>
  <c r="K25" i="15"/>
  <c r="L25" i="15" s="1"/>
  <c r="J29" i="5"/>
  <c r="N29" i="5"/>
  <c r="O29" i="5" s="1"/>
  <c r="J15" i="5"/>
  <c r="N15" i="5"/>
  <c r="O15" i="5" s="1"/>
  <c r="BB39" i="3"/>
  <c r="AX29" i="3"/>
  <c r="E23" i="14"/>
  <c r="J23" i="14"/>
  <c r="AO17" i="3"/>
  <c r="AO29" i="3" s="1"/>
  <c r="K33" i="4"/>
  <c r="K31" i="4"/>
  <c r="K29" i="4"/>
  <c r="K18" i="4"/>
  <c r="K19" i="4"/>
  <c r="K15" i="4"/>
  <c r="K14" i="4"/>
  <c r="K13" i="4"/>
  <c r="K12" i="4"/>
  <c r="K11" i="4"/>
  <c r="K10" i="4"/>
  <c r="K32" i="4"/>
  <c r="K30" i="4"/>
  <c r="K20" i="4"/>
  <c r="N14" i="5"/>
  <c r="O14" i="5" s="1"/>
  <c r="J14" i="5"/>
  <c r="BB40" i="3"/>
  <c r="H39" i="4"/>
  <c r="H86" i="18"/>
  <c r="I86" i="18" s="1"/>
  <c r="G133" i="18"/>
  <c r="H133" i="18" s="1"/>
  <c r="H56" i="18"/>
  <c r="I56" i="18" s="1"/>
  <c r="Y22" i="5"/>
  <c r="Z22" i="5" s="1"/>
  <c r="U22" i="5"/>
  <c r="BB41" i="3"/>
  <c r="AD17" i="3"/>
  <c r="AD29" i="3" s="1"/>
  <c r="K21" i="4"/>
  <c r="K24" i="4"/>
  <c r="K37" i="4"/>
  <c r="E27" i="4"/>
  <c r="E26" i="4"/>
  <c r="E21" i="4"/>
  <c r="E43" i="4"/>
  <c r="E42" i="4"/>
  <c r="E38" i="4"/>
  <c r="E25" i="4"/>
  <c r="E18" i="4"/>
  <c r="E41" i="4"/>
  <c r="E37" i="4"/>
  <c r="E24" i="4"/>
  <c r="E19" i="4"/>
  <c r="E36" i="4"/>
  <c r="E20" i="4"/>
  <c r="K16" i="4"/>
  <c r="I97" i="12" l="1"/>
  <c r="P97" i="12"/>
  <c r="D133" i="18"/>
  <c r="F97" i="12"/>
  <c r="M97" i="12"/>
  <c r="BB45" i="3"/>
  <c r="N57" i="3"/>
  <c r="H34" i="4"/>
  <c r="L9" i="15"/>
  <c r="K16" i="15"/>
  <c r="G25" i="5"/>
  <c r="I21" i="5"/>
  <c r="N27" i="6"/>
  <c r="H43" i="4"/>
  <c r="Y21" i="5"/>
  <c r="U21" i="5"/>
  <c r="T25" i="5"/>
  <c r="U25" i="5" s="1"/>
  <c r="G19" i="5"/>
  <c r="G32" i="5" s="1"/>
  <c r="I10" i="5"/>
  <c r="H16" i="15"/>
  <c r="I9" i="15"/>
  <c r="H32" i="4"/>
  <c r="H30" i="4"/>
  <c r="H20" i="4"/>
  <c r="H15" i="4"/>
  <c r="H14" i="4"/>
  <c r="H13" i="4"/>
  <c r="H12" i="4"/>
  <c r="H11" i="4"/>
  <c r="H10" i="4"/>
  <c r="H21" i="4"/>
  <c r="H33" i="4"/>
  <c r="H31" i="4"/>
  <c r="H29" i="4"/>
  <c r="H18" i="4"/>
  <c r="H38" i="4"/>
  <c r="H26" i="4"/>
  <c r="H36" i="4"/>
  <c r="H24" i="4"/>
  <c r="H25" i="4"/>
  <c r="H42" i="4"/>
  <c r="H16" i="4"/>
  <c r="H19" i="4"/>
  <c r="H37" i="4"/>
  <c r="H27" i="4"/>
  <c r="H41" i="4"/>
  <c r="I133" i="18"/>
  <c r="E133" i="18"/>
  <c r="BB17" i="3"/>
  <c r="N29" i="3"/>
  <c r="I27" i="6"/>
  <c r="R19" i="5"/>
  <c r="R32" i="5" s="1"/>
  <c r="T10" i="5"/>
  <c r="K21" i="15"/>
  <c r="L21" i="15" s="1"/>
  <c r="F32" i="5"/>
  <c r="G28" i="15"/>
  <c r="S33" i="8"/>
  <c r="Y10" i="5" l="1"/>
  <c r="T19" i="5"/>
  <c r="U10" i="5"/>
  <c r="H28" i="15"/>
  <c r="I28" i="15" s="1"/>
  <c r="I16" i="15"/>
  <c r="BB57" i="3"/>
  <c r="N58" i="3" s="1"/>
  <c r="BB29" i="3"/>
  <c r="N10" i="5"/>
  <c r="I19" i="5"/>
  <c r="J10" i="5"/>
  <c r="Y25" i="5"/>
  <c r="Z25" i="5" s="1"/>
  <c r="Z21" i="5"/>
  <c r="I25" i="5"/>
  <c r="J25" i="5" s="1"/>
  <c r="J21" i="5"/>
  <c r="N21" i="5"/>
  <c r="BC45" i="3"/>
  <c r="BC17" i="3"/>
  <c r="K28" i="15"/>
  <c r="L28" i="15" s="1"/>
  <c r="L16" i="15"/>
  <c r="AT30" i="3" l="1"/>
  <c r="H30" i="3"/>
  <c r="AR30" i="3"/>
  <c r="AG30" i="3"/>
  <c r="S30" i="3"/>
  <c r="D30" i="3"/>
  <c r="J30" i="3"/>
  <c r="L30" i="3"/>
  <c r="AB30" i="3"/>
  <c r="AK30" i="3"/>
  <c r="BC20" i="3"/>
  <c r="BC24" i="3"/>
  <c r="BC16" i="3"/>
  <c r="AI30" i="3"/>
  <c r="AM30" i="3"/>
  <c r="BC12" i="3"/>
  <c r="O30" i="3"/>
  <c r="AY30" i="3"/>
  <c r="BC13" i="3"/>
  <c r="BC21" i="3"/>
  <c r="BC28" i="3"/>
  <c r="U30" i="3"/>
  <c r="Z30" i="3"/>
  <c r="F30" i="3"/>
  <c r="B30" i="3"/>
  <c r="BC26" i="3"/>
  <c r="BC14" i="3"/>
  <c r="BC27" i="3"/>
  <c r="Q30" i="3"/>
  <c r="AV30" i="3"/>
  <c r="BC19" i="3"/>
  <c r="BC15" i="3"/>
  <c r="BA30" i="3"/>
  <c r="BC22" i="3"/>
  <c r="BC10" i="3"/>
  <c r="AE30" i="3"/>
  <c r="AD30" i="3"/>
  <c r="X30" i="3"/>
  <c r="AO30" i="3"/>
  <c r="AP30" i="3"/>
  <c r="BC25" i="3"/>
  <c r="AW30" i="3"/>
  <c r="BC11" i="3"/>
  <c r="W30" i="3"/>
  <c r="I32" i="5"/>
  <c r="J32" i="5" s="1"/>
  <c r="J19" i="5"/>
  <c r="N19" i="5"/>
  <c r="O10" i="5"/>
  <c r="L58" i="3"/>
  <c r="AG58" i="3"/>
  <c r="D58" i="3"/>
  <c r="H58" i="3"/>
  <c r="BC48" i="3"/>
  <c r="AI58" i="3"/>
  <c r="Z58" i="3"/>
  <c r="AP58" i="3"/>
  <c r="BC54" i="3"/>
  <c r="BC53" i="3"/>
  <c r="AM58" i="3"/>
  <c r="X58" i="3"/>
  <c r="AT58" i="3"/>
  <c r="AB58" i="3"/>
  <c r="BC49" i="3"/>
  <c r="AK58" i="3"/>
  <c r="BC42" i="3"/>
  <c r="B58" i="3"/>
  <c r="AW58" i="3"/>
  <c r="AY58" i="3"/>
  <c r="AD58" i="3"/>
  <c r="BC44" i="3"/>
  <c r="F58" i="3"/>
  <c r="Q58" i="3"/>
  <c r="W58" i="3"/>
  <c r="U58" i="3"/>
  <c r="AE58" i="3"/>
  <c r="J58" i="3"/>
  <c r="BC55" i="3"/>
  <c r="BA58" i="3"/>
  <c r="BC56" i="3"/>
  <c r="O58" i="3"/>
  <c r="S58" i="3"/>
  <c r="BC39" i="3"/>
  <c r="BC38" i="3"/>
  <c r="AO58" i="3"/>
  <c r="AV58" i="3"/>
  <c r="BC43" i="3"/>
  <c r="AR58" i="3"/>
  <c r="BC47" i="3"/>
  <c r="BC52" i="3"/>
  <c r="BC41" i="3"/>
  <c r="BC40" i="3"/>
  <c r="BC50" i="3"/>
  <c r="T32" i="5"/>
  <c r="U32" i="5" s="1"/>
  <c r="U19" i="5"/>
  <c r="O21" i="5"/>
  <c r="N25" i="5"/>
  <c r="O25" i="5" s="1"/>
  <c r="N30" i="3"/>
  <c r="Y19" i="5"/>
  <c r="Z10" i="5"/>
  <c r="N32" i="5" l="1"/>
  <c r="O32" i="5" s="1"/>
  <c r="O19" i="5"/>
  <c r="Y32" i="5"/>
  <c r="Z32" i="5" s="1"/>
  <c r="Z19" i="5"/>
</calcChain>
</file>

<file path=xl/sharedStrings.xml><?xml version="1.0" encoding="utf-8"?>
<sst xmlns="http://schemas.openxmlformats.org/spreadsheetml/2006/main" count="1049" uniqueCount="371">
  <si>
    <t>Senate 2017-19 Budget</t>
  </si>
  <si>
    <t>Run Date: 4/27/2017 12:23 PM</t>
  </si>
  <si>
    <t>Operating Input Summary</t>
  </si>
  <si>
    <t>FY 2018</t>
  </si>
  <si>
    <t>FY 2019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</si>
  <si>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</si>
  <si>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</si>
  <si>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</si>
  <si>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</si>
  <si>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</si>
  <si>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</si>
  <si>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</si>
  <si>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</si>
  <si>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</si>
  <si>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</si>
  <si>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</si>
  <si>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</si>
  <si>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</si>
  <si>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</si>
  <si>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</si>
  <si>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</si>
  <si>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</si>
  <si>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</si>
  <si>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</si>
  <si>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</si>
  <si>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</si>
  <si>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</si>
  <si>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</si>
  <si>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</si>
  <si>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</si>
  <si>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</si>
  <si>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Senate 2017-19 Budget [4/27/2017 12:23 PM]</t>
  </si>
  <si>
    <t>This report outlines a summary of overall proposed funding</t>
  </si>
  <si>
    <t>FY 2017 Appropriation</t>
  </si>
  <si>
    <t>Appropriation</t>
  </si>
  <si>
    <t>$ Change from FY 2017</t>
  </si>
  <si>
    <t>% Change from FY 2017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</si>
  <si>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</si>
  <si>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</si>
  <si>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</si>
  <si>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</si>
  <si>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</si>
  <si>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</si>
  <si>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</si>
  <si>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</si>
  <si>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</si>
  <si>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</si>
  <si>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</si>
  <si>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</si>
  <si>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proposed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</si>
  <si>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</si>
  <si>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</si>
  <si>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</si>
  <si>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</si>
  <si>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</si>
  <si>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</si>
  <si>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</si>
  <si>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</si>
  <si>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</si>
  <si>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</si>
  <si>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</si>
  <si>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</si>
  <si>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</si>
  <si>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</si>
  <si>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</si>
  <si>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</si>
  <si>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</si>
  <si>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</si>
  <si>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IPFW</t>
  </si>
  <si>
    <t>PU COVM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</si>
  <si>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</si>
  <si>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</si>
  <si>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</si>
  <si>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</si>
  <si>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</si>
  <si>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</si>
  <si>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</si>
  <si>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</si>
  <si>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</si>
  <si>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</si>
  <si>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</si>
  <si>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</si>
  <si>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</si>
  <si>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</si>
  <si>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</si>
  <si>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</si>
  <si>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</si>
  <si>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</si>
  <si>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</si>
  <si>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</si>
  <si>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</si>
  <si>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</si>
  <si>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</si>
  <si>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</si>
  <si>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</si>
  <si>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</si>
  <si>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</si>
  <si>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</si>
  <si>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</si>
  <si>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</si>
  <si>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</si>
  <si>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</si>
  <si>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</si>
  <si>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</si>
  <si>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</si>
  <si>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</si>
  <si>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</si>
  <si>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</si>
  <si>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Notes:</t>
  </si>
  <si>
    <t>A cell will be blank if the metric does not apply for the institution</t>
  </si>
  <si>
    <t>Change in Average represents difference between the 2010-2012 three year average and the 2013-2015 three year average</t>
  </si>
  <si>
    <t>Change in Rate represents difference between the 2010-2012 three year rate and the 2013-2015 three year rate</t>
  </si>
  <si>
    <t>Per Unit Value is calculated by multiplying the 2013-2015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</si>
  <si>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</si>
  <si>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</si>
  <si>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</si>
  <si>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</si>
  <si>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</si>
  <si>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</si>
  <si>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</si>
  <si>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</si>
  <si>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</si>
  <si>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</si>
  <si>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</si>
  <si>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</si>
  <si>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</si>
  <si>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</si>
  <si>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</si>
  <si>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</si>
  <si>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</si>
  <si>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2017
Approp</t>
  </si>
  <si>
    <t>PFF Adjusted Base</t>
  </si>
  <si>
    <t>Operating - Performance Funding</t>
  </si>
  <si>
    <t>Operating - Non PFF</t>
  </si>
  <si>
    <t>Oth Ops
Adjustments</t>
  </si>
  <si>
    <t>Total FY 2018
Appropriation</t>
  </si>
  <si>
    <t>FY 2018
vs
FY 2017</t>
  </si>
  <si>
    <t>Total FY 2019
Appropriation</t>
  </si>
  <si>
    <t>FY 2019
vs
FY 2017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</si>
  <si>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</si>
  <si>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</si>
  <si>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</si>
  <si>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</si>
  <si>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</si>
  <si>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</si>
  <si>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</si>
  <si>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</si>
  <si>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</si>
  <si>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</si>
  <si>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</si>
  <si>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2017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</si>
  <si>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</si>
  <si>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</si>
  <si>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</si>
  <si>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</si>
  <si>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</si>
  <si>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</si>
  <si>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</si>
  <si>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</si>
  <si>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</si>
  <si>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</si>
  <si>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2014-15
Resident FTE</t>
  </si>
  <si>
    <t>FY 2017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</si>
  <si>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</si>
  <si>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</si>
  <si>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</si>
  <si>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</si>
  <si>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</si>
  <si>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</si>
  <si>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</si>
  <si>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</si>
  <si>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</si>
  <si>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</si>
  <si>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</si>
  <si>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</si>
  <si>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</si>
  <si>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</si>
  <si>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</si>
  <si>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</si>
  <si>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</si>
  <si>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</si>
  <si>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</si>
  <si>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</si>
  <si>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</si>
  <si>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</si>
  <si>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Old Crescent Renovation - Phase III</t>
  </si>
  <si>
    <t>A-1-17-2-01</t>
  </si>
  <si>
    <t>IU School of Medicine Health Sciences Renovation</t>
  </si>
  <si>
    <t>A-2-17-2-02</t>
  </si>
  <si>
    <t>IU School of Medicine Research V</t>
  </si>
  <si>
    <t>A-2-17-1-03</t>
  </si>
  <si>
    <t>Regional Campus Deferred Maintenance - Phase III</t>
  </si>
  <si>
    <t>A-0-17-2-04</t>
  </si>
  <si>
    <t>Lab Renovations - Phase II</t>
  </si>
  <si>
    <t>A-1-17-2-05</t>
  </si>
  <si>
    <t>Health Sciences Renovations</t>
  </si>
  <si>
    <t>A-0-17-2-00</t>
  </si>
  <si>
    <t>Sports Development Plan Study</t>
  </si>
  <si>
    <t>A-2-15-1-01</t>
  </si>
  <si>
    <t>Indiana University System Total</t>
  </si>
  <si>
    <t>Purdue University System</t>
  </si>
  <si>
    <t>Agricultural and Biological Engineering Building Renovation and Addition</t>
  </si>
  <si>
    <t>B-1-17-1-01</t>
  </si>
  <si>
    <t>Brown Teaching Labs Renovation</t>
  </si>
  <si>
    <t>B-1-15-2-10R</t>
  </si>
  <si>
    <t>Bioscience Innovation Building</t>
  </si>
  <si>
    <t>B-2-05-1-05R</t>
  </si>
  <si>
    <t>Applied Learning Building and Knoy Hall Renovation</t>
  </si>
  <si>
    <t>B-1-17-1-02</t>
  </si>
  <si>
    <t>South Campus Renovations Phase II</t>
  </si>
  <si>
    <t>B-3-15-2-11R</t>
  </si>
  <si>
    <t>Regional Campus Deferred Maintenance</t>
  </si>
  <si>
    <t>B-0-17-2-00</t>
  </si>
  <si>
    <t>School of Music</t>
  </si>
  <si>
    <t>B-3-17-1-01</t>
  </si>
  <si>
    <t>Purdue University System Total</t>
  </si>
  <si>
    <t>Ball State University</t>
  </si>
  <si>
    <t>STEM and Health Professions Facilities - Phase II</t>
  </si>
  <si>
    <t>D-1-17-1-01</t>
  </si>
  <si>
    <t>College of Architecture and Planning Expansion and Renovation</t>
  </si>
  <si>
    <t>D-1-11-2-01</t>
  </si>
  <si>
    <t>Whitinger Business Building Renovation</t>
  </si>
  <si>
    <t>D-1-17-2-01</t>
  </si>
  <si>
    <t>Campus Utility Infrastructure Upgrades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</si>
  <si>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</si>
  <si>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</si>
  <si>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</si>
  <si>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</si>
  <si>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</si>
  <si>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Academic Facility Renovation - Phase One</t>
  </si>
  <si>
    <t>C-1-17-2-02</t>
  </si>
  <si>
    <t>Indiana State University Total</t>
  </si>
  <si>
    <t>University of Southern Indiana</t>
  </si>
  <si>
    <t>Physical Activities Center Classroom Expansion and Renovation - Phase II</t>
  </si>
  <si>
    <t>G-0-17-2-01</t>
  </si>
  <si>
    <t>University of Southern Indiana Total</t>
  </si>
  <si>
    <t>Vincennes University</t>
  </si>
  <si>
    <t>LEARNING RESOURCE CENTER RENOVATION</t>
  </si>
  <si>
    <t>E-1-17-2-01</t>
  </si>
  <si>
    <t>DAVIS HALL &amp; BUSINESS BUILDING RENOVATION</t>
  </si>
  <si>
    <t>E-1-14-2-02</t>
  </si>
  <si>
    <t>WELSH ADMINISTRATION BUILDING RENOVATION</t>
  </si>
  <si>
    <t>E-1-17-2-02</t>
  </si>
  <si>
    <t>Diesel Technology</t>
  </si>
  <si>
    <t>E-1-17-1-00</t>
  </si>
  <si>
    <t>Vincennes University Total</t>
  </si>
  <si>
    <t>Ivy Tech Community College</t>
  </si>
  <si>
    <t>Kokomo Renovation and Addition</t>
  </si>
  <si>
    <t>F-0-17-2-01</t>
  </si>
  <si>
    <t>Muncie Campus Construction and Renovation</t>
  </si>
  <si>
    <t>F-0-17-1-02</t>
  </si>
  <si>
    <t>Columbus Campus Renovation/Addition</t>
  </si>
  <si>
    <t>F-0-17-2-03</t>
  </si>
  <si>
    <t>Fort Wayne Harshman Hall Renovation</t>
  </si>
  <si>
    <t>F-0-17-2-04</t>
  </si>
  <si>
    <t>Sellersburg Healthcare Career Center</t>
  </si>
  <si>
    <t>F-0-17-1-05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</si>
  <si>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</si>
  <si>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</si>
  <si>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</si>
  <si>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</si>
  <si>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</si>
  <si>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</si>
  <si>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</si>
  <si>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</si>
  <si>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</si>
  <si>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</si>
  <si>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</si>
  <si>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</si>
  <si>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</si>
  <si>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2018</t>
  </si>
  <si>
    <t>New Debt Starting in FY 2019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</si>
  <si>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</si>
  <si>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</si>
  <si>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</si>
  <si>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</si>
  <si>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</si>
  <si>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</si>
  <si>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</si>
  <si>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</si>
  <si>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</si>
  <si>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</si>
  <si>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</si>
  <si>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</si>
  <si>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Local Government Advisory Commission</t>
  </si>
  <si>
    <t>Spinal Cord and Head Injury Research</t>
  </si>
  <si>
    <t>IU McKinney School of Law, Ag Law*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</si>
  <si>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</si>
  <si>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</si>
  <si>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</si>
  <si>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</si>
  <si>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</si>
  <si>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</si>
  <si>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</si>
  <si>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</si>
  <si>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</si>
  <si>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</si>
  <si>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Purdue Moves*</t>
  </si>
  <si>
    <t>Think Summer*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</si>
  <si>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</si>
  <si>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</si>
  <si>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</si>
  <si>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</si>
  <si>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</si>
  <si>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</si>
  <si>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</si>
  <si>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Initiatives*</t>
  </si>
  <si>
    <t>Dual Credit: University of Southern Indiana</t>
  </si>
  <si>
    <t>Historic New Harmony</t>
  </si>
  <si>
    <t>USI Campus Security Enhancements*</t>
  </si>
  <si>
    <t>USI STEM Innovation and Expansion Initiatives*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</si>
  <si>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</si>
  <si>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</si>
  <si>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</si>
  <si>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</si>
  <si>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</si>
  <si>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</si>
  <si>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</si>
  <si>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</si>
  <si>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</si>
  <si>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</si>
  <si>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</si>
  <si>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</si>
  <si>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</si>
  <si>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</si>
  <si>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</si>
  <si>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</si>
  <si>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</si>
  <si>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</si>
  <si>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</si>
  <si>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</si>
  <si>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</si>
  <si>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</si>
  <si>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</si>
  <si>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</si>
  <si>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</si>
  <si>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</si>
  <si>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Job Ready Education Grant*</t>
  </si>
  <si>
    <t>Next Generation Hoosier Educators*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</si>
  <si>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</si>
  <si>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</si>
  <si>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</si>
  <si>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</si>
  <si>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</si>
  <si>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</si>
  <si>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</si>
  <si>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</si>
  <si>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</si>
  <si>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</si>
  <si>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</si>
  <si>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</si>
  <si>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</si>
  <si>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</si>
  <si>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2017
Funding</t>
  </si>
  <si>
    <t>2014-15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</si>
  <si>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</si>
  <si>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</si>
  <si>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Credits awarded represent total dual  credit Technical + High Priority credits earned from institutions by high school students taking off-campus dual credit courses in the 2014-15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</si>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</sst>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8" borderId="1" xfId="0" applyFill="1" applyBorder="1" applyProtection="1"/>
    <xf numFmtId="0" fontId="8" fillId="16" borderId="63" xfId="0" applyFont="1" applyFill="1" applyBorder="1" applyAlignment="1" applyProtection="1">
      <alignment horizontal="center" vertical="center" wrapText="1"/>
    </xf>
    <xf numFmtId="0" fontId="8" fillId="16" borderId="64" xfId="0" applyFont="1" applyFill="1" applyBorder="1" applyAlignment="1" applyProtection="1">
      <alignment horizontal="center" vertical="center" wrapText="1"/>
    </xf>
    <xf numFmtId="0" fontId="8" fillId="16" borderId="58" xfId="0" applyFont="1" applyFill="1" applyBorder="1" applyAlignment="1" applyProtection="1">
      <alignment horizontal="center" vertical="center" wrapText="1"/>
    </xf>
    <xf numFmtId="0" fontId="0" fillId="8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8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8" fillId="0" borderId="62" xfId="0" applyFont="1" applyFill="1" applyBorder="1" applyAlignment="1" applyProtection="1">
      <alignment vertical="center"/>
    </xf>
    <xf numFmtId="5" fontId="8" fillId="0" borderId="41" xfId="0" applyNumberFormat="1" applyFont="1" applyFill="1" applyBorder="1" applyAlignment="1" applyProtection="1">
      <alignment vertical="center"/>
    </xf>
    <xf numFmtId="5" fontId="8" fillId="0" borderId="65" xfId="0" applyNumberFormat="1" applyFont="1" applyFill="1" applyBorder="1" applyAlignment="1" applyProtection="1">
      <alignment vertical="center"/>
    </xf>
    <xf numFmtId="5" fontId="8" fillId="0" borderId="66" xfId="0" applyNumberFormat="1" applyFont="1" applyFill="1" applyBorder="1" applyAlignment="1" applyProtection="1">
      <alignment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5" fontId="8" fillId="8" borderId="41" xfId="0" applyNumberFormat="1" applyFont="1" applyFill="1" applyBorder="1" applyAlignment="1" applyProtection="1">
      <alignment vertical="center"/>
    </xf>
    <xf numFmtId="0" fontId="8" fillId="8" borderId="15" xfId="0" applyFont="1" applyFill="1" applyBorder="1" applyAlignment="1" applyProtection="1">
      <alignment vertical="center"/>
    </xf>
    <xf numFmtId="5" fontId="0" fillId="8" borderId="9" xfId="0" applyNumberFormat="1" applyFill="1" applyBorder="1" applyAlignment="1" applyProtection="1">
      <alignment vertical="center"/>
    </xf>
    <xf numFmtId="5" fontId="0" fillId="8" borderId="10" xfId="0" applyNumberFormat="1" applyFill="1" applyBorder="1" applyAlignment="1" applyProtection="1">
      <alignment vertical="center"/>
    </xf>
    <xf numFmtId="165" fontId="0" fillId="8" borderId="11" xfId="0" applyNumberFormat="1" applyFill="1" applyBorder="1" applyAlignment="1" applyProtection="1">
      <alignment horizontal="center" vertical="center"/>
    </xf>
    <xf numFmtId="0" fontId="8" fillId="9" borderId="56" xfId="0" applyFont="1" applyFill="1" applyBorder="1" applyAlignment="1" applyProtection="1">
      <alignment vertical="center"/>
    </xf>
    <xf numFmtId="5" fontId="8" fillId="9" borderId="61" xfId="0" applyNumberFormat="1" applyFont="1" applyFill="1" applyBorder="1" applyAlignment="1" applyProtection="1">
      <alignment vertical="center"/>
    </xf>
    <xf numFmtId="5" fontId="8" fillId="9" borderId="63" xfId="0" applyNumberFormat="1" applyFont="1" applyFill="1" applyBorder="1" applyAlignment="1" applyProtection="1">
      <alignment vertical="center"/>
    </xf>
    <xf numFmtId="5" fontId="8" fillId="9" borderId="64" xfId="0" applyNumberFormat="1" applyFont="1" applyFill="1" applyBorder="1" applyAlignment="1" applyProtection="1">
      <alignment vertical="center"/>
    </xf>
    <xf numFmtId="165" fontId="8" fillId="9" borderId="68" xfId="0" applyNumberFormat="1" applyFont="1" applyFill="1" applyBorder="1" applyAlignment="1" applyProtection="1">
      <alignment horizontal="center" vertical="center"/>
    </xf>
    <xf numFmtId="5" fontId="8" fillId="8" borderId="61" xfId="0" applyNumberFormat="1" applyFont="1" applyFill="1" applyBorder="1" applyAlignment="1" applyProtection="1">
      <alignment vertical="center"/>
    </xf>
    <xf numFmtId="0" fontId="8" fillId="0" borderId="76" xfId="0" applyFont="1" applyFill="1" applyBorder="1" applyAlignment="1" applyProtection="1">
      <alignment vertical="center"/>
    </xf>
    <xf numFmtId="5" fontId="8" fillId="0" borderId="54" xfId="0" applyNumberFormat="1" applyFont="1" applyFill="1" applyBorder="1" applyAlignment="1" applyProtection="1">
      <alignment vertical="center"/>
    </xf>
    <xf numFmtId="5" fontId="8" fillId="0" borderId="74" xfId="0" applyNumberFormat="1" applyFont="1" applyFill="1" applyBorder="1" applyAlignment="1" applyProtection="1">
      <alignment vertical="center"/>
    </xf>
    <xf numFmtId="5" fontId="8" fillId="0" borderId="75" xfId="0" applyNumberFormat="1" applyFont="1" applyFill="1" applyBorder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/>
    </xf>
    <xf numFmtId="5" fontId="8" fillId="8" borderId="54" xfId="0" applyNumberFormat="1" applyFont="1" applyFill="1" applyBorder="1" applyAlignment="1" applyProtection="1">
      <alignment vertical="center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8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0" xfId="0" applyNumberFormat="1" applyFill="1" applyBorder="1" applyProtection="1"/>
    <xf numFmtId="165" fontId="0" fillId="0" borderId="89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2" xfId="0" applyNumberFormat="1" applyFill="1" applyBorder="1" applyProtection="1"/>
    <xf numFmtId="5" fontId="0" fillId="0" borderId="17" xfId="0" applyNumberFormat="1" applyFill="1" applyBorder="1" applyAlignment="1" applyProtection="1">
      <alignment vertical="center"/>
    </xf>
    <xf numFmtId="0" fontId="0" fillId="8" borderId="5" xfId="0" applyFill="1" applyBorder="1" applyProtection="1"/>
    <xf numFmtId="5" fontId="0" fillId="0" borderId="16" xfId="0" applyNumberFormat="1" applyFill="1" applyBorder="1" applyProtection="1"/>
    <xf numFmtId="0" fontId="8" fillId="9" borderId="62" xfId="0" applyFont="1" applyFill="1" applyBorder="1" applyProtection="1"/>
    <xf numFmtId="5" fontId="8" fillId="9" borderId="41" xfId="0" applyNumberFormat="1" applyFont="1" applyFill="1" applyBorder="1" applyAlignment="1" applyProtection="1">
      <alignment vertical="center"/>
    </xf>
    <xf numFmtId="5" fontId="8" fillId="9" borderId="42" xfId="0" applyNumberFormat="1" applyFont="1" applyFill="1" applyBorder="1" applyAlignment="1" applyProtection="1">
      <alignment vertical="center"/>
    </xf>
    <xf numFmtId="5" fontId="8" fillId="9" borderId="66" xfId="0" applyNumberFormat="1" applyFont="1" applyFill="1" applyBorder="1" applyAlignment="1" applyProtection="1">
      <alignment vertical="center"/>
    </xf>
    <xf numFmtId="165" fontId="8" fillId="9" borderId="45" xfId="0" applyNumberFormat="1" applyFont="1" applyFill="1" applyBorder="1" applyAlignment="1" applyProtection="1">
      <alignment horizontal="center" vertical="center"/>
    </xf>
    <xf numFmtId="5" fontId="8" fillId="9" borderId="65" xfId="0" applyNumberFormat="1" applyFont="1" applyFill="1" applyBorder="1" applyAlignment="1" applyProtection="1">
      <alignment vertical="center"/>
    </xf>
    <xf numFmtId="0" fontId="0" fillId="9" borderId="15" xfId="0" applyFill="1" applyBorder="1" applyAlignment="1" applyProtection="1">
      <alignment horizontal="left" indent="3"/>
    </xf>
    <xf numFmtId="5" fontId="0" fillId="9" borderId="8" xfId="0" applyNumberFormat="1" applyFill="1" applyBorder="1" applyProtection="1"/>
    <xf numFmtId="5" fontId="0" fillId="9" borderId="30" xfId="0" applyNumberFormat="1" applyFill="1" applyBorder="1" applyProtection="1"/>
    <xf numFmtId="5" fontId="0" fillId="9" borderId="10" xfId="0" applyNumberFormat="1" applyFill="1" applyBorder="1" applyAlignment="1" applyProtection="1">
      <alignment vertical="center"/>
    </xf>
    <xf numFmtId="165" fontId="0" fillId="9" borderId="89" xfId="0" applyNumberFormat="1" applyFill="1" applyBorder="1" applyAlignment="1" applyProtection="1">
      <alignment horizontal="center"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left" indent="3"/>
    </xf>
    <xf numFmtId="5" fontId="0" fillId="9" borderId="5" xfId="0" applyNumberFormat="1" applyFill="1" applyBorder="1" applyProtection="1"/>
    <xf numFmtId="5" fontId="0" fillId="9" borderId="16" xfId="0" applyNumberFormat="1" applyFill="1" applyBorder="1" applyProtection="1"/>
    <xf numFmtId="5" fontId="0" fillId="9" borderId="32" xfId="0" applyNumberFormat="1" applyFill="1" applyBorder="1" applyAlignment="1" applyProtection="1">
      <alignment vertical="center"/>
    </xf>
    <xf numFmtId="165" fontId="0" fillId="9" borderId="40" xfId="0" applyNumberFormat="1" applyFill="1" applyBorder="1" applyAlignment="1" applyProtection="1">
      <alignment horizontal="center" vertical="center"/>
    </xf>
    <xf numFmtId="5" fontId="0" fillId="9" borderId="17" xfId="0" applyNumberFormat="1" applyFill="1" applyBorder="1" applyAlignment="1" applyProtection="1">
      <alignment vertical="center"/>
    </xf>
    <xf numFmtId="165" fontId="0" fillId="9" borderId="18" xfId="0" applyNumberFormat="1" applyFill="1" applyBorder="1" applyAlignment="1" applyProtection="1">
      <alignment horizontal="center" vertical="center"/>
    </xf>
    <xf numFmtId="0" fontId="0" fillId="8" borderId="56" xfId="0" applyFill="1" applyBorder="1" applyProtection="1"/>
    <xf numFmtId="0" fontId="0" fillId="8" borderId="61" xfId="0" applyFill="1" applyBorder="1" applyProtection="1"/>
    <xf numFmtId="0" fontId="0" fillId="8" borderId="57" xfId="0" applyFill="1" applyBorder="1" applyProtection="1"/>
    <xf numFmtId="0" fontId="0" fillId="8" borderId="58" xfId="0" applyFill="1" applyBorder="1" applyProtection="1"/>
    <xf numFmtId="5" fontId="0" fillId="9" borderId="9" xfId="0" applyNumberFormat="1" applyFill="1" applyBorder="1" applyProtection="1"/>
    <xf numFmtId="5" fontId="0" fillId="9" borderId="32" xfId="0" applyNumberFormat="1" applyFill="1" applyBorder="1" applyProtection="1"/>
    <xf numFmtId="165" fontId="0" fillId="0" borderId="40" xfId="0" applyNumberFormat="1" applyFill="1" applyBorder="1" applyAlignment="1" applyProtection="1">
      <alignment horizontal="center" vertical="center"/>
    </xf>
    <xf numFmtId="165" fontId="0" fillId="0" borderId="18" xfId="0" applyNumberFormat="1" applyFill="1" applyBorder="1" applyAlignment="1" applyProtection="1">
      <alignment horizontal="center" vertical="center"/>
    </xf>
    <xf numFmtId="0" fontId="8" fillId="9" borderId="61" xfId="0" applyFont="1" applyFill="1" applyBorder="1" applyAlignment="1" applyProtection="1">
      <alignment horizontal="left"/>
    </xf>
    <xf numFmtId="5" fontId="8" fillId="9" borderId="5" xfId="0" applyNumberFormat="1" applyFont="1" applyFill="1" applyBorder="1" applyProtection="1"/>
    <xf numFmtId="5" fontId="8" fillId="9" borderId="63" xfId="0" applyNumberFormat="1" applyFont="1" applyFill="1" applyBorder="1" applyProtection="1"/>
    <xf numFmtId="5" fontId="8" fillId="9" borderId="32" xfId="0" applyNumberFormat="1" applyFont="1" applyFill="1" applyBorder="1" applyAlignment="1" applyProtection="1">
      <alignment vertical="center"/>
    </xf>
    <xf numFmtId="165" fontId="8" fillId="9" borderId="18" xfId="0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Protection="1"/>
    <xf numFmtId="164" fontId="2" fillId="3" borderId="21" xfId="0" applyNumberFormat="1" applyFont="1" applyFill="1" applyBorder="1" applyAlignment="1" applyProtection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164" fontId="2" fillId="4" borderId="28" xfId="0" applyNumberFormat="1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2" borderId="21" xfId="0" applyNumberFormat="1" applyFont="1" applyFill="1" applyBorder="1" applyAlignment="1" applyProtection="1">
      <alignment horizontal="center"/>
    </xf>
    <xf numFmtId="164" fontId="2" fillId="2" borderId="23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5" borderId="21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0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6" xfId="0" applyNumberFormat="1" applyFill="1" applyBorder="1" applyAlignment="1" applyProtection="1">
      <alignment horizontal="center"/>
    </xf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1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1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1" borderId="5" xfId="0" applyFont="1" applyFill="1" applyBorder="1" applyAlignment="1" applyProtection="1">
      <alignment horizontal="left" indent="2"/>
    </xf>
    <xf numFmtId="0" fontId="8" fillId="0" borderId="54" xfId="0" applyFont="1" applyFill="1" applyBorder="1" applyProtection="1"/>
    <xf numFmtId="0" fontId="8" fillId="0" borderId="74" xfId="0" applyFont="1" applyFill="1" applyBorder="1" applyProtection="1"/>
    <xf numFmtId="5" fontId="8" fillId="0" borderId="75" xfId="0" applyNumberFormat="1" applyFont="1" applyFill="1" applyBorder="1" applyProtection="1"/>
    <xf numFmtId="165" fontId="8" fillId="0" borderId="55" xfId="0" applyNumberFormat="1" applyFont="1" applyFill="1" applyBorder="1" applyAlignment="1" applyProtection="1">
      <alignment horizontal="center"/>
    </xf>
    <xf numFmtId="0" fontId="8" fillId="14" borderId="1" xfId="0" applyFont="1" applyFill="1" applyBorder="1" applyProtection="1"/>
    <xf numFmtId="0" fontId="0" fillId="0" borderId="4" xfId="0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2" borderId="1" xfId="0" applyFon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8" fillId="12" borderId="5" xfId="0" applyFont="1" applyFill="1" applyBorder="1" applyAlignment="1" applyProtection="1">
      <alignment horizontal="left" indent="2"/>
    </xf>
    <xf numFmtId="0" fontId="8" fillId="10" borderId="1" xfId="0" applyFont="1" applyFill="1" applyBorder="1" applyProtection="1"/>
    <xf numFmtId="0" fontId="0" fillId="10" borderId="8" xfId="0" applyFill="1" applyBorder="1" applyAlignment="1" applyProtection="1">
      <alignment horizontal="left" indent="2"/>
    </xf>
    <xf numFmtId="0" fontId="8" fillId="10" borderId="5" xfId="0" applyFont="1" applyFill="1" applyBorder="1" applyAlignment="1" applyProtection="1">
      <alignment horizontal="left" indent="2"/>
    </xf>
    <xf numFmtId="0" fontId="8" fillId="15" borderId="1" xfId="0" applyFont="1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8" fillId="9" borderId="49" xfId="0" applyNumberFormat="1" applyFont="1" applyFill="1" applyBorder="1" applyProtection="1"/>
    <xf numFmtId="165" fontId="8" fillId="9" borderId="50" xfId="0" applyNumberFormat="1" applyFont="1" applyFill="1" applyBorder="1" applyAlignment="1" applyProtection="1">
      <alignment horizontal="center"/>
    </xf>
    <xf numFmtId="5" fontId="9" fillId="0" borderId="30" xfId="0" applyNumberFormat="1" applyFont="1" applyFill="1" applyBorder="1" applyProtection="1"/>
    <xf numFmtId="3" fontId="9" fillId="0" borderId="33" xfId="0" applyNumberFormat="1" applyFont="1" applyFill="1" applyBorder="1" applyAlignment="1" applyProtection="1">
      <alignment horizontal="center"/>
    </xf>
    <xf numFmtId="5" fontId="8" fillId="9" borderId="51" xfId="0" applyNumberFormat="1" applyFont="1" applyFill="1" applyBorder="1" applyProtection="1"/>
    <xf numFmtId="165" fontId="8" fillId="9" borderId="39" xfId="0" applyNumberFormat="1" applyFont="1" applyFill="1" applyBorder="1" applyAlignment="1" applyProtection="1">
      <alignment horizontal="center"/>
    </xf>
    <xf numFmtId="0" fontId="8" fillId="0" borderId="41" xfId="0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2" xfId="0" applyNumberFormat="1" applyFont="1" applyFill="1" applyBorder="1" applyProtection="1"/>
    <xf numFmtId="3" fontId="10" fillId="0" borderId="43" xfId="0" applyNumberFormat="1" applyFont="1" applyFill="1" applyBorder="1" applyAlignment="1" applyProtection="1">
      <alignment horizontal="center"/>
    </xf>
    <xf numFmtId="5" fontId="10" fillId="0" borderId="45" xfId="0" applyNumberFormat="1" applyFont="1" applyFill="1" applyBorder="1" applyProtection="1"/>
    <xf numFmtId="5" fontId="8" fillId="9" borderId="52" xfId="0" applyNumberFormat="1" applyFont="1" applyFill="1" applyBorder="1" applyProtection="1"/>
    <xf numFmtId="165" fontId="8" fillId="9" borderId="53" xfId="0" applyNumberFormat="1" applyFont="1" applyFill="1" applyBorder="1" applyAlignment="1" applyProtection="1">
      <alignment horizontal="center"/>
    </xf>
    <xf numFmtId="0" fontId="8" fillId="8" borderId="8" xfId="0" applyFont="1" applyFill="1" applyBorder="1" applyProtection="1"/>
    <xf numFmtId="3" fontId="9" fillId="8" borderId="0" xfId="0" applyNumberFormat="1" applyFont="1" applyFill="1" applyAlignment="1" applyProtection="1">
      <alignment horizontal="center"/>
    </xf>
    <xf numFmtId="5" fontId="9" fillId="8" borderId="30" xfId="0" applyNumberFormat="1" applyFont="1" applyFill="1" applyBorder="1" applyProtection="1"/>
    <xf numFmtId="5" fontId="9" fillId="8" borderId="0" xfId="0" applyNumberFormat="1" applyFont="1" applyFill="1" applyProtection="1"/>
    <xf numFmtId="3" fontId="9" fillId="8" borderId="33" xfId="0" applyNumberFormat="1" applyFont="1" applyFill="1" applyBorder="1" applyAlignment="1" applyProtection="1">
      <alignment horizontal="center"/>
    </xf>
    <xf numFmtId="5" fontId="9" fillId="8" borderId="11" xfId="0" applyNumberFormat="1" applyFont="1" applyFill="1" applyBorder="1" applyProtection="1"/>
    <xf numFmtId="5" fontId="8" fillId="8" borderId="49" xfId="0" applyNumberFormat="1" applyFont="1" applyFill="1" applyBorder="1" applyProtection="1"/>
    <xf numFmtId="0" fontId="8" fillId="8" borderId="50" xfId="0" applyFont="1" applyFill="1" applyBorder="1" applyProtection="1"/>
    <xf numFmtId="3" fontId="10" fillId="8" borderId="0" xfId="0" applyNumberFormat="1" applyFont="1" applyFill="1" applyAlignment="1" applyProtection="1">
      <alignment horizontal="center"/>
    </xf>
    <xf numFmtId="5" fontId="10" fillId="8" borderId="30" xfId="0" applyNumberFormat="1" applyFont="1" applyFill="1" applyBorder="1" applyProtection="1"/>
    <xf numFmtId="5" fontId="10" fillId="8" borderId="0" xfId="0" applyNumberFormat="1" applyFont="1" applyFill="1" applyProtection="1"/>
    <xf numFmtId="3" fontId="10" fillId="8" borderId="33" xfId="0" applyNumberFormat="1" applyFont="1" applyFill="1" applyBorder="1" applyAlignment="1" applyProtection="1">
      <alignment horizontal="center"/>
    </xf>
    <xf numFmtId="5" fontId="10" fillId="8" borderId="11" xfId="0" applyNumberFormat="1" applyFont="1" applyFill="1" applyBorder="1" applyProtection="1"/>
    <xf numFmtId="0" fontId="8" fillId="9" borderId="1" xfId="0" applyFont="1" applyFill="1" applyBorder="1" applyProtection="1"/>
    <xf numFmtId="3" fontId="10" fillId="9" borderId="46" xfId="0" applyNumberFormat="1" applyFont="1" applyFill="1" applyBorder="1" applyAlignment="1" applyProtection="1">
      <alignment horizontal="center"/>
    </xf>
    <xf numFmtId="5" fontId="10" fillId="9" borderId="47" xfId="0" applyNumberFormat="1" applyFont="1" applyFill="1" applyBorder="1" applyProtection="1"/>
    <xf numFmtId="3" fontId="10" fillId="9" borderId="90" xfId="0" applyNumberFormat="1" applyFont="1" applyFill="1" applyBorder="1" applyAlignment="1" applyProtection="1">
      <alignment horizontal="center"/>
    </xf>
    <xf numFmtId="3" fontId="10" fillId="9" borderId="47" xfId="0" applyNumberFormat="1" applyFont="1" applyFill="1" applyBorder="1" applyAlignment="1" applyProtection="1">
      <alignment horizontal="center"/>
    </xf>
    <xf numFmtId="5" fontId="10" fillId="9" borderId="48" xfId="0" applyNumberFormat="1" applyFont="1" applyFill="1" applyBorder="1" applyProtection="1"/>
    <xf numFmtId="5" fontId="8" fillId="9" borderId="2" xfId="0" applyNumberFormat="1" applyFont="1" applyFill="1" applyBorder="1" applyProtection="1"/>
    <xf numFmtId="5" fontId="8" fillId="9" borderId="4" xfId="0" applyNumberFormat="1" applyFont="1" applyFill="1" applyBorder="1" applyProtection="1"/>
    <xf numFmtId="0" fontId="8" fillId="9" borderId="26" xfId="0" applyFont="1" applyFill="1" applyBorder="1" applyAlignment="1" applyProtection="1">
      <alignment wrapText="1"/>
    </xf>
    <xf numFmtId="165" fontId="10" fillId="9" borderId="24" xfId="0" applyNumberFormat="1" applyFont="1" applyFill="1" applyBorder="1" applyAlignment="1" applyProtection="1">
      <alignment horizontal="center" vertical="center"/>
    </xf>
    <xf numFmtId="5" fontId="8" fillId="9" borderId="19" xfId="0" applyNumberFormat="1" applyFont="1" applyFill="1" applyBorder="1" applyProtection="1"/>
    <xf numFmtId="5" fontId="8" fillId="9" borderId="18" xfId="0" applyNumberFormat="1" applyFont="1" applyFill="1" applyBorder="1" applyProtection="1"/>
    <xf numFmtId="0" fontId="0" fillId="0" borderId="3" xfId="0" applyFill="1" applyBorder="1" applyProtection="1"/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/>
    </xf>
    <xf numFmtId="0" fontId="8" fillId="18" borderId="51" xfId="0" applyFont="1" applyFill="1" applyBorder="1" applyAlignment="1" applyProtection="1">
      <alignment horizontal="center"/>
    </xf>
    <xf numFmtId="165" fontId="8" fillId="17" borderId="16" xfId="0" applyNumberFormat="1" applyFont="1" applyFill="1" applyBorder="1" applyAlignment="1" applyProtection="1">
      <alignment horizontal="center" vertical="top"/>
    </xf>
    <xf numFmtId="165" fontId="8" fillId="18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Protection="1"/>
    <xf numFmtId="5" fontId="0" fillId="0" borderId="11" xfId="0" applyNumberFormat="1" applyFill="1" applyBorder="1" applyProtection="1"/>
    <xf numFmtId="0" fontId="0" fillId="0" borderId="15" xfId="0" applyFill="1" applyBorder="1" applyProtection="1"/>
    <xf numFmtId="0" fontId="8" fillId="0" borderId="62" xfId="0" applyFont="1" applyFill="1" applyBorder="1" applyProtection="1"/>
    <xf numFmtId="5" fontId="8" fillId="0" borderId="41" xfId="0" applyNumberFormat="1" applyFont="1" applyFill="1" applyBorder="1" applyProtection="1"/>
    <xf numFmtId="5" fontId="8" fillId="0" borderId="65" xfId="0" applyNumberFormat="1" applyFont="1" applyFill="1" applyBorder="1" applyProtection="1"/>
    <xf numFmtId="5" fontId="8" fillId="0" borderId="45" xfId="0" applyNumberFormat="1" applyFont="1" applyFill="1" applyBorder="1" applyProtection="1"/>
    <xf numFmtId="5" fontId="8" fillId="0" borderId="66" xfId="0" applyNumberFormat="1" applyFont="1" applyFill="1" applyBorder="1" applyProtection="1"/>
    <xf numFmtId="5" fontId="8" fillId="0" borderId="42" xfId="0" applyNumberFormat="1" applyFont="1" applyFill="1" applyBorder="1" applyProtection="1"/>
    <xf numFmtId="165" fontId="8" fillId="0" borderId="67" xfId="0" applyNumberFormat="1" applyFont="1" applyFill="1" applyBorder="1" applyAlignment="1" applyProtection="1">
      <alignment horizontal="center"/>
    </xf>
    <xf numFmtId="0" fontId="8" fillId="8" borderId="15" xfId="0" applyFont="1" applyFill="1" applyBorder="1" applyProtection="1"/>
    <xf numFmtId="5" fontId="0" fillId="8" borderId="8" xfId="0" applyNumberFormat="1" applyFill="1" applyBorder="1" applyProtection="1"/>
    <xf numFmtId="5" fontId="0" fillId="8" borderId="9" xfId="0" applyNumberFormat="1" applyFill="1" applyBorder="1" applyProtection="1"/>
    <xf numFmtId="5" fontId="0" fillId="8" borderId="0" xfId="0" applyNumberFormat="1" applyFill="1" applyProtection="1"/>
    <xf numFmtId="5" fontId="0" fillId="8" borderId="10" xfId="0" applyNumberFormat="1" applyFill="1" applyBorder="1" applyProtection="1"/>
    <xf numFmtId="5" fontId="0" fillId="8" borderId="30" xfId="0" applyNumberFormat="1" applyFill="1" applyBorder="1" applyProtection="1"/>
    <xf numFmtId="5" fontId="0" fillId="8" borderId="0" xfId="0" applyNumberFormat="1" applyFill="1" applyAlignment="1" applyProtection="1">
      <alignment horizontal="center"/>
    </xf>
    <xf numFmtId="5" fontId="0" fillId="8" borderId="11" xfId="0" applyNumberFormat="1" applyFill="1" applyBorder="1" applyProtection="1"/>
    <xf numFmtId="0" fontId="0" fillId="8" borderId="11" xfId="0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9" borderId="69" xfId="0" applyFont="1" applyFill="1" applyBorder="1" applyProtection="1"/>
    <xf numFmtId="5" fontId="8" fillId="9" borderId="61" xfId="0" applyNumberFormat="1" applyFont="1" applyFill="1" applyBorder="1" applyProtection="1"/>
    <xf numFmtId="5" fontId="8" fillId="9" borderId="58" xfId="0" applyNumberFormat="1" applyFont="1" applyFill="1" applyBorder="1" applyProtection="1"/>
    <xf numFmtId="5" fontId="8" fillId="9" borderId="64" xfId="0" applyNumberFormat="1" applyFont="1" applyFill="1" applyBorder="1" applyProtection="1"/>
    <xf numFmtId="5" fontId="8" fillId="9" borderId="70" xfId="0" applyNumberFormat="1" applyFont="1" applyFill="1" applyBorder="1" applyProtection="1"/>
    <xf numFmtId="165" fontId="8" fillId="9" borderId="68" xfId="0" applyNumberFormat="1" applyFont="1" applyFill="1" applyBorder="1" applyAlignment="1" applyProtection="1">
      <alignment horizontal="center"/>
    </xf>
    <xf numFmtId="5" fontId="8" fillId="9" borderId="68" xfId="0" applyNumberFormat="1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10" fontId="8" fillId="9" borderId="68" xfId="0" applyNumberFormat="1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9" borderId="63" xfId="0" applyFont="1" applyFill="1" applyBorder="1" applyAlignment="1" applyProtection="1">
      <alignment horizontal="center" vertical="center" wrapText="1"/>
    </xf>
    <xf numFmtId="0" fontId="8" fillId="9" borderId="64" xfId="0" applyFont="1" applyFill="1" applyBorder="1" applyAlignment="1" applyProtection="1">
      <alignment horizontal="center" vertical="center" wrapText="1"/>
    </xf>
    <xf numFmtId="0" fontId="8" fillId="16" borderId="68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8" borderId="0" xfId="0" applyNumberFormat="1" applyFill="1" applyAlignment="1" applyProtection="1">
      <alignment horizontal="center"/>
    </xf>
    <xf numFmtId="37" fontId="8" fillId="0" borderId="62" xfId="0" applyNumberFormat="1" applyFont="1" applyFill="1" applyBorder="1" applyAlignment="1" applyProtection="1">
      <alignment horizontal="center"/>
    </xf>
    <xf numFmtId="5" fontId="8" fillId="0" borderId="67" xfId="0" applyNumberFormat="1" applyFont="1" applyFill="1" applyBorder="1" applyProtection="1"/>
    <xf numFmtId="165" fontId="8" fillId="8" borderId="44" xfId="0" applyNumberFormat="1" applyFont="1" applyFill="1" applyBorder="1" applyAlignment="1" applyProtection="1">
      <alignment horizontal="center"/>
    </xf>
    <xf numFmtId="37" fontId="0" fillId="8" borderId="15" xfId="0" applyNumberFormat="1" applyFill="1" applyBorder="1" applyAlignment="1" applyProtection="1">
      <alignment horizontal="center"/>
    </xf>
    <xf numFmtId="165" fontId="0" fillId="8" borderId="11" xfId="0" applyNumberFormat="1" applyFill="1" applyBorder="1" applyAlignment="1" applyProtection="1">
      <alignment horizontal="center"/>
    </xf>
    <xf numFmtId="37" fontId="8" fillId="9" borderId="56" xfId="0" applyNumberFormat="1" applyFont="1" applyFill="1" applyBorder="1" applyAlignment="1" applyProtection="1">
      <alignment horizontal="center"/>
    </xf>
    <xf numFmtId="165" fontId="8" fillId="9" borderId="58" xfId="0" applyNumberFormat="1" applyFont="1" applyFill="1" applyBorder="1" applyAlignment="1" applyProtection="1">
      <alignment horizontal="center"/>
    </xf>
    <xf numFmtId="165" fontId="8" fillId="8" borderId="57" xfId="0" applyNumberFormat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8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8" fillId="20" borderId="71" xfId="0" applyFont="1" applyFill="1" applyBorder="1" applyAlignment="1" applyProtection="1">
      <alignment vertical="center"/>
    </xf>
    <xf numFmtId="0" fontId="0" fillId="20" borderId="73" xfId="0" applyFill="1" applyBorder="1" applyAlignment="1" applyProtection="1">
      <alignment vertical="center"/>
    </xf>
    <xf numFmtId="0" fontId="0" fillId="20" borderId="72" xfId="0" applyFill="1" applyBorder="1" applyAlignment="1" applyProtection="1">
      <alignment vertical="center"/>
    </xf>
    <xf numFmtId="0" fontId="0" fillId="20" borderId="71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5" fontId="0" fillId="0" borderId="60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1" xfId="0" applyNumberFormat="1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 wrapText="1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5" fontId="0" fillId="0" borderId="80" xfId="0" applyNumberFormat="1" applyFill="1" applyBorder="1" applyAlignment="1" applyProtection="1">
      <alignment vertical="center"/>
    </xf>
    <xf numFmtId="5" fontId="0" fillId="0" borderId="49" xfId="0" applyNumberFormat="1" applyFill="1" applyBorder="1" applyAlignment="1" applyProtection="1">
      <alignment vertical="center"/>
    </xf>
    <xf numFmtId="0" fontId="0" fillId="0" borderId="81" xfId="0" applyFill="1" applyBorder="1" applyAlignment="1" applyProtection="1">
      <alignment horizontal="center" vertical="center"/>
    </xf>
    <xf numFmtId="0" fontId="8" fillId="22" borderId="76" xfId="0" applyFont="1" applyFill="1" applyBorder="1" applyAlignment="1" applyProtection="1">
      <alignment vertical="center"/>
    </xf>
    <xf numFmtId="0" fontId="8" fillId="22" borderId="77" xfId="0" applyFont="1" applyFill="1" applyBorder="1" applyAlignment="1" applyProtection="1">
      <alignment vertical="center"/>
    </xf>
    <xf numFmtId="0" fontId="8" fillId="22" borderId="78" xfId="0" applyFont="1" applyFill="1" applyBorder="1" applyAlignment="1" applyProtection="1">
      <alignment vertical="center"/>
    </xf>
    <xf numFmtId="5" fontId="8" fillId="22" borderId="75" xfId="0" applyNumberFormat="1" applyFont="1" applyFill="1" applyBorder="1" applyAlignment="1" applyProtection="1">
      <alignment vertical="center"/>
    </xf>
    <xf numFmtId="5" fontId="8" fillId="22" borderId="55" xfId="0" applyNumberFormat="1" applyFont="1" applyFill="1" applyBorder="1" applyAlignment="1" applyProtection="1">
      <alignment vertical="center"/>
    </xf>
    <xf numFmtId="5" fontId="8" fillId="22" borderId="7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Protection="1"/>
    <xf numFmtId="0" fontId="8" fillId="9" borderId="57" xfId="0" applyFont="1" applyFill="1" applyBorder="1" applyProtection="1"/>
    <xf numFmtId="0" fontId="8" fillId="8" borderId="1" xfId="0" applyFont="1" applyFill="1" applyBorder="1" applyProtection="1"/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5" xfId="0" applyNumberFormat="1" applyFont="1" applyFill="1" applyBorder="1" applyAlignment="1" applyProtection="1">
      <alignment horizontal="center"/>
    </xf>
    <xf numFmtId="165" fontId="8" fillId="0" borderId="66" xfId="0" applyNumberFormat="1" applyFont="1" applyFill="1" applyBorder="1" applyAlignment="1" applyProtection="1">
      <alignment horizontal="center"/>
    </xf>
    <xf numFmtId="0" fontId="8" fillId="8" borderId="41" xfId="0" applyFont="1" applyFill="1" applyBorder="1" applyProtection="1"/>
    <xf numFmtId="165" fontId="0" fillId="8" borderId="10" xfId="0" applyNumberFormat="1" applyFill="1" applyBorder="1" applyAlignment="1" applyProtection="1">
      <alignment horizontal="center"/>
    </xf>
    <xf numFmtId="165" fontId="8" fillId="9" borderId="64" xfId="0" applyNumberFormat="1" applyFont="1" applyFill="1" applyBorder="1" applyAlignment="1" applyProtection="1">
      <alignment horizontal="center"/>
    </xf>
    <xf numFmtId="0" fontId="8" fillId="8" borderId="61" xfId="0" applyFont="1" applyFill="1" applyBorder="1" applyProtection="1"/>
    <xf numFmtId="0" fontId="8" fillId="9" borderId="15" xfId="0" applyFon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 vertical="center"/>
    </xf>
    <xf numFmtId="0" fontId="8" fillId="21" borderId="23" xfId="0" applyFont="1" applyFill="1" applyBorder="1" applyAlignment="1" applyProtection="1">
      <alignment horizontal="center" vertical="center"/>
    </xf>
    <xf numFmtId="0" fontId="8" fillId="24" borderId="23" xfId="0" applyFont="1" applyFill="1" applyBorder="1" applyAlignment="1" applyProtection="1">
      <alignment horizontal="center" vertical="center"/>
    </xf>
    <xf numFmtId="0" fontId="8" fillId="24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5" xfId="0" applyNumberFormat="1" applyFill="1" applyBorder="1" applyAlignment="1" applyProtection="1">
      <alignment vertical="center"/>
    </xf>
    <xf numFmtId="5" fontId="0" fillId="0" borderId="30" xfId="0" applyNumberFormat="1" applyFill="1" applyBorder="1" applyAlignment="1" applyProtection="1">
      <alignment vertical="center"/>
    </xf>
    <xf numFmtId="5" fontId="8" fillId="0" borderId="15" xfId="0" applyNumberFormat="1" applyFont="1" applyFill="1" applyBorder="1" applyAlignment="1" applyProtection="1">
      <alignment vertical="center"/>
    </xf>
    <xf numFmtId="5" fontId="8" fillId="0" borderId="30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19" xfId="0" applyNumberFormat="1" applyFill="1" applyBorder="1" applyAlignment="1" applyProtection="1">
      <alignment vertical="center"/>
    </xf>
    <xf numFmtId="5" fontId="0" fillId="0" borderId="32" xfId="0" applyNumberFormat="1" applyFill="1" applyBorder="1" applyAlignment="1" applyProtection="1">
      <alignment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18" xfId="0" applyNumberForma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38" xfId="0" applyNumberFormat="1" applyFont="1" applyFill="1" applyBorder="1" applyAlignment="1" applyProtection="1">
      <alignment vertical="center"/>
    </xf>
    <xf numFmtId="5" fontId="8" fillId="0" borderId="18" xfId="0" applyNumberFormat="1" applyFont="1" applyFill="1" applyBorder="1" applyAlignment="1" applyProtection="1">
      <alignment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84" xfId="0" applyFont="1" applyFill="1" applyBorder="1" applyAlignment="1" applyProtection="1">
      <alignment horizontal="center" vertical="center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26" borderId="17" xfId="0" applyFont="1" applyFill="1" applyBorder="1" applyAlignment="1" applyProtection="1">
      <alignment horizontal="center" vertical="center" wrapText="1"/>
    </xf>
    <xf numFmtId="0" fontId="8" fillId="26" borderId="16" xfId="0" applyFont="1" applyFill="1" applyBorder="1" applyAlignment="1" applyProtection="1">
      <alignment horizontal="center" vertical="center" wrapText="1"/>
    </xf>
    <xf numFmtId="0" fontId="8" fillId="27" borderId="18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0" fillId="20" borderId="84" xfId="0" applyFill="1" applyBorder="1" applyAlignment="1" applyProtection="1">
      <alignment vertical="center"/>
    </xf>
    <xf numFmtId="0" fontId="0" fillId="8" borderId="84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horizontal="left" vertical="center" wrapText="1" indent="2"/>
    </xf>
    <xf numFmtId="5" fontId="0" fillId="0" borderId="86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left" vertical="center" wrapText="1" indent="2"/>
    </xf>
    <xf numFmtId="5" fontId="0" fillId="0" borderId="87" xfId="0" applyNumberFormat="1" applyFill="1" applyBorder="1" applyAlignment="1" applyProtection="1">
      <alignment vertical="center"/>
    </xf>
    <xf numFmtId="165" fontId="0" fillId="0" borderId="50" xfId="0" applyNumberFormat="1" applyFill="1" applyBorder="1" applyAlignment="1" applyProtection="1">
      <alignment horizontal="center" vertical="center"/>
    </xf>
    <xf numFmtId="5" fontId="0" fillId="8" borderId="87" xfId="0" applyNumberFormat="1" applyFill="1" applyBorder="1" applyAlignment="1" applyProtection="1">
      <alignment vertical="center"/>
    </xf>
    <xf numFmtId="5" fontId="8" fillId="22" borderId="54" xfId="0" applyNumberFormat="1" applyFont="1" applyFill="1" applyBorder="1" applyAlignment="1" applyProtection="1">
      <alignment vertical="center"/>
    </xf>
    <xf numFmtId="165" fontId="8" fillId="22" borderId="8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9" borderId="76" xfId="0" applyFont="1" applyFill="1" applyBorder="1" applyAlignment="1" applyProtection="1">
      <alignment vertical="center"/>
    </xf>
    <xf numFmtId="5" fontId="8" fillId="9" borderId="54" xfId="0" applyNumberFormat="1" applyFont="1" applyFill="1" applyBorder="1" applyAlignment="1" applyProtection="1">
      <alignment vertical="center"/>
    </xf>
    <xf numFmtId="165" fontId="8" fillId="9" borderId="55" xfId="0" applyNumberFormat="1" applyFont="1" applyFill="1" applyBorder="1" applyAlignment="1" applyProtection="1">
      <alignment horizontal="center" vertical="center"/>
    </xf>
    <xf numFmtId="5" fontId="8" fillId="9" borderId="75" xfId="0" applyNumberFormat="1" applyFont="1" applyFill="1" applyBorder="1" applyAlignment="1" applyProtection="1">
      <alignment vertical="center"/>
    </xf>
    <xf numFmtId="5" fontId="8" fillId="9" borderId="74" xfId="0" applyNumberFormat="1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9" borderId="11" xfId="0" applyNumberFormat="1" applyFont="1" applyFill="1" applyBorder="1" applyAlignment="1" applyProtection="1">
      <alignment horizontal="center" vertical="center"/>
    </xf>
    <xf numFmtId="5" fontId="8" fillId="9" borderId="10" xfId="0" applyNumberFormat="1" applyFont="1" applyFill="1" applyBorder="1" applyAlignment="1" applyProtection="1">
      <alignment vertical="center"/>
    </xf>
    <xf numFmtId="5" fontId="8" fillId="9" borderId="9" xfId="0" applyNumberFormat="1" applyFont="1" applyFill="1" applyBorder="1" applyAlignment="1" applyProtection="1">
      <alignment vertical="center"/>
    </xf>
    <xf numFmtId="5" fontId="8" fillId="8" borderId="8" xfId="0" applyNumberFormat="1" applyFont="1" applyFill="1" applyBorder="1" applyAlignment="1" applyProtection="1">
      <alignment vertical="center"/>
    </xf>
    <xf numFmtId="0" fontId="8" fillId="9" borderId="2" xfId="0" applyFont="1" applyFill="1" applyBorder="1" applyAlignment="1" applyProtection="1">
      <alignment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9" borderId="4" xfId="0" applyNumberFormat="1" applyFont="1" applyFill="1" applyBorder="1" applyAlignment="1" applyProtection="1">
      <alignment vertical="center"/>
    </xf>
    <xf numFmtId="165" fontId="8" fillId="9" borderId="4" xfId="0" applyNumberFormat="1" applyFont="1" applyFill="1" applyBorder="1" applyAlignment="1" applyProtection="1">
      <alignment horizontal="center" vertical="center"/>
    </xf>
    <xf numFmtId="5" fontId="8" fillId="9" borderId="7" xfId="0" applyNumberFormat="1" applyFont="1" applyFill="1" applyBorder="1" applyAlignment="1" applyProtection="1">
      <alignment vertical="center"/>
    </xf>
    <xf numFmtId="5" fontId="8" fillId="9" borderId="6" xfId="0" applyNumberFormat="1" applyFont="1" applyFill="1" applyBorder="1" applyAlignment="1" applyProtection="1">
      <alignment vertical="center"/>
    </xf>
    <xf numFmtId="165" fontId="8" fillId="9" borderId="88" xfId="0" applyNumberFormat="1" applyFont="1" applyFill="1" applyBorder="1" applyAlignment="1" applyProtection="1">
      <alignment horizontal="center" vertical="center"/>
    </xf>
    <xf numFmtId="5" fontId="8" fillId="9" borderId="31" xfId="0" applyNumberFormat="1" applyFont="1" applyFill="1" applyBorder="1" applyAlignment="1" applyProtection="1">
      <alignment vertical="center"/>
    </xf>
    <xf numFmtId="0" fontId="8" fillId="8" borderId="57" xfId="0" applyFont="1" applyFill="1" applyBorder="1" applyAlignment="1" applyProtection="1">
      <alignment horizontal="center" vertical="center"/>
    </xf>
    <xf numFmtId="0" fontId="8" fillId="27" borderId="9" xfId="0" applyFont="1" applyFill="1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 vertical="center" wrapText="1"/>
    </xf>
    <xf numFmtId="5" fontId="8" fillId="27" borderId="16" xfId="0" applyNumberFormat="1" applyFont="1" applyFill="1" applyBorder="1" applyAlignment="1" applyProtection="1">
      <alignment horizontal="center" vertical="top"/>
    </xf>
    <xf numFmtId="0" fontId="8" fillId="8" borderId="20" xfId="0" applyFont="1" applyFill="1" applyBorder="1" applyAlignment="1" applyProtection="1">
      <alignment horizontal="center" vertical="center"/>
    </xf>
    <xf numFmtId="3" fontId="8" fillId="0" borderId="41" xfId="0" applyNumberFormat="1" applyFont="1" applyFill="1" applyBorder="1" applyAlignment="1" applyProtection="1">
      <alignment horizontal="center"/>
    </xf>
    <xf numFmtId="3" fontId="0" fillId="8" borderId="8" xfId="0" applyNumberFormat="1" applyFill="1" applyBorder="1" applyAlignment="1" applyProtection="1">
      <alignment horizontal="center"/>
    </xf>
    <xf numFmtId="3" fontId="8" fillId="9" borderId="61" xfId="0" applyNumberFormat="1" applyFont="1" applyFill="1" applyBorder="1" applyAlignment="1" applyProtection="1">
      <alignment horizontal="center"/>
    </xf>
    <xf numFmtId="0" fontId="8" fillId="8" borderId="58" xfId="0" applyFont="1" applyFill="1" applyBorder="1" applyAlignment="1" applyProtection="1">
      <alignment horizontal="center" vertical="center"/>
    </xf>
    <xf numFmtId="0" fontId="8" fillId="8" borderId="72" xfId="0" applyFont="1" applyFill="1" applyBorder="1" applyAlignment="1" applyProtection="1">
      <alignment horizontal="center" vertical="center"/>
    </xf>
    <xf numFmtId="0" fontId="8" fillId="26" borderId="32" xfId="0" applyFont="1" applyFill="1" applyBorder="1" applyAlignment="1" applyProtection="1">
      <alignment horizontal="center" vertical="center" wrapText="1"/>
    </xf>
    <xf numFmtId="0" fontId="8" fillId="8" borderId="18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Protection="1"/>
    <xf numFmtId="5" fontId="8" fillId="0" borderId="54" xfId="0" applyNumberFormat="1" applyFont="1" applyFill="1" applyBorder="1" applyProtection="1"/>
    <xf numFmtId="5" fontId="8" fillId="0" borderId="55" xfId="0" applyNumberFormat="1" applyFont="1" applyFill="1" applyBorder="1" applyProtection="1"/>
    <xf numFmtId="5" fontId="8" fillId="0" borderId="74" xfId="0" applyNumberFormat="1" applyFont="1" applyFill="1" applyBorder="1" applyProtection="1"/>
    <xf numFmtId="0" fontId="8" fillId="27" borderId="9" xfId="0" applyFont="1" applyFill="1" applyBorder="1" applyAlignment="1" applyProtection="1">
      <alignment horizontal="center"/>
    </xf>
    <xf numFmtId="0" fontId="8" fillId="27" borderId="7" xfId="0" applyFont="1" applyFill="1" applyBorder="1" applyAlignment="1" applyProtection="1">
      <alignment horizontal="center"/>
    </xf>
    <xf numFmtId="165" fontId="8" fillId="27" borderId="16" xfId="0" applyNumberFormat="1" applyFont="1" applyFill="1" applyBorder="1" applyAlignment="1" applyProtection="1">
      <alignment horizontal="center" vertical="top"/>
    </xf>
    <xf numFmtId="165" fontId="8" fillId="27" borderId="17" xfId="0" applyNumberFormat="1" applyFont="1" applyFill="1" applyBorder="1" applyAlignment="1" applyProtection="1">
      <alignment horizontal="center" vertical="top"/>
    </xf>
    <xf numFmtId="5" fontId="8" fillId="0" borderId="44" xfId="0" applyNumberFormat="1" applyFont="1" applyFill="1" applyBorder="1" applyProtection="1"/>
    <xf numFmtId="5" fontId="8" fillId="9" borderId="57" xfId="0" applyNumberFormat="1" applyFont="1" applyFill="1" applyBorder="1" applyProtection="1"/>
    <xf numFmtId="165" fontId="0" fillId="0" borderId="0" xfId="0" applyNumberForma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3" fontId="0" fillId="0" borderId="0" xfId="0" applyNumberForma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10" fontId="0" fillId="0" borderId="0" xfId="0" applyNumberForma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16" borderId="57" xfId="0" applyFont="1" applyFill="1" applyBorder="1" applyAlignment="1" applyProtection="1">
      <alignment horizontal="center" vertical="center"/>
    </xf>
    <xf numFmtId="0" fontId="8" fillId="16" borderId="58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0" fontId="1" fillId="7" borderId="4" xfId="0" applyFont="1" applyFill="1" applyBorder="1" applyAlignment="1" applyProtection="1">
      <alignment horizontal="center" wrapText="1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8" xfId="0" applyNumberFormat="1" applyFont="1" applyFill="1" applyBorder="1" applyAlignment="1" applyProtection="1">
      <alignment horizontal="center"/>
    </xf>
    <xf numFmtId="164" fontId="2" fillId="6" borderId="22" xfId="0" applyNumberFormat="1" applyFont="1" applyFill="1" applyBorder="1" applyAlignment="1" applyProtection="1">
      <alignment horizontal="center"/>
    </xf>
    <xf numFmtId="164" fontId="2" fillId="6" borderId="25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164" fontId="2" fillId="7" borderId="25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5" fontId="8" fillId="9" borderId="56" xfId="0" applyNumberFormat="1" applyFont="1" applyFill="1" applyBorder="1" applyAlignment="1" applyProtection="1">
      <alignment horizontal="center"/>
    </xf>
    <xf numFmtId="0" fontId="8" fillId="9" borderId="57" xfId="0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/>
    </xf>
    <xf numFmtId="0" fontId="8" fillId="9" borderId="56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/>
    </xf>
    <xf numFmtId="0" fontId="6" fillId="16" borderId="15" xfId="0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0" fontId="6" fillId="16" borderId="11" xfId="0" applyFont="1" applyFill="1" applyBorder="1" applyAlignment="1" applyProtection="1">
      <alignment horizontal="center"/>
    </xf>
    <xf numFmtId="0" fontId="8" fillId="9" borderId="51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 applyProtection="1">
      <alignment horizontal="center" vertical="center" wrapText="1"/>
    </xf>
    <xf numFmtId="0" fontId="8" fillId="9" borderId="60" xfId="0" applyFont="1" applyFill="1" applyBorder="1" applyAlignment="1" applyProtection="1">
      <alignment horizontal="center" vertical="center" wrapText="1"/>
    </xf>
    <xf numFmtId="0" fontId="8" fillId="9" borderId="17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165" fontId="0" fillId="16" borderId="19" xfId="0" applyNumberFormat="1" applyFill="1" applyBorder="1" applyAlignment="1" applyProtection="1">
      <alignment horizontal="center" vertical="center"/>
    </xf>
    <xf numFmtId="165" fontId="0" fillId="16" borderId="20" xfId="0" applyNumberFormat="1" applyFill="1" applyBorder="1" applyAlignment="1" applyProtection="1">
      <alignment horizontal="center" vertical="center"/>
    </xf>
    <xf numFmtId="165" fontId="0" fillId="16" borderId="18" xfId="0" applyNumberForma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 wrapText="1"/>
    </xf>
    <xf numFmtId="0" fontId="8" fillId="9" borderId="18" xfId="0" applyFont="1" applyFill="1" applyBorder="1" applyAlignment="1" applyProtection="1">
      <alignment horizontal="center" vertical="center" wrapText="1"/>
    </xf>
    <xf numFmtId="164" fontId="2" fillId="4" borderId="36" xfId="0" applyNumberFormat="1" applyFont="1" applyFill="1" applyBorder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5" fontId="2" fillId="3" borderId="30" xfId="0" applyNumberFormat="1" applyFont="1" applyFill="1" applyBorder="1" applyAlignment="1" applyProtection="1">
      <alignment horizontal="center"/>
    </xf>
    <xf numFmtId="5" fontId="2" fillId="4" borderId="33" xfId="0" applyNumberFormat="1" applyFont="1" applyFill="1" applyBorder="1" applyAlignment="1" applyProtection="1">
      <alignment horizontal="center"/>
    </xf>
    <xf numFmtId="5" fontId="2" fillId="4" borderId="30" xfId="0" applyNumberFormat="1" applyFont="1" applyFill="1" applyBorder="1" applyAlignment="1" applyProtection="1">
      <alignment horizontal="center"/>
    </xf>
    <xf numFmtId="165" fontId="10" fillId="9" borderId="23" xfId="0" applyNumberFormat="1" applyFont="1" applyFill="1" applyBorder="1" applyAlignment="1" applyProtection="1">
      <alignment horizontal="center" vertical="center"/>
    </xf>
    <xf numFmtId="0" fontId="8" fillId="9" borderId="48" xfId="0" applyFont="1" applyFill="1" applyBorder="1" applyAlignment="1" applyProtection="1">
      <alignment horizontal="center" wrapText="1"/>
    </xf>
    <xf numFmtId="0" fontId="8" fillId="9" borderId="50" xfId="0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5" fontId="2" fillId="3" borderId="40" xfId="0" applyNumberFormat="1" applyFont="1" applyFill="1" applyBorder="1" applyAlignment="1" applyProtection="1">
      <alignment horizontal="center"/>
    </xf>
    <xf numFmtId="5" fontId="2" fillId="3" borderId="32" xfId="0" applyNumberFormat="1" applyFont="1" applyFill="1" applyBorder="1" applyAlignment="1" applyProtection="1">
      <alignment horizontal="center"/>
    </xf>
    <xf numFmtId="165" fontId="10" fillId="9" borderId="21" xfId="0" applyNumberFormat="1" applyFont="1" applyFill="1" applyBorder="1" applyAlignment="1" applyProtection="1">
      <alignment horizontal="center" vertical="center"/>
    </xf>
    <xf numFmtId="5" fontId="2" fillId="5" borderId="33" xfId="0" applyNumberFormat="1" applyFont="1" applyFill="1" applyBorder="1" applyAlignment="1" applyProtection="1">
      <alignment horizontal="center"/>
    </xf>
    <xf numFmtId="5" fontId="2" fillId="5" borderId="30" xfId="0" applyNumberFormat="1" applyFont="1" applyFill="1" applyBorder="1" applyAlignment="1" applyProtection="1">
      <alignment horizontal="center"/>
    </xf>
    <xf numFmtId="5" fontId="2" fillId="5" borderId="40" xfId="0" applyNumberFormat="1" applyFont="1" applyFill="1" applyBorder="1" applyAlignment="1" applyProtection="1">
      <alignment horizontal="center"/>
    </xf>
    <xf numFmtId="5" fontId="2" fillId="5" borderId="32" xfId="0" applyNumberFormat="1" applyFont="1" applyFill="1" applyBorder="1" applyAlignment="1" applyProtection="1">
      <alignment horizontal="center"/>
    </xf>
    <xf numFmtId="0" fontId="1" fillId="16" borderId="1" xfId="0" applyFont="1" applyFill="1" applyBorder="1" applyAlignment="1" applyProtection="1">
      <alignment horizontal="center" vertical="center" wrapText="1"/>
    </xf>
    <xf numFmtId="0" fontId="1" fillId="16" borderId="8" xfId="0" applyFont="1" applyFill="1" applyBorder="1" applyAlignment="1" applyProtection="1">
      <alignment horizontal="center" vertic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0" fontId="8" fillId="9" borderId="46" xfId="0" applyFont="1" applyFill="1" applyBorder="1" applyAlignment="1" applyProtection="1">
      <alignment horizontal="center"/>
    </xf>
    <xf numFmtId="0" fontId="8" fillId="9" borderId="49" xfId="0" applyFont="1" applyFill="1" applyBorder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30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5" xfId="0" applyNumberFormat="1" applyFont="1" applyFill="1" applyBorder="1" applyAlignment="1" applyProtection="1">
      <alignment horizontal="center"/>
    </xf>
    <xf numFmtId="5" fontId="2" fillId="7" borderId="33" xfId="0" applyNumberFormat="1" applyFont="1" applyFill="1" applyBorder="1" applyAlignment="1" applyProtection="1">
      <alignment horizontal="center"/>
    </xf>
    <xf numFmtId="5" fontId="2" fillId="7" borderId="30" xfId="0" applyNumberFormat="1" applyFont="1" applyFill="1" applyBorder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5" fontId="2" fillId="2" borderId="40" xfId="0" applyNumberFormat="1" applyFont="1" applyFill="1" applyBorder="1" applyAlignment="1" applyProtection="1">
      <alignment horizontal="center"/>
    </xf>
    <xf numFmtId="5" fontId="2" fillId="2" borderId="32" xfId="0" applyNumberFormat="1" applyFont="1" applyFill="1" applyBorder="1" applyAlignment="1" applyProtection="1">
      <alignment horizontal="center"/>
    </xf>
    <xf numFmtId="5" fontId="2" fillId="5" borderId="0" xfId="0" applyNumberFormat="1" applyFont="1" applyFill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30" xfId="0" applyNumberFormat="1" applyFont="1" applyFill="1" applyBorder="1" applyAlignment="1" applyProtection="1">
      <alignment horizontal="center"/>
    </xf>
    <xf numFmtId="5" fontId="2" fillId="6" borderId="40" xfId="0" applyNumberFormat="1" applyFont="1" applyFill="1" applyBorder="1" applyAlignment="1" applyProtection="1">
      <alignment horizontal="center"/>
    </xf>
    <xf numFmtId="5" fontId="2" fillId="6" borderId="32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/>
    </xf>
    <xf numFmtId="164" fontId="2" fillId="7" borderId="39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5" fontId="2" fillId="4" borderId="0" xfId="0" applyNumberFormat="1" applyFont="1" applyFill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35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5" fontId="2" fillId="3" borderId="33" xfId="0" applyNumberFormat="1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8" fillId="18" borderId="71" xfId="0" applyFont="1" applyFill="1" applyBorder="1" applyAlignment="1" applyProtection="1">
      <alignment horizontal="center"/>
    </xf>
    <xf numFmtId="0" fontId="8" fillId="18" borderId="72" xfId="0" applyFont="1" applyFill="1" applyBorder="1" applyAlignment="1" applyProtection="1">
      <alignment horizontal="center"/>
    </xf>
    <xf numFmtId="0" fontId="8" fillId="17" borderId="60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/>
    </xf>
    <xf numFmtId="0" fontId="8" fillId="18" borderId="59" xfId="0" applyFont="1" applyFill="1" applyBorder="1" applyAlignment="1" applyProtection="1">
      <alignment horizontal="center" vertical="center" wrapText="1"/>
    </xf>
    <xf numFmtId="0" fontId="8" fillId="18" borderId="18" xfId="0" applyFont="1" applyFill="1" applyBorder="1" applyAlignment="1" applyProtection="1">
      <alignment horizontal="center" vertical="center" wrapText="1"/>
    </xf>
    <xf numFmtId="0" fontId="8" fillId="16" borderId="56" xfId="0" applyFont="1" applyFill="1" applyBorder="1" applyAlignment="1" applyProtection="1">
      <alignment horizontal="center" vertical="center"/>
    </xf>
    <xf numFmtId="0" fontId="8" fillId="17" borderId="59" xfId="0" applyFont="1" applyFill="1" applyBorder="1" applyAlignment="1" applyProtection="1">
      <alignment horizontal="center" vertical="center" wrapText="1"/>
    </xf>
    <xf numFmtId="0" fontId="8" fillId="17" borderId="18" xfId="0" applyFont="1" applyFill="1" applyBorder="1" applyAlignment="1" applyProtection="1">
      <alignment horizontal="center" vertical="center" wrapText="1"/>
    </xf>
    <xf numFmtId="0" fontId="8" fillId="17" borderId="71" xfId="0" applyFont="1" applyFill="1" applyBorder="1" applyAlignment="1" applyProtection="1">
      <alignment horizontal="center"/>
    </xf>
    <xf numFmtId="0" fontId="8" fillId="17" borderId="73" xfId="0" applyFont="1" applyFill="1" applyBorder="1" applyAlignment="1" applyProtection="1">
      <alignment horizontal="center"/>
    </xf>
    <xf numFmtId="0" fontId="8" fillId="17" borderId="72" xfId="0" applyFont="1" applyFill="1" applyBorder="1" applyAlignment="1" applyProtection="1">
      <alignment horizontal="center"/>
    </xf>
    <xf numFmtId="0" fontId="8" fillId="17" borderId="60" xfId="0" applyFont="1" applyFill="1" applyBorder="1" applyAlignment="1" applyProtection="1">
      <alignment horizontal="center" vertical="center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4" xfId="0" applyFont="1" applyFill="1" applyBorder="1" applyAlignment="1" applyProtection="1">
      <alignment horizontal="center" vertical="center" wrapText="1"/>
    </xf>
    <xf numFmtId="0" fontId="8" fillId="17" borderId="14" xfId="0" applyFont="1" applyFill="1" applyBorder="1" applyAlignment="1" applyProtection="1">
      <alignment horizontal="center" vertical="center" wrapText="1"/>
    </xf>
    <xf numFmtId="0" fontId="8" fillId="17" borderId="13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16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/>
    </xf>
    <xf numFmtId="0" fontId="8" fillId="16" borderId="16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 wrapText="1"/>
    </xf>
    <xf numFmtId="0" fontId="8" fillId="9" borderId="57" xfId="0" applyFont="1" applyFill="1" applyBorder="1" applyAlignment="1" applyProtection="1">
      <alignment horizontal="center" vertical="center" wrapText="1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8" fillId="23" borderId="56" xfId="0" applyFont="1" applyFill="1" applyBorder="1" applyAlignment="1" applyProtection="1">
      <alignment horizontal="center" vertical="center" wrapText="1"/>
    </xf>
    <xf numFmtId="0" fontId="8" fillId="23" borderId="57" xfId="0" applyFont="1" applyFill="1" applyBorder="1" applyAlignment="1" applyProtection="1">
      <alignment horizontal="center" vertical="center" wrapText="1"/>
    </xf>
    <xf numFmtId="0" fontId="8" fillId="23" borderId="58" xfId="0" applyFont="1" applyFill="1" applyBorder="1" applyAlignment="1" applyProtection="1">
      <alignment horizontal="center" vertical="center" wrapText="1"/>
    </xf>
    <xf numFmtId="0" fontId="8" fillId="19" borderId="56" xfId="0" applyFont="1" applyFill="1" applyBorder="1" applyAlignment="1" applyProtection="1">
      <alignment horizontal="center" vertical="center" wrapText="1"/>
    </xf>
    <xf numFmtId="0" fontId="8" fillId="19" borderId="5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/>
    </xf>
    <xf numFmtId="0" fontId="8" fillId="23" borderId="16" xfId="0" applyFont="1" applyFill="1" applyBorder="1" applyAlignment="1" applyProtection="1">
      <alignment horizontal="center" vertical="center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0" xfId="0" applyFont="1" applyFill="1" applyBorder="1" applyAlignment="1" applyProtection="1">
      <alignment horizontal="center" vertical="center" wrapText="1"/>
    </xf>
    <xf numFmtId="0" fontId="8" fillId="23" borderId="7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6" xfId="0" applyFont="1" applyFill="1" applyBorder="1" applyAlignment="1" applyProtection="1">
      <alignment horizontal="center" vertical="center" wrapText="1"/>
    </xf>
    <xf numFmtId="0" fontId="8" fillId="23" borderId="4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19" borderId="6" xfId="0" applyFont="1" applyFill="1" applyBorder="1" applyAlignment="1" applyProtection="1">
      <alignment horizontal="center" vertical="center" wrapText="1"/>
    </xf>
    <xf numFmtId="0" fontId="8" fillId="19" borderId="16" xfId="0" applyFont="1" applyFill="1" applyBorder="1" applyAlignment="1" applyProtection="1">
      <alignment horizontal="center" vertical="center" wrapText="1"/>
    </xf>
    <xf numFmtId="0" fontId="8" fillId="19" borderId="4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11" fillId="17" borderId="88" xfId="0" applyFont="1" applyFill="1" applyBorder="1" applyAlignment="1" applyProtection="1">
      <alignment horizontal="center" vertical="center" wrapText="1"/>
    </xf>
    <xf numFmtId="0" fontId="11" fillId="17" borderId="40" xfId="0" applyFont="1" applyFill="1" applyBorder="1" applyAlignment="1" applyProtection="1">
      <alignment horizontal="center" vertical="center" wrapText="1"/>
    </xf>
    <xf numFmtId="0" fontId="0" fillId="0" borderId="0" xfId="0"/>
    <xf numFmtId="5" fontId="8" fillId="22" borderId="76" xfId="0" applyNumberFormat="1" applyFont="1" applyFill="1" applyBorder="1" applyAlignment="1" applyProtection="1">
      <alignment horizontal="center" vertical="center"/>
    </xf>
    <xf numFmtId="5" fontId="8" fillId="22" borderId="55" xfId="0" applyNumberFormat="1" applyFont="1" applyFill="1" applyBorder="1" applyAlignment="1" applyProtection="1">
      <alignment horizontal="center" vertical="center"/>
    </xf>
    <xf numFmtId="5" fontId="8" fillId="9" borderId="58" xfId="0" applyNumberFormat="1" applyFont="1" applyFill="1" applyBorder="1" applyAlignment="1" applyProtection="1">
      <alignment horizontal="center"/>
    </xf>
    <xf numFmtId="0" fontId="8" fillId="21" borderId="3" xfId="0" applyFont="1" applyFill="1" applyBorder="1" applyAlignment="1" applyProtection="1">
      <alignment horizontal="center" vertical="center" wrapText="1"/>
    </xf>
    <xf numFmtId="0" fontId="8" fillId="21" borderId="20" xfId="0" applyFont="1" applyFill="1" applyBorder="1" applyAlignment="1" applyProtection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5" xfId="0" applyFont="1" applyFill="1" applyBorder="1" applyAlignment="1" applyProtection="1">
      <alignment horizontal="center" vertical="center" wrapText="1"/>
    </xf>
    <xf numFmtId="0" fontId="8" fillId="21" borderId="71" xfId="0" applyFont="1" applyFill="1" applyBorder="1" applyAlignment="1" applyProtection="1">
      <alignment horizontal="center"/>
    </xf>
    <xf numFmtId="0" fontId="8" fillId="21" borderId="73" xfId="0" applyFont="1" applyFill="1" applyBorder="1" applyAlignment="1" applyProtection="1">
      <alignment horizontal="center"/>
    </xf>
    <xf numFmtId="0" fontId="8" fillId="21" borderId="72" xfId="0" applyFont="1" applyFill="1" applyBorder="1" applyAlignment="1" applyProtection="1">
      <alignment horizontal="center"/>
    </xf>
    <xf numFmtId="0" fontId="8" fillId="19" borderId="4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1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5" fontId="8" fillId="25" borderId="20" xfId="0" applyNumberFormat="1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/>
    </xf>
    <xf numFmtId="0" fontId="8" fillId="25" borderId="0" xfId="0" applyFont="1" applyFill="1" applyAlignment="1" applyProtection="1">
      <alignment horizontal="center"/>
    </xf>
    <xf numFmtId="5" fontId="8" fillId="25" borderId="19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21" borderId="2" xfId="0" applyFont="1" applyFill="1" applyBorder="1" applyAlignment="1" applyProtection="1">
      <alignment horizontal="center"/>
    </xf>
    <xf numFmtId="0" fontId="8" fillId="21" borderId="31" xfId="0" applyFont="1" applyFill="1" applyBorder="1" applyAlignment="1" applyProtection="1">
      <alignment horizontal="center"/>
    </xf>
    <xf numFmtId="0" fontId="8" fillId="24" borderId="3" xfId="0" applyFont="1" applyFill="1" applyBorder="1" applyAlignment="1" applyProtection="1">
      <alignment horizontal="center"/>
    </xf>
    <xf numFmtId="0" fontId="8" fillId="24" borderId="4" xfId="0" applyFont="1" applyFill="1" applyBorder="1" applyAlignment="1" applyProtection="1">
      <alignment horizontal="center"/>
    </xf>
    <xf numFmtId="0" fontId="8" fillId="25" borderId="2" xfId="0" applyFont="1" applyFill="1" applyBorder="1" applyAlignment="1" applyProtection="1">
      <alignment horizontal="center"/>
    </xf>
    <xf numFmtId="0" fontId="8" fillId="25" borderId="3" xfId="0" applyFont="1" applyFill="1" applyBorder="1" applyAlignment="1" applyProtection="1">
      <alignment horizontal="center"/>
    </xf>
    <xf numFmtId="0" fontId="8" fillId="25" borderId="4" xfId="0" applyFont="1" applyFill="1" applyBorder="1" applyAlignment="1" applyProtection="1">
      <alignment horizontal="center"/>
    </xf>
    <xf numFmtId="0" fontId="8" fillId="25" borderId="11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5" fontId="8" fillId="9" borderId="19" xfId="0" applyNumberFormat="1" applyFont="1" applyFill="1" applyBorder="1" applyAlignment="1" applyProtection="1">
      <alignment horizontal="center"/>
    </xf>
    <xf numFmtId="5" fontId="8" fillId="9" borderId="20" xfId="0" applyNumberFormat="1" applyFont="1" applyFill="1" applyBorder="1" applyAlignment="1" applyProtection="1">
      <alignment horizontal="center"/>
    </xf>
    <xf numFmtId="5" fontId="8" fillId="9" borderId="18" xfId="0" applyNumberFormat="1" applyFont="1" applyFill="1" applyBorder="1" applyAlignment="1" applyProtection="1">
      <alignment horizontal="center"/>
    </xf>
    <xf numFmtId="0" fontId="8" fillId="24" borderId="47" xfId="0" applyFont="1" applyFill="1" applyBorder="1" applyAlignment="1" applyProtection="1">
      <alignment horizontal="center"/>
    </xf>
    <xf numFmtId="0" fontId="8" fillId="24" borderId="48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7" borderId="1" xfId="0" applyFont="1" applyFill="1" applyBorder="1" applyAlignment="1" applyProtection="1">
      <alignment horizontal="center" vertical="center" wrapText="1"/>
    </xf>
    <xf numFmtId="0" fontId="8" fillId="27" borderId="5" xfId="0" applyFont="1" applyFill="1" applyBorder="1" applyAlignment="1" applyProtection="1">
      <alignment horizontal="center" vertical="center" wrapText="1"/>
    </xf>
    <xf numFmtId="0" fontId="8" fillId="26" borderId="4" xfId="0" applyFont="1" applyFill="1" applyBorder="1" applyAlignment="1" applyProtection="1">
      <alignment horizontal="center" vertical="center" wrapText="1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/>
    </xf>
    <xf numFmtId="0" fontId="8" fillId="9" borderId="57" xfId="0" applyFont="1" applyFill="1" applyBorder="1" applyAlignment="1" applyProtection="1">
      <alignment vertical="center" wrapText="1"/>
    </xf>
    <xf numFmtId="0" fontId="8" fillId="16" borderId="57" xfId="0" applyFont="1" applyFill="1" applyBorder="1" applyAlignment="1" applyProtection="1">
      <alignment vertical="center"/>
    </xf>
    <xf numFmtId="0" fontId="8" fillId="16" borderId="58" xfId="0" applyFont="1" applyFill="1" applyBorder="1" applyAlignment="1" applyProtection="1">
      <alignment vertical="center"/>
    </xf>
    <xf numFmtId="0" fontId="8" fillId="27" borderId="71" xfId="0" applyFont="1" applyFill="1" applyBorder="1" applyAlignment="1" applyProtection="1">
      <alignment horizontal="center" vertical="center"/>
    </xf>
    <xf numFmtId="0" fontId="8" fillId="27" borderId="73" xfId="0" applyFont="1" applyFill="1" applyBorder="1" applyAlignment="1" applyProtection="1">
      <alignment vertical="center"/>
    </xf>
    <xf numFmtId="0" fontId="8" fillId="27" borderId="72" xfId="0" applyFont="1" applyFill="1" applyBorder="1" applyAlignment="1" applyProtection="1">
      <alignment vertical="center"/>
    </xf>
    <xf numFmtId="0" fontId="8" fillId="26" borderId="71" xfId="0" applyFont="1" applyFill="1" applyBorder="1" applyAlignment="1" applyProtection="1">
      <alignment horizontal="center" vertical="center"/>
    </xf>
    <xf numFmtId="0" fontId="8" fillId="26" borderId="73" xfId="0" applyFont="1" applyFill="1" applyBorder="1" applyAlignment="1" applyProtection="1">
      <alignment horizontal="center" vertical="center"/>
    </xf>
    <xf numFmtId="0" fontId="8" fillId="26" borderId="7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wrapText="1"/>
    </xf>
    <xf numFmtId="0" fontId="8" fillId="19" borderId="8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/>
    </xf>
    <xf numFmtId="0" fontId="8" fillId="27" borderId="72" xfId="0" applyFont="1" applyFill="1" applyBorder="1" applyAlignment="1" applyProtection="1">
      <alignment horizontal="center" vertical="center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/>
    </xf>
    <xf numFmtId="0" fontId="8" fillId="27" borderId="56" xfId="0" applyFont="1" applyFill="1" applyBorder="1" applyAlignment="1" applyProtection="1">
      <alignment horizontal="center" vertical="center"/>
    </xf>
    <xf numFmtId="0" fontId="8" fillId="27" borderId="57" xfId="0" applyFont="1" applyFill="1" applyBorder="1" applyAlignment="1" applyProtection="1">
      <alignment horizontal="center" vertical="center"/>
    </xf>
    <xf numFmtId="0" fontId="8" fillId="27" borderId="58" xfId="0" applyFont="1" applyFill="1" applyBorder="1" applyAlignment="1" applyProtection="1">
      <alignment horizontal="center" vertical="center"/>
    </xf>
    <xf numFmtId="0" fontId="8" fillId="27" borderId="88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Summary'!$AD$15:$AD$36</c:f>
              <c:numCache>
                <c:formatCode>"$"#,##0_);\("$"#,##0\)</c:formatCode>
                <c:ptCount val="22"/>
                <c:pt idx="0">
                  <c:v>143074268</c:v>
                </c:pt>
                <c:pt idx="1">
                  <c:v>152549465</c:v>
                </c:pt>
                <c:pt idx="2">
                  <c:v>144757289</c:v>
                </c:pt>
                <c:pt idx="3">
                  <c:v>136653623</c:v>
                </c:pt>
                <c:pt idx="4">
                  <c:v>137675614</c:v>
                </c:pt>
                <c:pt idx="5">
                  <c:v>118254054</c:v>
                </c:pt>
                <c:pt idx="6">
                  <c:v>111783632</c:v>
                </c:pt>
                <c:pt idx="7">
                  <c:v>105162326</c:v>
                </c:pt>
                <c:pt idx="8">
                  <c:v>98402128</c:v>
                </c:pt>
                <c:pt idx="9">
                  <c:v>95973112</c:v>
                </c:pt>
                <c:pt idx="10">
                  <c:v>90823918</c:v>
                </c:pt>
                <c:pt idx="11">
                  <c:v>65554463</c:v>
                </c:pt>
                <c:pt idx="12">
                  <c:v>51265705</c:v>
                </c:pt>
                <c:pt idx="13">
                  <c:v>45353040</c:v>
                </c:pt>
                <c:pt idx="14">
                  <c:v>36865140</c:v>
                </c:pt>
                <c:pt idx="15">
                  <c:v>33572163</c:v>
                </c:pt>
                <c:pt idx="16">
                  <c:v>30367689</c:v>
                </c:pt>
                <c:pt idx="17">
                  <c:v>22297229</c:v>
                </c:pt>
                <c:pt idx="18">
                  <c:v>22280154</c:v>
                </c:pt>
                <c:pt idx="19">
                  <c:v>17509531</c:v>
                </c:pt>
                <c:pt idx="20">
                  <c:v>7838047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Summary'!$AE$15:$AE$36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27099643</c:v>
                </c:pt>
                <c:pt idx="3">
                  <c:v>27099643</c:v>
                </c:pt>
                <c:pt idx="4">
                  <c:v>27099643</c:v>
                </c:pt>
                <c:pt idx="5">
                  <c:v>27099643</c:v>
                </c:pt>
                <c:pt idx="6">
                  <c:v>27099643</c:v>
                </c:pt>
                <c:pt idx="7">
                  <c:v>27099643</c:v>
                </c:pt>
                <c:pt idx="8">
                  <c:v>27099643</c:v>
                </c:pt>
                <c:pt idx="9">
                  <c:v>27099643</c:v>
                </c:pt>
                <c:pt idx="10">
                  <c:v>27099643</c:v>
                </c:pt>
                <c:pt idx="11">
                  <c:v>27099643</c:v>
                </c:pt>
                <c:pt idx="12">
                  <c:v>27099643</c:v>
                </c:pt>
                <c:pt idx="13">
                  <c:v>27099643</c:v>
                </c:pt>
                <c:pt idx="14">
                  <c:v>27099643</c:v>
                </c:pt>
                <c:pt idx="15">
                  <c:v>27099643</c:v>
                </c:pt>
                <c:pt idx="16">
                  <c:v>27099643</c:v>
                </c:pt>
                <c:pt idx="17">
                  <c:v>27099643</c:v>
                </c:pt>
                <c:pt idx="18">
                  <c:v>27099643</c:v>
                </c:pt>
                <c:pt idx="19">
                  <c:v>27099643</c:v>
                </c:pt>
                <c:pt idx="20">
                  <c:v>27099643</c:v>
                </c:pt>
                <c:pt idx="21">
                  <c:v>27099643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79592"/>
        <c:axId val="310483904"/>
      </c:areaChart>
      <c:catAx>
        <c:axId val="310479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83904"/>
        <c:crosses val="autoZero"/>
        <c:auto val="1"/>
        <c:lblAlgn val="ctr"/>
        <c:lblOffset val="100"/>
        <c:noMultiLvlLbl val="0"/>
      </c:catAx>
      <c:valAx>
        <c:axId val="31048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7959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Summary'!$AF$15:$AF$36</c:f>
              <c:numCache>
                <c:formatCode>"$"#,##0_);\("$"#,##0\)</c:formatCode>
                <c:ptCount val="22"/>
                <c:pt idx="0">
                  <c:v>1176115122</c:v>
                </c:pt>
                <c:pt idx="1">
                  <c:v>1061268926</c:v>
                </c:pt>
                <c:pt idx="2">
                  <c:v>961328136</c:v>
                </c:pt>
                <c:pt idx="3">
                  <c:v>865442110</c:v>
                </c:pt>
                <c:pt idx="4">
                  <c:v>764428161</c:v>
                </c:pt>
                <c:pt idx="5">
                  <c:v>678813994</c:v>
                </c:pt>
                <c:pt idx="6">
                  <c:v>595818649</c:v>
                </c:pt>
                <c:pt idx="7">
                  <c:v>515782572</c:v>
                </c:pt>
                <c:pt idx="8">
                  <c:v>438896557</c:v>
                </c:pt>
                <c:pt idx="9">
                  <c:v>360870608</c:v>
                </c:pt>
                <c:pt idx="10">
                  <c:v>284374688</c:v>
                </c:pt>
                <c:pt idx="11">
                  <c:v>230284529</c:v>
                </c:pt>
                <c:pt idx="12">
                  <c:v>188343022</c:v>
                </c:pt>
                <c:pt idx="13">
                  <c:v>150607267</c:v>
                </c:pt>
                <c:pt idx="14">
                  <c:v>119872667</c:v>
                </c:pt>
                <c:pt idx="15">
                  <c:v>91144570</c:v>
                </c:pt>
                <c:pt idx="16">
                  <c:v>64431951</c:v>
                </c:pt>
                <c:pt idx="17">
                  <c:v>44748262</c:v>
                </c:pt>
                <c:pt idx="18">
                  <c:v>24196662</c:v>
                </c:pt>
                <c:pt idx="19">
                  <c:v>7571977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Summary'!$AG$15:$AG$36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334284289</c:v>
                </c:pt>
                <c:pt idx="3">
                  <c:v>323063148</c:v>
                </c:pt>
                <c:pt idx="4">
                  <c:v>311309005</c:v>
                </c:pt>
                <c:pt idx="5">
                  <c:v>298996539</c:v>
                </c:pt>
                <c:pt idx="6">
                  <c:v>286099231</c:v>
                </c:pt>
                <c:pt idx="7">
                  <c:v>272589300</c:v>
                </c:pt>
                <c:pt idx="8">
                  <c:v>258437648</c:v>
                </c:pt>
                <c:pt idx="9">
                  <c:v>243613793</c:v>
                </c:pt>
                <c:pt idx="10">
                  <c:v>228085805</c:v>
                </c:pt>
                <c:pt idx="11">
                  <c:v>211820236</c:v>
                </c:pt>
                <c:pt idx="12">
                  <c:v>194782054</c:v>
                </c:pt>
                <c:pt idx="13">
                  <c:v>176934558</c:v>
                </c:pt>
                <c:pt idx="14">
                  <c:v>158239306</c:v>
                </c:pt>
                <c:pt idx="15">
                  <c:v>138656030</c:v>
                </c:pt>
                <c:pt idx="16">
                  <c:v>118142546</c:v>
                </c:pt>
                <c:pt idx="17">
                  <c:v>96654674</c:v>
                </c:pt>
                <c:pt idx="18">
                  <c:v>74146127</c:v>
                </c:pt>
                <c:pt idx="19">
                  <c:v>50568425</c:v>
                </c:pt>
                <c:pt idx="20">
                  <c:v>25870781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80768"/>
        <c:axId val="310478024"/>
      </c:areaChart>
      <c:catAx>
        <c:axId val="3104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78024"/>
        <c:crosses val="autoZero"/>
        <c:auto val="1"/>
        <c:lblAlgn val="ctr"/>
        <c:lblOffset val="100"/>
        <c:noMultiLvlLbl val="0"/>
      </c:catAx>
      <c:valAx>
        <c:axId val="31047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80768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sheetData>
    <row r="3" spans="1:17" ht="18.75" customHeight="1" x14ac:dyDescent="0.25">
      <c r="A3" s="411" t="s">
        <v>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2"/>
      <c r="O3" s="2"/>
      <c r="P3" s="2"/>
      <c r="Q3" s="2"/>
    </row>
    <row r="4" spans="1:17" ht="15.75" customHeight="1" x14ac:dyDescent="0.25">
      <c r="A4" s="410" t="s">
        <v>1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3"/>
      <c r="O4" s="3"/>
      <c r="P4" s="3"/>
      <c r="Q4" s="3"/>
    </row>
    <row r="8" spans="1:17" ht="15.75" customHeight="1" x14ac:dyDescent="0.25">
      <c r="B8" s="404" t="s">
        <v>2</v>
      </c>
      <c r="C8" s="404"/>
      <c r="D8" s="404"/>
      <c r="E8" s="404"/>
      <c r="F8" s="404"/>
      <c r="G8" s="404"/>
      <c r="H8" s="404"/>
      <c r="I8" s="404"/>
      <c r="J8" s="404"/>
      <c r="K8" s="404"/>
      <c r="L8" s="404"/>
    </row>
    <row r="9" spans="1:17" x14ac:dyDescent="0.25">
      <c r="B9" s="412"/>
      <c r="C9" s="412"/>
      <c r="D9" s="412"/>
      <c r="E9" s="412"/>
      <c r="H9" s="407" t="s">
        <v>3</v>
      </c>
      <c r="I9" s="407"/>
      <c r="K9" s="407" t="s">
        <v>4</v>
      </c>
      <c r="L9" s="407"/>
    </row>
    <row r="10" spans="1:17" x14ac:dyDescent="0.25">
      <c r="B10" s="408" t="s">
        <v>5</v>
      </c>
      <c r="C10" s="408"/>
      <c r="D10" s="408"/>
      <c r="E10" s="408"/>
    </row>
    <row r="11" spans="1:17" x14ac:dyDescent="0.25">
      <c r="B11" s="406" t="s">
        <v>6</v>
      </c>
      <c r="C11" s="406"/>
      <c r="D11" s="406"/>
      <c r="E11" s="406"/>
      <c r="H11" s="403">
        <v>6.5000000000000002E-2</v>
      </c>
      <c r="I11" s="403"/>
      <c r="K11" s="403">
        <v>6.5000000000000002E-2</v>
      </c>
      <c r="L11" s="403"/>
    </row>
    <row r="12" spans="1:17" x14ac:dyDescent="0.25">
      <c r="B12" s="406" t="s">
        <v>7</v>
      </c>
      <c r="C12" s="406"/>
      <c r="D12" s="406"/>
      <c r="E12" s="406"/>
      <c r="H12" s="403">
        <v>5.0974999999999999E-2</v>
      </c>
      <c r="I12" s="403"/>
      <c r="K12" s="403">
        <v>4.0349999999999997E-2</v>
      </c>
      <c r="L12" s="403"/>
    </row>
    <row r="13" spans="1:17" x14ac:dyDescent="0.25">
      <c r="B13" s="1" t="s">
        <v>8</v>
      </c>
      <c r="G13" s="7"/>
      <c r="H13" s="403">
        <v>1.4999999999999999E-2</v>
      </c>
      <c r="I13" s="403"/>
      <c r="K13" s="403">
        <v>2.6363999999999999E-2</v>
      </c>
      <c r="L13" s="403"/>
    </row>
    <row r="14" spans="1:17" x14ac:dyDescent="0.25">
      <c r="B14" s="414"/>
      <c r="C14" s="414"/>
      <c r="D14" s="414"/>
      <c r="E14" s="414"/>
    </row>
    <row r="15" spans="1:17" x14ac:dyDescent="0.25">
      <c r="B15" s="408" t="s">
        <v>9</v>
      </c>
      <c r="C15" s="408"/>
      <c r="D15" s="408"/>
      <c r="E15" s="408"/>
    </row>
    <row r="16" spans="1:17" x14ac:dyDescent="0.25">
      <c r="B16" s="406" t="s">
        <v>10</v>
      </c>
      <c r="C16" s="406"/>
      <c r="D16" s="406"/>
      <c r="E16" s="406"/>
      <c r="G16" s="7"/>
      <c r="H16" s="403">
        <v>1.4999999999999999E-2</v>
      </c>
      <c r="I16" s="403"/>
      <c r="K16" s="403">
        <v>2.6363999999999999E-2</v>
      </c>
      <c r="L16" s="403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404" t="s">
        <v>11</v>
      </c>
      <c r="C19" s="404"/>
      <c r="D19" s="404"/>
      <c r="E19" s="404"/>
      <c r="F19" s="404"/>
      <c r="G19" s="404"/>
      <c r="H19" s="404"/>
      <c r="I19" s="404"/>
      <c r="J19" s="404"/>
      <c r="K19" s="404"/>
      <c r="L19" s="404"/>
    </row>
    <row r="20" spans="2:12" x14ac:dyDescent="0.25">
      <c r="B20" s="414"/>
      <c r="C20" s="414"/>
      <c r="D20" s="414"/>
      <c r="E20" s="414"/>
      <c r="F20" s="414"/>
      <c r="G20" s="414"/>
    </row>
    <row r="21" spans="2:12" x14ac:dyDescent="0.25">
      <c r="B21" s="406" t="s">
        <v>12</v>
      </c>
      <c r="C21" s="406"/>
      <c r="D21" s="406"/>
      <c r="E21" s="406"/>
      <c r="F21" s="406"/>
      <c r="G21" s="406"/>
      <c r="H21" s="409">
        <v>30</v>
      </c>
      <c r="I21" s="409"/>
    </row>
    <row r="22" spans="2:12" x14ac:dyDescent="0.25">
      <c r="B22" s="406" t="s">
        <v>13</v>
      </c>
      <c r="C22" s="406"/>
      <c r="D22" s="406"/>
      <c r="E22" s="406"/>
      <c r="F22" s="406"/>
      <c r="G22" s="406"/>
      <c r="H22" s="405">
        <v>759971058</v>
      </c>
      <c r="I22" s="405"/>
    </row>
    <row r="23" spans="2:12" x14ac:dyDescent="0.25">
      <c r="B23" s="415"/>
      <c r="C23" s="415"/>
      <c r="D23" s="415"/>
      <c r="E23" s="415"/>
      <c r="F23" s="415"/>
      <c r="G23" s="415"/>
    </row>
    <row r="24" spans="2:12" x14ac:dyDescent="0.25">
      <c r="B24" s="408" t="s">
        <v>14</v>
      </c>
      <c r="C24" s="408"/>
      <c r="D24" s="408"/>
      <c r="E24" s="408"/>
      <c r="F24" s="408"/>
      <c r="G24" s="408"/>
    </row>
    <row r="25" spans="2:12" x14ac:dyDescent="0.25">
      <c r="B25" s="406" t="s">
        <v>15</v>
      </c>
      <c r="C25" s="406"/>
      <c r="D25" s="406"/>
      <c r="E25" s="406"/>
      <c r="F25" s="406"/>
      <c r="G25" s="406"/>
      <c r="H25" s="409">
        <v>6</v>
      </c>
      <c r="I25" s="409"/>
    </row>
    <row r="26" spans="2:12" x14ac:dyDescent="0.25">
      <c r="B26" s="406" t="s">
        <v>16</v>
      </c>
      <c r="C26" s="406"/>
      <c r="D26" s="406"/>
      <c r="E26" s="406"/>
      <c r="F26" s="406"/>
      <c r="G26" s="406"/>
      <c r="H26" s="405">
        <v>344996594</v>
      </c>
      <c r="I26" s="405"/>
    </row>
    <row r="27" spans="2:12" x14ac:dyDescent="0.25">
      <c r="B27" s="406" t="s">
        <v>17</v>
      </c>
      <c r="C27" s="406"/>
      <c r="D27" s="406"/>
      <c r="E27" s="406"/>
      <c r="F27" s="406"/>
      <c r="G27" s="406"/>
      <c r="H27" s="405">
        <v>27099643</v>
      </c>
      <c r="I27" s="405"/>
    </row>
    <row r="29" spans="2:12" x14ac:dyDescent="0.25">
      <c r="B29" s="408" t="s">
        <v>18</v>
      </c>
      <c r="C29" s="408"/>
      <c r="D29" s="408"/>
      <c r="E29" s="408"/>
      <c r="F29" s="408"/>
      <c r="G29" s="408"/>
    </row>
    <row r="30" spans="2:12" x14ac:dyDescent="0.25">
      <c r="B30" s="406" t="s">
        <v>15</v>
      </c>
      <c r="C30" s="406"/>
      <c r="D30" s="406"/>
      <c r="E30" s="406"/>
      <c r="F30" s="406"/>
      <c r="G30" s="406"/>
      <c r="H30" s="409">
        <v>7</v>
      </c>
      <c r="I30" s="409"/>
    </row>
    <row r="31" spans="2:12" x14ac:dyDescent="0.25">
      <c r="B31" s="406" t="s">
        <v>16</v>
      </c>
      <c r="C31" s="406"/>
      <c r="D31" s="406"/>
      <c r="E31" s="406"/>
      <c r="F31" s="406"/>
      <c r="G31" s="406"/>
      <c r="H31" s="405">
        <v>58750000</v>
      </c>
      <c r="I31" s="405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404" t="s">
        <v>19</v>
      </c>
      <c r="C34" s="404"/>
      <c r="D34" s="404"/>
      <c r="E34" s="404"/>
      <c r="F34" s="404"/>
      <c r="G34" s="404"/>
      <c r="H34" s="404"/>
      <c r="I34" s="404"/>
      <c r="J34" s="404"/>
      <c r="K34" s="404"/>
      <c r="L34" s="404"/>
    </row>
    <row r="35" spans="2:16" ht="15.75" customHeight="1" x14ac:dyDescent="0.25">
      <c r="B35" s="11"/>
      <c r="C35" s="11"/>
      <c r="D35" s="11"/>
      <c r="E35" s="11"/>
      <c r="H35" s="407" t="s">
        <v>3</v>
      </c>
      <c r="I35" s="407"/>
      <c r="K35" s="407" t="s">
        <v>4</v>
      </c>
      <c r="L35" s="407"/>
    </row>
    <row r="36" spans="2:16" x14ac:dyDescent="0.25">
      <c r="B36" s="408" t="s">
        <v>20</v>
      </c>
      <c r="C36" s="408"/>
      <c r="D36" s="408"/>
      <c r="E36" s="408"/>
      <c r="F36" s="408"/>
      <c r="G36" s="408"/>
    </row>
    <row r="37" spans="2:16" x14ac:dyDescent="0.25">
      <c r="B37" s="406" t="s">
        <v>21</v>
      </c>
      <c r="C37" s="406"/>
      <c r="D37" s="406"/>
      <c r="E37" s="406"/>
      <c r="F37" s="406"/>
      <c r="G37" s="406"/>
      <c r="H37" s="409">
        <v>52</v>
      </c>
      <c r="I37" s="409"/>
      <c r="K37" s="409">
        <v>52</v>
      </c>
      <c r="L37" s="409"/>
    </row>
    <row r="38" spans="2:16" x14ac:dyDescent="0.25">
      <c r="B38" s="406" t="s">
        <v>22</v>
      </c>
      <c r="C38" s="406"/>
      <c r="D38" s="406"/>
      <c r="E38" s="406"/>
      <c r="F38" s="406"/>
      <c r="G38" s="406"/>
      <c r="H38" s="405">
        <v>456561923</v>
      </c>
      <c r="I38" s="405"/>
      <c r="K38" s="405">
        <v>434740482</v>
      </c>
      <c r="L38" s="405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413" t="s">
        <v>23</v>
      </c>
      <c r="C40" s="413"/>
      <c r="D40" s="413"/>
      <c r="E40" s="413"/>
      <c r="F40" s="413"/>
      <c r="G40" s="413"/>
    </row>
    <row r="41" spans="2:16" x14ac:dyDescent="0.25">
      <c r="B41" s="406" t="s">
        <v>21</v>
      </c>
      <c r="C41" s="406"/>
      <c r="D41" s="406"/>
      <c r="E41" s="406"/>
      <c r="F41" s="406"/>
      <c r="G41" s="406"/>
      <c r="H41" s="409">
        <v>50</v>
      </c>
      <c r="I41" s="409"/>
      <c r="K41" s="409">
        <v>50</v>
      </c>
      <c r="L41" s="409"/>
    </row>
    <row r="42" spans="2:16" x14ac:dyDescent="0.25">
      <c r="B42" s="406" t="s">
        <v>22</v>
      </c>
      <c r="C42" s="406"/>
      <c r="D42" s="406"/>
      <c r="E42" s="406"/>
      <c r="F42" s="406"/>
      <c r="G42" s="406"/>
      <c r="H42" s="405">
        <v>443227586</v>
      </c>
      <c r="I42" s="405"/>
      <c r="K42" s="405">
        <v>426131473</v>
      </c>
      <c r="L42" s="405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404" t="s">
        <v>24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4"/>
    </row>
    <row r="46" spans="2:16" x14ac:dyDescent="0.25">
      <c r="B46" s="408"/>
      <c r="C46" s="408"/>
      <c r="D46" s="408"/>
      <c r="E46" s="408"/>
      <c r="F46" s="408"/>
      <c r="G46" s="408"/>
      <c r="H46" s="407" t="s">
        <v>3</v>
      </c>
      <c r="I46" s="407"/>
      <c r="K46" s="407" t="s">
        <v>4</v>
      </c>
      <c r="L46" s="407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406" t="s">
        <v>25</v>
      </c>
      <c r="C48" s="406"/>
      <c r="D48" s="406"/>
      <c r="E48" s="406"/>
      <c r="F48" s="406"/>
      <c r="G48" s="406"/>
      <c r="H48" s="405">
        <v>35</v>
      </c>
      <c r="I48" s="405"/>
      <c r="K48" s="405">
        <v>35</v>
      </c>
      <c r="L48" s="405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404" t="s">
        <v>26</v>
      </c>
      <c r="C51" s="404"/>
      <c r="D51" s="404"/>
      <c r="E51" s="404"/>
      <c r="F51" s="404"/>
      <c r="G51" s="404"/>
      <c r="H51" s="404"/>
      <c r="I51" s="404"/>
      <c r="J51" s="404"/>
      <c r="K51" s="404"/>
      <c r="L51" s="404"/>
      <c r="M51" s="12"/>
      <c r="N51" s="12"/>
      <c r="O51" s="12"/>
      <c r="P51" s="12"/>
    </row>
    <row r="52" spans="2:16" x14ac:dyDescent="0.25">
      <c r="B52" s="414"/>
      <c r="C52" s="414"/>
      <c r="D52" s="414"/>
      <c r="E52" s="414"/>
      <c r="F52" s="414"/>
      <c r="G52" s="414"/>
      <c r="M52" s="12"/>
      <c r="N52" s="12"/>
      <c r="O52" s="12"/>
      <c r="P52" s="12"/>
    </row>
    <row r="53" spans="2:16" x14ac:dyDescent="0.25">
      <c r="B53" s="406" t="s">
        <v>27</v>
      </c>
      <c r="C53" s="406"/>
      <c r="D53" s="406"/>
      <c r="E53" s="406"/>
      <c r="F53" s="406"/>
      <c r="G53" s="406"/>
      <c r="H53" s="417">
        <v>5.0000000000000001E-3</v>
      </c>
      <c r="I53" s="417"/>
      <c r="M53" s="12"/>
      <c r="N53" s="12"/>
      <c r="O53" s="12"/>
      <c r="P53" s="12"/>
    </row>
    <row r="54" spans="2:16" x14ac:dyDescent="0.25">
      <c r="B54" s="406" t="s">
        <v>28</v>
      </c>
      <c r="C54" s="406"/>
      <c r="D54" s="406"/>
      <c r="E54" s="406"/>
      <c r="F54" s="406"/>
      <c r="G54" s="406"/>
      <c r="H54" s="417">
        <v>5.0000000000000001E-3</v>
      </c>
      <c r="I54" s="417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404" t="s">
        <v>29</v>
      </c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6"/>
      <c r="M60" s="12"/>
      <c r="N60" s="12"/>
      <c r="O60" s="12"/>
      <c r="P60" s="12"/>
    </row>
    <row r="61" spans="2:16" x14ac:dyDescent="0.25"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6"/>
      <c r="M61" s="12"/>
      <c r="N61" s="12"/>
      <c r="O61" s="12"/>
      <c r="P61" s="12"/>
    </row>
    <row r="62" spans="2:16" x14ac:dyDescent="0.25"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12"/>
      <c r="N62" s="12"/>
      <c r="O62" s="12"/>
      <c r="P62" s="12"/>
    </row>
    <row r="63" spans="2:16" x14ac:dyDescent="0.25"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12"/>
      <c r="N63" s="12"/>
      <c r="O63" s="12"/>
      <c r="P63" s="12"/>
    </row>
    <row r="64" spans="2:16" x14ac:dyDescent="0.25"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12"/>
      <c r="N64" s="12"/>
      <c r="O64" s="12"/>
      <c r="P64" s="12"/>
    </row>
    <row r="65" spans="2:16" x14ac:dyDescent="0.25"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12"/>
      <c r="N65" s="12"/>
      <c r="O65" s="12"/>
      <c r="P65" s="12"/>
    </row>
    <row r="66" spans="2:16" x14ac:dyDescent="0.25"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12"/>
      <c r="N66" s="12"/>
      <c r="O66" s="12"/>
      <c r="P66" s="12"/>
    </row>
    <row r="67" spans="2:16" x14ac:dyDescent="0.25"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12"/>
      <c r="N67" s="12"/>
      <c r="O67" s="12"/>
      <c r="P67" s="12"/>
    </row>
    <row r="68" spans="2:16" x14ac:dyDescent="0.25"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12"/>
      <c r="N68" s="12"/>
      <c r="O68" s="12"/>
      <c r="P68" s="12"/>
    </row>
    <row r="69" spans="2:16" x14ac:dyDescent="0.25"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12"/>
      <c r="N69" s="12"/>
      <c r="O69" s="12"/>
      <c r="P69" s="12"/>
    </row>
    <row r="70" spans="2:16" x14ac:dyDescent="0.25"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12"/>
      <c r="N70" s="12"/>
      <c r="O70" s="12"/>
      <c r="P70" s="12"/>
    </row>
    <row r="71" spans="2:16" x14ac:dyDescent="0.25"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16"/>
      <c r="M71" s="12"/>
      <c r="N71" s="12"/>
      <c r="O71" s="12"/>
      <c r="P71" s="12"/>
    </row>
    <row r="72" spans="2:16" x14ac:dyDescent="0.25"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12"/>
      <c r="N72" s="12"/>
      <c r="O72" s="12"/>
      <c r="P72" s="12"/>
    </row>
    <row r="73" spans="2:16" x14ac:dyDescent="0.25">
      <c r="B73" s="416"/>
      <c r="C73" s="416"/>
      <c r="D73" s="416"/>
      <c r="E73" s="416"/>
      <c r="F73" s="416"/>
      <c r="G73" s="416"/>
      <c r="H73" s="416"/>
      <c r="I73" s="416"/>
      <c r="J73" s="416"/>
      <c r="K73" s="416"/>
      <c r="L73" s="416"/>
      <c r="M73" s="12"/>
      <c r="N73" s="12"/>
      <c r="O73" s="12"/>
      <c r="P73" s="12"/>
    </row>
    <row r="74" spans="2:16" x14ac:dyDescent="0.25">
      <c r="B74" s="416"/>
      <c r="C74" s="416"/>
      <c r="D74" s="416"/>
      <c r="E74" s="416"/>
      <c r="F74" s="416"/>
      <c r="G74" s="416"/>
      <c r="H74" s="416"/>
      <c r="I74" s="416"/>
      <c r="J74" s="416"/>
      <c r="K74" s="416"/>
      <c r="L74" s="416"/>
      <c r="M74" s="12"/>
      <c r="N74" s="12"/>
      <c r="O74" s="12"/>
      <c r="P74" s="12"/>
    </row>
    <row r="75" spans="2:16" x14ac:dyDescent="0.25">
      <c r="B75" s="416"/>
      <c r="C75" s="416"/>
      <c r="D75" s="416"/>
      <c r="E75" s="416"/>
      <c r="F75" s="416"/>
      <c r="G75" s="416"/>
      <c r="H75" s="416"/>
      <c r="I75" s="416"/>
      <c r="J75" s="416"/>
      <c r="K75" s="416"/>
      <c r="L75" s="416"/>
      <c r="M75" s="12"/>
      <c r="N75" s="12"/>
      <c r="O75" s="12"/>
      <c r="P75" s="12"/>
    </row>
    <row r="76" spans="2:16" x14ac:dyDescent="0.25"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12"/>
      <c r="N76" s="12"/>
      <c r="O76" s="12"/>
      <c r="P76" s="12"/>
    </row>
    <row r="77" spans="2:16" x14ac:dyDescent="0.25">
      <c r="B77" s="416"/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12"/>
      <c r="N77" s="12"/>
      <c r="O77" s="12"/>
      <c r="P77" s="12"/>
    </row>
    <row r="78" spans="2:16" x14ac:dyDescent="0.25"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12"/>
      <c r="N78" s="12"/>
      <c r="O78" s="12"/>
      <c r="P78" s="12"/>
    </row>
    <row r="79" spans="2:16" x14ac:dyDescent="0.25">
      <c r="B79" s="416"/>
      <c r="C79" s="416"/>
      <c r="D79" s="416"/>
      <c r="E79" s="416"/>
      <c r="F79" s="416"/>
      <c r="G79" s="416"/>
      <c r="H79" s="416"/>
      <c r="I79" s="416"/>
      <c r="J79" s="416"/>
      <c r="K79" s="416"/>
      <c r="L79" s="416"/>
    </row>
    <row r="80" spans="2:16" x14ac:dyDescent="0.25">
      <c r="B80" s="416"/>
      <c r="C80" s="416"/>
      <c r="D80" s="416"/>
      <c r="E80" s="416"/>
      <c r="F80" s="416"/>
      <c r="G80" s="416"/>
      <c r="H80" s="416"/>
      <c r="I80" s="416"/>
      <c r="J80" s="416"/>
      <c r="K80" s="416"/>
      <c r="L80" s="416"/>
    </row>
    <row r="81" spans="2:12" x14ac:dyDescent="0.25">
      <c r="B81" s="416"/>
      <c r="C81" s="416"/>
      <c r="D81" s="416"/>
      <c r="E81" s="416"/>
      <c r="F81" s="416"/>
      <c r="G81" s="416"/>
      <c r="H81" s="416"/>
      <c r="I81" s="416"/>
      <c r="J81" s="416"/>
      <c r="K81" s="416"/>
      <c r="L81" s="416"/>
    </row>
    <row r="82" spans="2:12" x14ac:dyDescent="0.25"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L82" s="416"/>
    </row>
    <row r="83" spans="2:12" x14ac:dyDescent="0.25">
      <c r="B83" s="416"/>
      <c r="C83" s="416"/>
      <c r="D83" s="416"/>
      <c r="E83" s="416"/>
      <c r="F83" s="416"/>
      <c r="G83" s="416"/>
      <c r="H83" s="416"/>
      <c r="I83" s="416"/>
      <c r="J83" s="416"/>
      <c r="K83" s="416"/>
      <c r="L83" s="416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 activeCell="F61" sqref="F61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8.5703125" style="1" hidden="1" customWidth="1"/>
  </cols>
  <sheetData>
    <row r="1" spans="1:27" ht="16.5" customHeight="1" thickBot="1" x14ac:dyDescent="0.3">
      <c r="A1" s="13" t="s">
        <v>166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167</v>
      </c>
    </row>
    <row r="2" spans="1:27" ht="16.5" customHeight="1" thickBot="1" x14ac:dyDescent="0.3">
      <c r="A2" s="14" t="s">
        <v>31</v>
      </c>
      <c r="B2"/>
      <c r="C2"/>
      <c r="D2"/>
      <c r="E2"/>
      <c r="F2"/>
      <c r="G2"/>
      <c r="H2"/>
      <c r="I2"/>
      <c r="J2" s="480" t="s">
        <v>52</v>
      </c>
      <c r="K2" s="479"/>
      <c r="L2" s="270"/>
      <c r="M2" s="270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168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71" t="s">
        <v>169</v>
      </c>
      <c r="K3" s="272">
        <v>4.7500000000000001E-2</v>
      </c>
      <c r="L3" s="270"/>
      <c r="M3" s="8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170</v>
      </c>
      <c r="B4"/>
      <c r="C4"/>
      <c r="D4"/>
      <c r="E4"/>
      <c r="F4"/>
      <c r="G4"/>
      <c r="H4"/>
      <c r="I4"/>
      <c r="J4" s="273" t="s">
        <v>171</v>
      </c>
      <c r="K4" s="274">
        <v>20</v>
      </c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599" t="s">
        <v>172</v>
      </c>
      <c r="B6" s="600"/>
      <c r="C6" s="600"/>
      <c r="D6" s="600"/>
      <c r="E6" s="600"/>
      <c r="F6" s="600"/>
      <c r="G6" s="601"/>
      <c r="H6" s="602" t="s">
        <v>173</v>
      </c>
      <c r="I6" s="603"/>
      <c r="J6" s="570" t="s">
        <v>3</v>
      </c>
      <c r="K6" s="429"/>
      <c r="L6" s="428" t="s">
        <v>4</v>
      </c>
      <c r="M6" s="429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04" t="s">
        <v>174</v>
      </c>
      <c r="B7" s="606" t="s">
        <v>175</v>
      </c>
      <c r="C7" s="608" t="s">
        <v>176</v>
      </c>
      <c r="D7" s="606" t="s">
        <v>177</v>
      </c>
      <c r="E7" s="608" t="s">
        <v>178</v>
      </c>
      <c r="F7" s="608" t="s">
        <v>179</v>
      </c>
      <c r="G7" s="612" t="s">
        <v>180</v>
      </c>
      <c r="H7" s="614" t="s">
        <v>181</v>
      </c>
      <c r="I7" s="616" t="s">
        <v>182</v>
      </c>
      <c r="J7" s="610" t="s">
        <v>52</v>
      </c>
      <c r="K7" s="618" t="s">
        <v>183</v>
      </c>
      <c r="L7" s="610" t="s">
        <v>52</v>
      </c>
      <c r="M7" s="618" t="s">
        <v>183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05"/>
      <c r="B8" s="607"/>
      <c r="C8" s="609"/>
      <c r="D8" s="607"/>
      <c r="E8" s="609"/>
      <c r="F8" s="609"/>
      <c r="G8" s="613"/>
      <c r="H8" s="615"/>
      <c r="I8" s="617"/>
      <c r="J8" s="611"/>
      <c r="K8" s="619"/>
      <c r="L8" s="611"/>
      <c r="M8" s="619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75" t="s">
        <v>184</v>
      </c>
      <c r="B9" s="276"/>
      <c r="C9" s="276"/>
      <c r="D9" s="276"/>
      <c r="E9" s="276"/>
      <c r="F9" s="276"/>
      <c r="G9" s="277"/>
      <c r="H9" s="278"/>
      <c r="I9" s="277"/>
      <c r="J9" s="278"/>
      <c r="K9" s="277"/>
      <c r="L9" s="276"/>
      <c r="M9" s="277"/>
    </row>
    <row r="10" spans="1:27" ht="30" customHeight="1" x14ac:dyDescent="0.25">
      <c r="A10" s="279" t="s">
        <v>185</v>
      </c>
      <c r="B10" s="280" t="s">
        <v>186</v>
      </c>
      <c r="C10" s="281">
        <v>1</v>
      </c>
      <c r="D10" s="281" t="s">
        <v>168</v>
      </c>
      <c r="E10" s="281" t="s">
        <v>50</v>
      </c>
      <c r="F10" s="282">
        <v>78500000</v>
      </c>
      <c r="G10" s="283">
        <v>78500000</v>
      </c>
      <c r="H10" s="284">
        <v>78500000</v>
      </c>
      <c r="I10" s="285" t="s">
        <v>168</v>
      </c>
      <c r="J10" s="284">
        <f t="shared" ref="J10:J16" si="0">IF(AND($I10 = "Yes",$H10-$K10-$M10 &gt; 0), ROUND(-PMT($K$3,$K$4, $H10-$K10-$M10, 0, 0), 0), IF($H10&gt;0, 0, ""))</f>
        <v>0</v>
      </c>
      <c r="K10" s="286">
        <v>0</v>
      </c>
      <c r="L10" s="284">
        <f t="shared" ref="L10:L16" si="1">IF($H10-$K10-$M10 &gt; 0, ROUND(-PMT($K$3,$K$4, $H10-$K10-$M10, 0, 0), 0),  IF($H10&gt;0, 0, ""))</f>
        <v>6166212</v>
      </c>
      <c r="M10" s="286"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87" t="s">
        <v>187</v>
      </c>
      <c r="B11" s="288" t="s">
        <v>188</v>
      </c>
      <c r="C11" s="289">
        <v>2</v>
      </c>
      <c r="D11" s="289" t="s">
        <v>168</v>
      </c>
      <c r="E11" s="288" t="s">
        <v>61</v>
      </c>
      <c r="F11" s="290">
        <v>45000000</v>
      </c>
      <c r="G11" s="286">
        <v>45000000</v>
      </c>
      <c r="H11" s="291">
        <v>0</v>
      </c>
      <c r="I11" s="292"/>
      <c r="J11" s="284" t="str">
        <f t="shared" si="0"/>
        <v/>
      </c>
      <c r="K11" s="286"/>
      <c r="L11" s="284" t="str">
        <f t="shared" si="1"/>
        <v/>
      </c>
      <c r="M11" s="286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87" t="s">
        <v>189</v>
      </c>
      <c r="B12" s="288" t="s">
        <v>190</v>
      </c>
      <c r="C12" s="289">
        <v>3</v>
      </c>
      <c r="D12" s="289" t="s">
        <v>168</v>
      </c>
      <c r="E12" s="288" t="s">
        <v>61</v>
      </c>
      <c r="F12" s="290">
        <v>65000000</v>
      </c>
      <c r="G12" s="286">
        <v>40000000</v>
      </c>
      <c r="H12" s="291">
        <v>0</v>
      </c>
      <c r="I12" s="292"/>
      <c r="J12" s="284" t="str">
        <f t="shared" si="0"/>
        <v/>
      </c>
      <c r="K12" s="286"/>
      <c r="L12" s="284" t="str">
        <f t="shared" si="1"/>
        <v/>
      </c>
      <c r="M12" s="286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87" t="s">
        <v>191</v>
      </c>
      <c r="B13" s="288" t="s">
        <v>192</v>
      </c>
      <c r="C13" s="289">
        <v>4</v>
      </c>
      <c r="D13" s="289" t="s">
        <v>168</v>
      </c>
      <c r="E13" s="288" t="s">
        <v>63</v>
      </c>
      <c r="F13" s="290">
        <v>28500000</v>
      </c>
      <c r="G13" s="286">
        <v>28500000</v>
      </c>
      <c r="H13" s="291">
        <v>15000000</v>
      </c>
      <c r="I13" s="292" t="s">
        <v>168</v>
      </c>
      <c r="J13" s="284">
        <f t="shared" si="0"/>
        <v>0</v>
      </c>
      <c r="K13" s="286">
        <v>9000000</v>
      </c>
      <c r="L13" s="284">
        <f t="shared" si="1"/>
        <v>0</v>
      </c>
      <c r="M13" s="286">
        <v>6000000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87" t="s">
        <v>193</v>
      </c>
      <c r="B14" s="288" t="s">
        <v>194</v>
      </c>
      <c r="C14" s="289">
        <v>5</v>
      </c>
      <c r="D14" s="289" t="s">
        <v>168</v>
      </c>
      <c r="E14" s="288" t="s">
        <v>50</v>
      </c>
      <c r="F14" s="290">
        <v>20000000</v>
      </c>
      <c r="G14" s="286">
        <v>20000000</v>
      </c>
      <c r="H14" s="291">
        <v>0</v>
      </c>
      <c r="I14" s="292"/>
      <c r="J14" s="284" t="str">
        <f t="shared" si="0"/>
        <v/>
      </c>
      <c r="K14" s="286"/>
      <c r="L14" s="284" t="str">
        <f t="shared" si="1"/>
        <v/>
      </c>
      <c r="M14" s="286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87" t="s">
        <v>195</v>
      </c>
      <c r="B15" s="288" t="s">
        <v>196</v>
      </c>
      <c r="C15" s="289">
        <v>6</v>
      </c>
      <c r="D15" s="289" t="s">
        <v>168</v>
      </c>
      <c r="E15" s="288" t="s">
        <v>62</v>
      </c>
      <c r="F15" s="290">
        <v>4000000</v>
      </c>
      <c r="G15" s="286">
        <v>0</v>
      </c>
      <c r="H15" s="291">
        <v>0</v>
      </c>
      <c r="I15" s="292"/>
      <c r="J15" s="284" t="str">
        <f t="shared" si="0"/>
        <v/>
      </c>
      <c r="K15" s="286"/>
      <c r="L15" s="284" t="str">
        <f t="shared" si="1"/>
        <v/>
      </c>
      <c r="M15" s="286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30" customHeight="1" x14ac:dyDescent="0.25">
      <c r="A16" s="287" t="s">
        <v>197</v>
      </c>
      <c r="B16" s="288" t="s">
        <v>198</v>
      </c>
      <c r="C16" s="289">
        <v>7</v>
      </c>
      <c r="D16" s="289" t="s">
        <v>168</v>
      </c>
      <c r="E16" s="288" t="s">
        <v>58</v>
      </c>
      <c r="F16" s="290">
        <v>3000000</v>
      </c>
      <c r="G16" s="286">
        <v>0</v>
      </c>
      <c r="H16" s="291">
        <v>0</v>
      </c>
      <c r="I16" s="292"/>
      <c r="J16" s="284" t="str">
        <f t="shared" si="0"/>
        <v/>
      </c>
      <c r="K16" s="286"/>
      <c r="L16" s="284" t="str">
        <f t="shared" si="1"/>
        <v/>
      </c>
      <c r="M16" s="28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93" t="s">
        <v>199</v>
      </c>
      <c r="B17" s="294"/>
      <c r="C17" s="294"/>
      <c r="D17" s="294"/>
      <c r="E17" s="295"/>
      <c r="F17" s="296">
        <f>SUM(F10:F16)</f>
        <v>244000000</v>
      </c>
      <c r="G17" s="297">
        <f>SUM(G10:G16)</f>
        <v>212000000</v>
      </c>
      <c r="H17" s="621">
        <f>SUM(H10:H16)</f>
        <v>93500000</v>
      </c>
      <c r="I17" s="622"/>
      <c r="J17" s="298">
        <f>SUM(J10:J16)</f>
        <v>0</v>
      </c>
      <c r="K17" s="297">
        <f>SUM(K10:K16)</f>
        <v>9000000</v>
      </c>
      <c r="L17" s="298">
        <f>SUM(L10:L16)</f>
        <v>6166212</v>
      </c>
      <c r="M17" s="297">
        <f>SUM(M10:M16)</f>
        <v>6000000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.75" customHeight="1" x14ac:dyDescent="0.25">
      <c r="A18" s="275" t="s">
        <v>200</v>
      </c>
      <c r="B18" s="276"/>
      <c r="C18" s="276"/>
      <c r="D18" s="276"/>
      <c r="E18" s="276"/>
      <c r="F18" s="276"/>
      <c r="G18" s="277"/>
      <c r="H18" s="278"/>
      <c r="I18" s="277"/>
      <c r="J18" s="278"/>
      <c r="K18" s="277"/>
      <c r="L18" s="276"/>
      <c r="M18" s="277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79" t="s">
        <v>201</v>
      </c>
      <c r="B19" s="280" t="s">
        <v>202</v>
      </c>
      <c r="C19" s="281">
        <v>1</v>
      </c>
      <c r="D19" s="281" t="s">
        <v>168</v>
      </c>
      <c r="E19" s="281" t="s">
        <v>66</v>
      </c>
      <c r="F19" s="282">
        <v>80000000</v>
      </c>
      <c r="G19" s="283">
        <v>69000000</v>
      </c>
      <c r="H19" s="284">
        <v>69000000</v>
      </c>
      <c r="I19" s="285" t="s">
        <v>168</v>
      </c>
      <c r="J19" s="284">
        <f t="shared" ref="J19:J25" si="2">IF(AND($I19 = "Yes",$H19-$K19-$M19 &gt; 0), ROUND(-PMT($K$3,$K$4, $H19-$K19-$M19, 0, 0), 0), IF($H19&gt;0, 0, ""))</f>
        <v>0</v>
      </c>
      <c r="K19" s="286">
        <v>0</v>
      </c>
      <c r="L19" s="284">
        <f t="shared" ref="L19:L25" si="3">IF($H19-$K19-$M19 &gt; 0, ROUND(-PMT($K$3,$K$4, $H19-$K19-$M19, 0, 0), 0),  IF($H19&gt;0, 0, ""))</f>
        <v>5419982</v>
      </c>
      <c r="M19" s="286"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87" t="s">
        <v>203</v>
      </c>
      <c r="B20" s="288" t="s">
        <v>204</v>
      </c>
      <c r="C20" s="289">
        <v>2</v>
      </c>
      <c r="D20" s="289" t="s">
        <v>168</v>
      </c>
      <c r="E20" s="288" t="s">
        <v>66</v>
      </c>
      <c r="F20" s="290">
        <v>34000000</v>
      </c>
      <c r="G20" s="286">
        <v>34000000</v>
      </c>
      <c r="H20" s="291">
        <v>0</v>
      </c>
      <c r="I20" s="292"/>
      <c r="J20" s="284" t="str">
        <f t="shared" si="2"/>
        <v/>
      </c>
      <c r="K20" s="286"/>
      <c r="L20" s="284" t="str">
        <f t="shared" si="3"/>
        <v/>
      </c>
      <c r="M20" s="286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87" t="s">
        <v>205</v>
      </c>
      <c r="B21" s="288" t="s">
        <v>206</v>
      </c>
      <c r="C21" s="289">
        <v>3</v>
      </c>
      <c r="D21" s="289" t="s">
        <v>168</v>
      </c>
      <c r="E21" s="288" t="s">
        <v>67</v>
      </c>
      <c r="F21" s="290">
        <v>38100000</v>
      </c>
      <c r="G21" s="286">
        <v>35100000</v>
      </c>
      <c r="H21" s="291">
        <v>0</v>
      </c>
      <c r="I21" s="292"/>
      <c r="J21" s="284" t="str">
        <f t="shared" si="2"/>
        <v/>
      </c>
      <c r="K21" s="286"/>
      <c r="L21" s="284" t="str">
        <f t="shared" si="3"/>
        <v/>
      </c>
      <c r="M21" s="286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87" t="s">
        <v>207</v>
      </c>
      <c r="B22" s="288" t="s">
        <v>208</v>
      </c>
      <c r="C22" s="289">
        <v>4</v>
      </c>
      <c r="D22" s="289" t="s">
        <v>168</v>
      </c>
      <c r="E22" s="288" t="s">
        <v>66</v>
      </c>
      <c r="F22" s="290">
        <v>25000000</v>
      </c>
      <c r="G22" s="286">
        <v>18000000</v>
      </c>
      <c r="H22" s="291">
        <v>0</v>
      </c>
      <c r="I22" s="292"/>
      <c r="J22" s="284" t="str">
        <f t="shared" si="2"/>
        <v/>
      </c>
      <c r="K22" s="286"/>
      <c r="L22" s="284" t="str">
        <f t="shared" si="3"/>
        <v/>
      </c>
      <c r="M22" s="286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87" t="s">
        <v>209</v>
      </c>
      <c r="B23" s="288" t="s">
        <v>210</v>
      </c>
      <c r="C23" s="289">
        <v>5</v>
      </c>
      <c r="D23" s="289" t="s">
        <v>168</v>
      </c>
      <c r="E23" s="288" t="s">
        <v>68</v>
      </c>
      <c r="F23" s="290">
        <v>17000000</v>
      </c>
      <c r="G23" s="286">
        <v>17000000</v>
      </c>
      <c r="H23" s="291">
        <v>0</v>
      </c>
      <c r="I23" s="292"/>
      <c r="J23" s="284" t="str">
        <f t="shared" si="2"/>
        <v/>
      </c>
      <c r="K23" s="286"/>
      <c r="L23" s="284" t="str">
        <f t="shared" si="3"/>
        <v/>
      </c>
      <c r="M23" s="286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87" t="s">
        <v>211</v>
      </c>
      <c r="B24" s="288" t="s">
        <v>212</v>
      </c>
      <c r="C24" s="289">
        <v>6</v>
      </c>
      <c r="D24" s="289" t="s">
        <v>168</v>
      </c>
      <c r="E24" s="288" t="s">
        <v>70</v>
      </c>
      <c r="F24" s="290">
        <v>4000000</v>
      </c>
      <c r="G24" s="286">
        <v>0</v>
      </c>
      <c r="H24" s="291">
        <v>4000000</v>
      </c>
      <c r="I24" s="292" t="s">
        <v>168</v>
      </c>
      <c r="J24" s="284">
        <f t="shared" si="2"/>
        <v>0</v>
      </c>
      <c r="K24" s="286">
        <v>2000000</v>
      </c>
      <c r="L24" s="284">
        <f t="shared" si="3"/>
        <v>0</v>
      </c>
      <c r="M24" s="286">
        <v>2000000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30" customHeight="1" x14ac:dyDescent="0.25">
      <c r="A25" s="287" t="s">
        <v>213</v>
      </c>
      <c r="B25" s="288" t="s">
        <v>214</v>
      </c>
      <c r="C25" s="289">
        <v>7</v>
      </c>
      <c r="D25" s="289" t="s">
        <v>168</v>
      </c>
      <c r="E25" s="288" t="s">
        <v>68</v>
      </c>
      <c r="F25" s="290">
        <v>1000000</v>
      </c>
      <c r="G25" s="286">
        <v>0</v>
      </c>
      <c r="H25" s="291">
        <v>0</v>
      </c>
      <c r="I25" s="292"/>
      <c r="J25" s="284" t="str">
        <f t="shared" si="2"/>
        <v/>
      </c>
      <c r="K25" s="286"/>
      <c r="L25" s="284" t="str">
        <f t="shared" si="3"/>
        <v/>
      </c>
      <c r="M25" s="286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93" t="s">
        <v>215</v>
      </c>
      <c r="B26" s="294"/>
      <c r="C26" s="294"/>
      <c r="D26" s="294"/>
      <c r="E26" s="295"/>
      <c r="F26" s="296">
        <f>SUM(F19:F25)</f>
        <v>199100000</v>
      </c>
      <c r="G26" s="297">
        <f>SUM(G19:G25)</f>
        <v>173100000</v>
      </c>
      <c r="H26" s="621">
        <f>SUM(H19:H25)</f>
        <v>73000000</v>
      </c>
      <c r="I26" s="622"/>
      <c r="J26" s="298">
        <f>SUM(J19:J25)</f>
        <v>0</v>
      </c>
      <c r="K26" s="297">
        <f>SUM(K19:K25)</f>
        <v>2000000</v>
      </c>
      <c r="L26" s="298">
        <f>SUM(L19:L25)</f>
        <v>5419982</v>
      </c>
      <c r="M26" s="297">
        <f>SUM(M19:M25)</f>
        <v>2000000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customHeight="1" x14ac:dyDescent="0.25">
      <c r="A27" s="275" t="s">
        <v>216</v>
      </c>
      <c r="B27" s="276"/>
      <c r="C27" s="276"/>
      <c r="D27" s="276"/>
      <c r="E27" s="276"/>
      <c r="F27" s="276"/>
      <c r="G27" s="277"/>
      <c r="H27" s="278"/>
      <c r="I27" s="277"/>
      <c r="J27" s="278"/>
      <c r="K27" s="277"/>
      <c r="L27" s="276"/>
      <c r="M27" s="27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79" t="s">
        <v>217</v>
      </c>
      <c r="B28" s="280" t="s">
        <v>218</v>
      </c>
      <c r="C28" s="281">
        <v>1</v>
      </c>
      <c r="D28" s="281" t="s">
        <v>168</v>
      </c>
      <c r="E28" s="281" t="s">
        <v>72</v>
      </c>
      <c r="F28" s="282">
        <v>87500000</v>
      </c>
      <c r="G28" s="283">
        <v>87500000</v>
      </c>
      <c r="H28" s="284">
        <v>77600000</v>
      </c>
      <c r="I28" s="285" t="s">
        <v>168</v>
      </c>
      <c r="J28" s="284">
        <f>IF(AND($I28 = "Yes",$H28-$K28-$M28 &gt; 0), ROUND(-PMT($K$3,$K$4, $H28-$K28-$M28, 0, 0), 0), IF($H28&gt;0, 0, ""))</f>
        <v>0</v>
      </c>
      <c r="K28" s="286">
        <v>0</v>
      </c>
      <c r="L28" s="284">
        <f>IF($H28-$K28-$M28 &gt; 0, ROUND(-PMT($K$3,$K$4, $H28-$K28-$M28, 0, 0), 0),  IF($H28&gt;0, 0, ""))</f>
        <v>6095516</v>
      </c>
      <c r="M28" s="286">
        <v>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87" t="s">
        <v>219</v>
      </c>
      <c r="B29" s="288" t="s">
        <v>220</v>
      </c>
      <c r="C29" s="289">
        <v>2</v>
      </c>
      <c r="D29" s="289" t="s">
        <v>168</v>
      </c>
      <c r="E29" s="288" t="s">
        <v>72</v>
      </c>
      <c r="F29" s="290">
        <v>30000000</v>
      </c>
      <c r="G29" s="286">
        <v>30000000</v>
      </c>
      <c r="H29" s="291">
        <v>0</v>
      </c>
      <c r="I29" s="292"/>
      <c r="J29" s="284" t="str">
        <f>IF(AND($I29 = "Yes",$H29-$K29-$M29 &gt; 0), ROUND(-PMT($K$3,$K$4, $H29-$K29-$M29, 0, 0), 0), IF($H29&gt;0, 0, ""))</f>
        <v/>
      </c>
      <c r="K29" s="286"/>
      <c r="L29" s="284" t="str">
        <f>IF($H29-$K29-$M29 &gt; 0, ROUND(-PMT($K$3,$K$4, $H29-$K29-$M29, 0, 0), 0),  IF($H29&gt;0, 0, ""))</f>
        <v/>
      </c>
      <c r="M29" s="286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87" t="s">
        <v>221</v>
      </c>
      <c r="B30" s="288" t="s">
        <v>222</v>
      </c>
      <c r="C30" s="289">
        <v>3</v>
      </c>
      <c r="D30" s="289" t="s">
        <v>168</v>
      </c>
      <c r="E30" s="288" t="s">
        <v>72</v>
      </c>
      <c r="F30" s="290">
        <v>20300000</v>
      </c>
      <c r="G30" s="286">
        <v>20300000</v>
      </c>
      <c r="H30" s="291">
        <v>0</v>
      </c>
      <c r="I30" s="292"/>
      <c r="J30" s="284" t="str">
        <f>IF(AND($I30 = "Yes",$H30-$K30-$M30 &gt; 0), ROUND(-PMT($K$3,$K$4, $H30-$K30-$M30, 0, 0), 0), IF($H30&gt;0, 0, ""))</f>
        <v/>
      </c>
      <c r="K30" s="286"/>
      <c r="L30" s="284" t="str">
        <f>IF($H30-$K30-$M30 &gt; 0, ROUND(-PMT($K$3,$K$4, $H30-$K30-$M30, 0, 0), 0),  IF($H30&gt;0, 0, ""))</f>
        <v/>
      </c>
      <c r="M30" s="286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30" customHeight="1" x14ac:dyDescent="0.25">
      <c r="A31" s="287" t="s">
        <v>223</v>
      </c>
      <c r="B31" s="288" t="s">
        <v>224</v>
      </c>
      <c r="C31" s="289">
        <v>4</v>
      </c>
      <c r="D31" s="289" t="s">
        <v>168</v>
      </c>
      <c r="E31" s="288" t="s">
        <v>72</v>
      </c>
      <c r="F31" s="290">
        <v>12000000</v>
      </c>
      <c r="G31" s="286">
        <v>12000000</v>
      </c>
      <c r="H31" s="291">
        <v>0</v>
      </c>
      <c r="I31" s="292"/>
      <c r="J31" s="284" t="str">
        <f>IF(AND($I31 = "Yes",$H31-$K31-$M31 &gt; 0), ROUND(-PMT($K$3,$K$4, $H31-$K31-$M31, 0, 0), 0), IF($H31&gt;0, 0, ""))</f>
        <v/>
      </c>
      <c r="K31" s="286"/>
      <c r="L31" s="284" t="str">
        <f>IF($H31-$K31-$M31 &gt; 0, ROUND(-PMT($K$3,$K$4, $H31-$K31-$M31, 0, 0), 0),  IF($H31&gt;0, 0, ""))</f>
        <v/>
      </c>
      <c r="M31" s="286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87" t="s">
        <v>225</v>
      </c>
      <c r="B32" s="288" t="s">
        <v>226</v>
      </c>
      <c r="C32" s="289">
        <v>5</v>
      </c>
      <c r="D32" s="289" t="s">
        <v>168</v>
      </c>
      <c r="E32" s="288" t="s">
        <v>72</v>
      </c>
      <c r="F32" s="290">
        <v>6750000</v>
      </c>
      <c r="G32" s="286">
        <v>6750000</v>
      </c>
      <c r="H32" s="291">
        <v>0</v>
      </c>
      <c r="I32" s="292"/>
      <c r="J32" s="284" t="str">
        <f>IF(AND($I32 = "Yes",$H32-$K32-$M32 &gt; 0), ROUND(-PMT($K$3,$K$4, $H32-$K32-$M32, 0, 0), 0), IF($H32&gt;0, 0, ""))</f>
        <v/>
      </c>
      <c r="K32" s="286"/>
      <c r="L32" s="284" t="str">
        <f>IF($H32-$K32-$M32 &gt; 0, ROUND(-PMT($K$3,$K$4, $H32-$K32-$M32, 0, 0), 0),  IF($H32&gt;0, 0, ""))</f>
        <v/>
      </c>
      <c r="M32" s="286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x14ac:dyDescent="0.25">
      <c r="A33" s="293" t="s">
        <v>227</v>
      </c>
      <c r="B33" s="294"/>
      <c r="C33" s="294"/>
      <c r="D33" s="294"/>
      <c r="E33" s="295"/>
      <c r="F33" s="296">
        <f>SUM(F28:F32)</f>
        <v>156550000</v>
      </c>
      <c r="G33" s="297">
        <f>SUM(G28:G32)</f>
        <v>156550000</v>
      </c>
      <c r="H33" s="621">
        <f>SUM(H28:H32)</f>
        <v>77600000</v>
      </c>
      <c r="I33" s="622"/>
      <c r="J33" s="298">
        <f>SUM(J28:J32)</f>
        <v>0</v>
      </c>
      <c r="K33" s="297">
        <f>SUM(K28:K32)</f>
        <v>0</v>
      </c>
      <c r="L33" s="298">
        <f>SUM(L28:L32)</f>
        <v>6095516</v>
      </c>
      <c r="M33" s="297">
        <f>SUM(M28:M32)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275" t="s">
        <v>228</v>
      </c>
      <c r="B34" s="276"/>
      <c r="C34" s="276"/>
      <c r="D34" s="276"/>
      <c r="E34" s="276"/>
      <c r="F34" s="276"/>
      <c r="G34" s="277"/>
      <c r="H34" s="278"/>
      <c r="I34" s="277"/>
      <c r="J34" s="278"/>
      <c r="K34" s="277"/>
      <c r="L34" s="276"/>
      <c r="M34" s="277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thickTop="1" thickBot="1" x14ac:dyDescent="0.3">
      <c r="A35" s="279" t="s">
        <v>229</v>
      </c>
      <c r="B35" s="280" t="s">
        <v>230</v>
      </c>
      <c r="C35" s="281">
        <v>1</v>
      </c>
      <c r="D35" s="281" t="s">
        <v>168</v>
      </c>
      <c r="E35" s="281" t="s">
        <v>73</v>
      </c>
      <c r="F35" s="282">
        <v>15000000</v>
      </c>
      <c r="G35" s="283">
        <v>15000000</v>
      </c>
      <c r="H35" s="284">
        <v>15000000</v>
      </c>
      <c r="I35" s="285" t="s">
        <v>168</v>
      </c>
      <c r="J35" s="284">
        <f>IF(AND($I35 = "Yes",$H35-$K35-$M35 &gt; 0), ROUND(-PMT($K$3,$K$4, $H35-$K35-$M35, 0, 0), 0), IF($H35&gt;0, 0, ""))</f>
        <v>0</v>
      </c>
      <c r="K35" s="286">
        <v>0</v>
      </c>
      <c r="L35" s="284">
        <f>IF($H35-$K35-$M35 &gt; 0, ROUND(-PMT($K$3,$K$4, $H35-$K35-$M35, 0, 0), 0),  IF($H35&gt;0, 0, ""))</f>
        <v>0</v>
      </c>
      <c r="M35" s="286">
        <v>15000000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293" t="s">
        <v>231</v>
      </c>
      <c r="B36" s="294"/>
      <c r="C36" s="294"/>
      <c r="D36" s="294"/>
      <c r="E36" s="295"/>
      <c r="F36" s="296">
        <f>SUM(F35:F35)</f>
        <v>15000000</v>
      </c>
      <c r="G36" s="297">
        <f>SUM(G35:G35)</f>
        <v>15000000</v>
      </c>
      <c r="H36" s="621">
        <f>SUM(H35:H35)</f>
        <v>15000000</v>
      </c>
      <c r="I36" s="622"/>
      <c r="J36" s="298">
        <f>SUM(J35:J35)</f>
        <v>0</v>
      </c>
      <c r="K36" s="297">
        <f>SUM(K35:K35)</f>
        <v>0</v>
      </c>
      <c r="L36" s="298">
        <f>SUM(L35:L35)</f>
        <v>0</v>
      </c>
      <c r="M36" s="297">
        <f>SUM(M35:M35)</f>
        <v>15000000</v>
      </c>
    </row>
    <row r="37" spans="1:27" x14ac:dyDescent="0.25">
      <c r="A37" s="275" t="s">
        <v>232</v>
      </c>
      <c r="B37" s="276"/>
      <c r="C37" s="276"/>
      <c r="D37" s="276"/>
      <c r="E37" s="276"/>
      <c r="F37" s="276"/>
      <c r="G37" s="277"/>
      <c r="H37" s="278"/>
      <c r="I37" s="277"/>
      <c r="J37" s="278"/>
      <c r="K37" s="277"/>
      <c r="L37" s="276"/>
      <c r="M37" s="277"/>
    </row>
    <row r="38" spans="1:27" ht="30" customHeight="1" x14ac:dyDescent="0.25">
      <c r="A38" s="279" t="s">
        <v>233</v>
      </c>
      <c r="B38" s="280" t="s">
        <v>234</v>
      </c>
      <c r="C38" s="281">
        <v>1</v>
      </c>
      <c r="D38" s="281" t="s">
        <v>168</v>
      </c>
      <c r="E38" s="281" t="s">
        <v>74</v>
      </c>
      <c r="F38" s="282">
        <v>41000000</v>
      </c>
      <c r="G38" s="283">
        <v>41000000</v>
      </c>
      <c r="H38" s="284">
        <v>41000000</v>
      </c>
      <c r="I38" s="285" t="s">
        <v>168</v>
      </c>
      <c r="J38" s="284">
        <f>IF(AND($I38 = "Yes",$H38-$K38-$M38 &gt; 0), ROUND(-PMT($K$3,$K$4, $H38-$K38-$M38, 0, 0), 0), IF($H38&gt;0, 0, ""))</f>
        <v>0</v>
      </c>
      <c r="K38" s="286">
        <v>0</v>
      </c>
      <c r="L38" s="284">
        <f>IF($H38-$K38-$M38 &gt; 0, ROUND(-PMT($K$3,$K$4, $H38-$K38-$M38, 0, 0), 0),  IF($H38&gt;0, 0, ""))</f>
        <v>3220569</v>
      </c>
      <c r="M38" s="286">
        <v>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93" t="s">
        <v>235</v>
      </c>
      <c r="B39" s="294"/>
      <c r="C39" s="294"/>
      <c r="D39" s="294"/>
      <c r="E39" s="295"/>
      <c r="F39" s="296">
        <f>SUM(F38:F38)</f>
        <v>41000000</v>
      </c>
      <c r="G39" s="297">
        <f>SUM(G38:G38)</f>
        <v>41000000</v>
      </c>
      <c r="H39" s="621">
        <f>SUM(H38:H38)</f>
        <v>41000000</v>
      </c>
      <c r="I39" s="622"/>
      <c r="J39" s="298">
        <f>SUM(J38:J38)</f>
        <v>0</v>
      </c>
      <c r="K39" s="297">
        <f>SUM(K38:K38)</f>
        <v>0</v>
      </c>
      <c r="L39" s="298">
        <f>SUM(L38:L38)</f>
        <v>3220569</v>
      </c>
      <c r="M39" s="297">
        <f>SUM(M38:M38)</f>
        <v>0</v>
      </c>
    </row>
    <row r="40" spans="1:27" x14ac:dyDescent="0.25">
      <c r="A40" s="275" t="s">
        <v>236</v>
      </c>
      <c r="B40" s="276"/>
      <c r="C40" s="276"/>
      <c r="D40" s="276"/>
      <c r="E40" s="276"/>
      <c r="F40" s="276"/>
      <c r="G40" s="277"/>
      <c r="H40" s="278"/>
      <c r="I40" s="277"/>
      <c r="J40" s="278"/>
      <c r="K40" s="277"/>
      <c r="L40" s="276"/>
      <c r="M40" s="277"/>
    </row>
    <row r="41" spans="1:27" ht="30" customHeight="1" x14ac:dyDescent="0.25">
      <c r="A41" s="279" t="s">
        <v>237</v>
      </c>
      <c r="B41" s="280" t="s">
        <v>238</v>
      </c>
      <c r="C41" s="281">
        <v>1</v>
      </c>
      <c r="D41" s="281" t="s">
        <v>168</v>
      </c>
      <c r="E41" s="281" t="s">
        <v>75</v>
      </c>
      <c r="F41" s="282">
        <v>8000000</v>
      </c>
      <c r="G41" s="283">
        <v>8000000</v>
      </c>
      <c r="H41" s="284">
        <v>8000000</v>
      </c>
      <c r="I41" s="285" t="s">
        <v>168</v>
      </c>
      <c r="J41" s="284">
        <f>IF(AND($I41 = "Yes",$H41-$K41-$M41 &gt; 0), ROUND(-PMT($K$3,$K$4, $H41-$K41-$M41, 0, 0), 0), IF($H41&gt;0, 0, ""))</f>
        <v>0</v>
      </c>
      <c r="K41" s="286">
        <v>0</v>
      </c>
      <c r="L41" s="284">
        <f>IF($H41-$K41-$M41 &gt; 0, ROUND(-PMT($K$3,$K$4, $H41-$K41-$M41, 0, 0), 0),  IF($H41&gt;0, 0, ""))</f>
        <v>0</v>
      </c>
      <c r="M41" s="286">
        <v>8000000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87" t="s">
        <v>239</v>
      </c>
      <c r="B42" s="288" t="s">
        <v>240</v>
      </c>
      <c r="C42" s="289">
        <v>2</v>
      </c>
      <c r="D42" s="289" t="s">
        <v>168</v>
      </c>
      <c r="E42" s="288" t="s">
        <v>75</v>
      </c>
      <c r="F42" s="290">
        <v>9500000</v>
      </c>
      <c r="G42" s="286">
        <v>9500000</v>
      </c>
      <c r="H42" s="291">
        <v>9250000</v>
      </c>
      <c r="I42" s="292" t="s">
        <v>168</v>
      </c>
      <c r="J42" s="284">
        <f>IF(AND($I42 = "Yes",$H42-$K42-$M42 &gt; 0), ROUND(-PMT($K$3,$K$4, $H42-$K42-$M42, 0, 0), 0), IF($H42&gt;0, 0, ""))</f>
        <v>0</v>
      </c>
      <c r="K42" s="286">
        <v>9250000</v>
      </c>
      <c r="L42" s="284">
        <f>IF($H42-$K42-$M42 &gt; 0, ROUND(-PMT($K$3,$K$4, $H42-$K42-$M42, 0, 0), 0),  IF($H42&gt;0, 0, ""))</f>
        <v>0</v>
      </c>
      <c r="M42" s="286">
        <v>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87" t="s">
        <v>241</v>
      </c>
      <c r="B43" s="288" t="s">
        <v>242</v>
      </c>
      <c r="C43" s="289">
        <v>3</v>
      </c>
      <c r="D43" s="289" t="s">
        <v>168</v>
      </c>
      <c r="E43" s="288" t="s">
        <v>75</v>
      </c>
      <c r="F43" s="290">
        <v>4500000</v>
      </c>
      <c r="G43" s="286">
        <v>4500000</v>
      </c>
      <c r="H43" s="291">
        <v>4500000</v>
      </c>
      <c r="I43" s="292" t="s">
        <v>168</v>
      </c>
      <c r="J43" s="284">
        <f>IF(AND($I43 = "Yes",$H43-$K43-$M43 &gt; 0), ROUND(-PMT($K$3,$K$4, $H43-$K43-$M43, 0, 0), 0), IF($H43&gt;0, 0, ""))</f>
        <v>0</v>
      </c>
      <c r="K43" s="286">
        <v>0</v>
      </c>
      <c r="L43" s="284">
        <f>IF($H43-$K43-$M43 &gt; 0, ROUND(-PMT($K$3,$K$4, $H43-$K43-$M43, 0, 0), 0),  IF($H43&gt;0, 0, ""))</f>
        <v>0</v>
      </c>
      <c r="M43" s="286">
        <v>4500000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x14ac:dyDescent="0.25">
      <c r="A44" s="287" t="s">
        <v>243</v>
      </c>
      <c r="B44" s="288" t="s">
        <v>244</v>
      </c>
      <c r="C44" s="289">
        <v>4</v>
      </c>
      <c r="D44" s="289" t="s">
        <v>168</v>
      </c>
      <c r="E44" s="288" t="s">
        <v>75</v>
      </c>
      <c r="F44" s="290">
        <v>2000000</v>
      </c>
      <c r="G44" s="286">
        <v>0</v>
      </c>
      <c r="H44" s="291">
        <v>0</v>
      </c>
      <c r="I44" s="292"/>
      <c r="J44" s="284" t="str">
        <f>IF(AND($I44 = "Yes",$H44-$K44-$M44 &gt; 0), ROUND(-PMT($K$3,$K$4, $H44-$K44-$M44, 0, 0), 0), IF($H44&gt;0, 0, ""))</f>
        <v/>
      </c>
      <c r="K44" s="286"/>
      <c r="L44" s="284" t="str">
        <f>IF($H44-$K44-$M44 &gt; 0, ROUND(-PMT($K$3,$K$4, $H44-$K44-$M44, 0, 0), 0),  IF($H44&gt;0, 0, ""))</f>
        <v/>
      </c>
      <c r="M44" s="286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293" t="s">
        <v>245</v>
      </c>
      <c r="B45" s="294"/>
      <c r="C45" s="294"/>
      <c r="D45" s="294"/>
      <c r="E45" s="295"/>
      <c r="F45" s="296">
        <f>SUM(F41:F44)</f>
        <v>24000000</v>
      </c>
      <c r="G45" s="297">
        <f>SUM(G41:G44)</f>
        <v>22000000</v>
      </c>
      <c r="H45" s="621">
        <f>SUM(H41:H44)</f>
        <v>21750000</v>
      </c>
      <c r="I45" s="622"/>
      <c r="J45" s="298">
        <f>SUM(J41:J44)</f>
        <v>0</v>
      </c>
      <c r="K45" s="297">
        <f>SUM(K41:K44)</f>
        <v>9250000</v>
      </c>
      <c r="L45" s="298">
        <f>SUM(L41:L44)</f>
        <v>0</v>
      </c>
      <c r="M45" s="297">
        <f>SUM(M41:M44)</f>
        <v>12500000</v>
      </c>
    </row>
    <row r="46" spans="1:27" x14ac:dyDescent="0.25">
      <c r="A46" s="275" t="s">
        <v>246</v>
      </c>
      <c r="B46" s="276"/>
      <c r="C46" s="276"/>
      <c r="D46" s="276"/>
      <c r="E46" s="276"/>
      <c r="F46" s="276"/>
      <c r="G46" s="277"/>
      <c r="H46" s="278"/>
      <c r="I46" s="277"/>
      <c r="J46" s="278"/>
      <c r="K46" s="277"/>
      <c r="L46" s="276"/>
      <c r="M46" s="277"/>
    </row>
    <row r="47" spans="1:27" ht="30" customHeight="1" x14ac:dyDescent="0.25">
      <c r="A47" s="279" t="s">
        <v>247</v>
      </c>
      <c r="B47" s="280" t="s">
        <v>248</v>
      </c>
      <c r="C47" s="281">
        <v>1</v>
      </c>
      <c r="D47" s="281" t="s">
        <v>168</v>
      </c>
      <c r="E47" s="281" t="s">
        <v>76</v>
      </c>
      <c r="F47" s="282">
        <v>43169360</v>
      </c>
      <c r="G47" s="283">
        <v>40169360</v>
      </c>
      <c r="H47" s="284">
        <v>40169360</v>
      </c>
      <c r="I47" s="285" t="s">
        <v>168</v>
      </c>
      <c r="J47" s="284">
        <f>IF(AND($I47 = "Yes",$H47-$K47-$M47 &gt; 0), ROUND(-PMT($K$3,$K$4, $H47-$K47-$M47, 0, 0), 0), IF($H47&gt;0, 0, ""))</f>
        <v>0</v>
      </c>
      <c r="K47" s="286">
        <v>0</v>
      </c>
      <c r="L47" s="284">
        <f>IF($H47-$K47-$M47 &gt; 0, ROUND(-PMT($K$3,$K$4, $H47-$K47-$M47, 0, 0), 0),  IF($H47&gt;0, 0, ""))</f>
        <v>3155322</v>
      </c>
      <c r="M47" s="286">
        <v>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87" t="s">
        <v>249</v>
      </c>
      <c r="B48" s="288" t="s">
        <v>250</v>
      </c>
      <c r="C48" s="289">
        <v>2</v>
      </c>
      <c r="D48" s="289" t="s">
        <v>168</v>
      </c>
      <c r="E48" s="288" t="s">
        <v>76</v>
      </c>
      <c r="F48" s="290">
        <v>43027234</v>
      </c>
      <c r="G48" s="286">
        <v>38727234</v>
      </c>
      <c r="H48" s="291">
        <v>38727234</v>
      </c>
      <c r="I48" s="292" t="s">
        <v>168</v>
      </c>
      <c r="J48" s="284">
        <f>IF(AND($I48 = "Yes",$H48-$K48-$M48 &gt; 0), ROUND(-PMT($K$3,$K$4, $H48-$K48-$M48, 0, 0), 0), IF($H48&gt;0, 0, ""))</f>
        <v>0</v>
      </c>
      <c r="K48" s="286">
        <v>0</v>
      </c>
      <c r="L48" s="284">
        <f>IF($H48-$K48-$M48 &gt; 0, ROUND(-PMT($K$3,$K$4, $H48-$K48-$M48, 0, 0), 0),  IF($H48&gt;0, 0, ""))</f>
        <v>3042042</v>
      </c>
      <c r="M48" s="286">
        <v>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87" t="s">
        <v>251</v>
      </c>
      <c r="B49" s="288" t="s">
        <v>252</v>
      </c>
      <c r="C49" s="289">
        <v>3</v>
      </c>
      <c r="D49" s="289" t="s">
        <v>168</v>
      </c>
      <c r="E49" s="288" t="s">
        <v>76</v>
      </c>
      <c r="F49" s="290">
        <v>20488000</v>
      </c>
      <c r="G49" s="286">
        <v>17688000</v>
      </c>
      <c r="H49" s="291">
        <v>0</v>
      </c>
      <c r="I49" s="292"/>
      <c r="J49" s="284" t="str">
        <f>IF(AND($I49 = "Yes",$H49-$K49-$M49 &gt; 0), ROUND(-PMT($K$3,$K$4, $H49-$K49-$M49, 0, 0), 0), IF($H49&gt;0, 0, ""))</f>
        <v/>
      </c>
      <c r="K49" s="286"/>
      <c r="L49" s="284" t="str">
        <f>IF($H49-$K49-$M49 &gt; 0, ROUND(-PMT($K$3,$K$4, $H49-$K49-$M49, 0, 0), 0),  IF($H49&gt;0, 0, ""))</f>
        <v/>
      </c>
      <c r="M49" s="286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87" t="s">
        <v>253</v>
      </c>
      <c r="B50" s="288" t="s">
        <v>254</v>
      </c>
      <c r="C50" s="289">
        <v>4</v>
      </c>
      <c r="D50" s="289" t="s">
        <v>168</v>
      </c>
      <c r="E50" s="288" t="s">
        <v>76</v>
      </c>
      <c r="F50" s="290">
        <v>17442880</v>
      </c>
      <c r="G50" s="286">
        <v>16942880</v>
      </c>
      <c r="H50" s="291">
        <v>3000000</v>
      </c>
      <c r="I50" s="292" t="s">
        <v>168</v>
      </c>
      <c r="J50" s="284">
        <f>IF(AND($I50 = "Yes",$H50-$K50-$M50 &gt; 0), ROUND(-PMT($K$3,$K$4, $H50-$K50-$M50, 0, 0), 0), IF($H50&gt;0, 0, ""))</f>
        <v>0</v>
      </c>
      <c r="K50" s="286">
        <v>3000000</v>
      </c>
      <c r="L50" s="284">
        <f>IF($H50-$K50-$M50 &gt; 0, ROUND(-PMT($K$3,$K$4, $H50-$K50-$M50, 0, 0), 0),  IF($H50&gt;0, 0, ""))</f>
        <v>0</v>
      </c>
      <c r="M50" s="286">
        <v>0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87" t="s">
        <v>255</v>
      </c>
      <c r="B51" s="288" t="s">
        <v>256</v>
      </c>
      <c r="C51" s="289">
        <v>5</v>
      </c>
      <c r="D51" s="289" t="s">
        <v>168</v>
      </c>
      <c r="E51" s="288" t="s">
        <v>76</v>
      </c>
      <c r="F51" s="290">
        <v>14793584</v>
      </c>
      <c r="G51" s="286">
        <v>12793584</v>
      </c>
      <c r="H51" s="291">
        <v>0</v>
      </c>
      <c r="I51" s="292"/>
      <c r="J51" s="284" t="str">
        <f>IF(AND($I51 = "Yes",$H51-$K51-$M51 &gt; 0), ROUND(-PMT($K$3,$K$4, $H51-$K51-$M51, 0, 0), 0), IF($H51&gt;0, 0, ""))</f>
        <v/>
      </c>
      <c r="K51" s="286"/>
      <c r="L51" s="284" t="str">
        <f>IF($H51-$K51-$M51 &gt; 0, ROUND(-PMT($K$3,$K$4, $H51-$K51-$M51, 0, 0), 0),  IF($H51&gt;0, 0, ""))</f>
        <v/>
      </c>
      <c r="M51" s="286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293" t="s">
        <v>257</v>
      </c>
      <c r="B52" s="294"/>
      <c r="C52" s="294"/>
      <c r="D52" s="294"/>
      <c r="E52" s="295"/>
      <c r="F52" s="296">
        <f>SUM(F47:F51)</f>
        <v>138921058</v>
      </c>
      <c r="G52" s="297">
        <f>SUM(G47:G51)</f>
        <v>126321058</v>
      </c>
      <c r="H52" s="621">
        <f>SUM(H47:H51)</f>
        <v>81896594</v>
      </c>
      <c r="I52" s="622"/>
      <c r="J52" s="298">
        <f>SUM(J47:J51)</f>
        <v>0</v>
      </c>
      <c r="K52" s="297">
        <f>SUM(K47:K51)</f>
        <v>3000000</v>
      </c>
      <c r="L52" s="298">
        <f>SUM(L47:L51)</f>
        <v>6197364</v>
      </c>
      <c r="M52" s="297">
        <f>SUM(M47:M51)</f>
        <v>0</v>
      </c>
    </row>
    <row r="53" spans="1:27" x14ac:dyDescent="0.25">
      <c r="A53" s="299" t="s">
        <v>47</v>
      </c>
      <c r="B53" s="300"/>
      <c r="C53" s="300"/>
      <c r="D53" s="300"/>
      <c r="E53" s="300"/>
      <c r="F53" s="248">
        <f>SUM(F17,F26,F33,F36,F39,F45,F52)</f>
        <v>818571058</v>
      </c>
      <c r="G53" s="247">
        <f>SUM(G17,G26,G33,G36,G39,G45,G52)</f>
        <v>745971058</v>
      </c>
      <c r="H53" s="477">
        <f>SUM(H17,H26,H33,H36,H39,H45,H52)</f>
        <v>403746594</v>
      </c>
      <c r="I53" s="623"/>
      <c r="J53" s="103">
        <f>SUM(J17,J26,J33,J36,J39,J45,J52)</f>
        <v>0</v>
      </c>
      <c r="K53" s="247">
        <f>SUM(K17,K26,K33,K36,K39,K45,K52)</f>
        <v>23250000</v>
      </c>
      <c r="L53" s="103">
        <f>SUM(L17,L26,L33,L36,L39,L45,L52)</f>
        <v>27099643</v>
      </c>
      <c r="M53" s="247">
        <f>SUM(M17,M26,M33,M36,M39,M45,M52)</f>
        <v>35500000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 s="620"/>
      <c r="I89" s="620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 s="620"/>
      <c r="I116" s="620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 s="620"/>
      <c r="I143" s="620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 s="620"/>
      <c r="I170" s="62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 s="620"/>
      <c r="I197" s="620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 s="620"/>
      <c r="I198" s="620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32">
    <mergeCell ref="H170:I170"/>
    <mergeCell ref="H197:I197"/>
    <mergeCell ref="H198:I198"/>
    <mergeCell ref="H17:I17"/>
    <mergeCell ref="H26:I26"/>
    <mergeCell ref="H33:I33"/>
    <mergeCell ref="H36:I36"/>
    <mergeCell ref="H39:I39"/>
    <mergeCell ref="H45:I45"/>
    <mergeCell ref="H52:I52"/>
    <mergeCell ref="H53:I53"/>
    <mergeCell ref="M7:M8"/>
    <mergeCell ref="J2:K2"/>
    <mergeCell ref="H89:I89"/>
    <mergeCell ref="H116:I116"/>
    <mergeCell ref="H143:I143"/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3" t="s">
        <v>258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259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18"/>
      <c r="B6" s="482" t="s">
        <v>162</v>
      </c>
      <c r="C6" s="483"/>
      <c r="D6" s="483"/>
      <c r="E6" s="484"/>
      <c r="F6" s="423" t="s">
        <v>3</v>
      </c>
      <c r="G6" s="423"/>
      <c r="H6" s="423"/>
      <c r="I6" s="423"/>
      <c r="J6" s="423"/>
      <c r="K6" s="423"/>
      <c r="L6" s="423"/>
      <c r="M6" s="424"/>
      <c r="N6" s="301"/>
      <c r="O6" s="423" t="s">
        <v>4</v>
      </c>
      <c r="P6" s="423"/>
      <c r="Q6" s="423"/>
      <c r="R6" s="423"/>
      <c r="S6" s="423"/>
      <c r="T6" s="423"/>
      <c r="U6" s="423"/>
      <c r="V6" s="424"/>
    </row>
    <row r="7" spans="1:22" ht="15" customHeight="1" x14ac:dyDescent="0.25">
      <c r="A7" s="481"/>
      <c r="B7" s="592" t="s">
        <v>51</v>
      </c>
      <c r="C7" s="610" t="s">
        <v>260</v>
      </c>
      <c r="D7" s="624" t="s">
        <v>261</v>
      </c>
      <c r="E7" s="626" t="s">
        <v>183</v>
      </c>
      <c r="F7" s="631" t="s">
        <v>51</v>
      </c>
      <c r="G7" s="628" t="s">
        <v>52</v>
      </c>
      <c r="H7" s="629"/>
      <c r="I7" s="629"/>
      <c r="J7" s="629"/>
      <c r="K7" s="630"/>
      <c r="L7" s="573" t="s">
        <v>183</v>
      </c>
      <c r="M7" s="575"/>
      <c r="N7" s="192"/>
      <c r="O7" s="633" t="s">
        <v>51</v>
      </c>
      <c r="P7" s="628" t="s">
        <v>52</v>
      </c>
      <c r="Q7" s="629"/>
      <c r="R7" s="629"/>
      <c r="S7" s="629"/>
      <c r="T7" s="630"/>
      <c r="U7" s="573" t="s">
        <v>183</v>
      </c>
      <c r="V7" s="575"/>
    </row>
    <row r="8" spans="1:22" ht="45.75" customHeight="1" thickBot="1" x14ac:dyDescent="0.3">
      <c r="A8" s="419"/>
      <c r="B8" s="593"/>
      <c r="C8" s="611"/>
      <c r="D8" s="625"/>
      <c r="E8" s="627"/>
      <c r="F8" s="632"/>
      <c r="G8" s="302" t="s">
        <v>262</v>
      </c>
      <c r="H8" s="303" t="s">
        <v>263</v>
      </c>
      <c r="I8" s="303" t="s">
        <v>264</v>
      </c>
      <c r="J8" s="303" t="s">
        <v>261</v>
      </c>
      <c r="K8" s="304" t="s">
        <v>136</v>
      </c>
      <c r="L8" s="218" t="s">
        <v>264</v>
      </c>
      <c r="M8" s="305" t="s">
        <v>136</v>
      </c>
      <c r="N8" s="192"/>
      <c r="O8" s="634"/>
      <c r="P8" s="302" t="s">
        <v>262</v>
      </c>
      <c r="Q8" s="303" t="s">
        <v>263</v>
      </c>
      <c r="R8" s="303" t="s">
        <v>264</v>
      </c>
      <c r="S8" s="303" t="s">
        <v>261</v>
      </c>
      <c r="T8" s="304" t="s">
        <v>138</v>
      </c>
      <c r="U8" s="218" t="s">
        <v>264</v>
      </c>
      <c r="V8" s="305" t="s">
        <v>138</v>
      </c>
    </row>
    <row r="9" spans="1:22" x14ac:dyDescent="0.25">
      <c r="A9" s="223" t="s">
        <v>50</v>
      </c>
      <c r="B9" s="224">
        <v>195914559</v>
      </c>
      <c r="C9" s="306">
        <v>17764598</v>
      </c>
      <c r="D9" s="307">
        <f t="shared" ref="D9:D19" si="0">IF(B9 &gt; 0, C9/SUM(B9,C9), "")</f>
        <v>8.3136784370597266E-2</v>
      </c>
      <c r="E9" s="224">
        <v>0</v>
      </c>
      <c r="F9" s="308">
        <v>198932858</v>
      </c>
      <c r="G9" s="306">
        <v>20255389</v>
      </c>
      <c r="H9" s="309">
        <v>0</v>
      </c>
      <c r="I9" s="309">
        <f t="shared" ref="I9:I18" si="1">SUM(G9:H9)</f>
        <v>20255389</v>
      </c>
      <c r="J9" s="310">
        <f t="shared" ref="J9:J19" si="2">IF(F9 &gt; 0, I9/SUM(F9,I9), "")</f>
        <v>9.2410926576733832E-2</v>
      </c>
      <c r="K9" s="311">
        <f t="shared" ref="K9:K19" si="3">IF($C9 &gt; 0, (I9-$C9)/$C9, "")</f>
        <v>0.14021094088366087</v>
      </c>
      <c r="L9" s="306">
        <v>0</v>
      </c>
      <c r="M9" s="311" t="str">
        <f t="shared" ref="M9:M19" si="4">IF($E9 &gt; 0, (L9-$E9)/$E9, "")</f>
        <v/>
      </c>
      <c r="N9" s="16"/>
      <c r="O9" s="224">
        <v>201160381</v>
      </c>
      <c r="P9" s="306">
        <v>17609361</v>
      </c>
      <c r="Q9" s="309">
        <v>6166212</v>
      </c>
      <c r="R9" s="309">
        <f t="shared" ref="R9:R18" si="5">SUM(P9:Q9)</f>
        <v>23775573</v>
      </c>
      <c r="S9" s="310">
        <f t="shared" ref="S9:S19" si="6">IF(O9 &gt; 0, R9/SUM(O9,R9), "")</f>
        <v>0.1056993005217832</v>
      </c>
      <c r="T9" s="311">
        <f t="shared" ref="T9:T19" si="7">IF($C9 &gt; 0, (R9-$C9)/$C9, "")</f>
        <v>0.33836819724262829</v>
      </c>
      <c r="U9" s="306">
        <v>0</v>
      </c>
      <c r="V9" s="311" t="str">
        <f t="shared" ref="V9:V19" si="8">IF($E9 &gt; 0, (U9-$E9)/$E9, "")</f>
        <v/>
      </c>
    </row>
    <row r="10" spans="1:22" x14ac:dyDescent="0.25">
      <c r="A10" s="227" t="s">
        <v>55</v>
      </c>
      <c r="B10" s="64">
        <v>10294119</v>
      </c>
      <c r="C10" s="67">
        <v>1217409</v>
      </c>
      <c r="D10" s="151">
        <f t="shared" si="0"/>
        <v>0.10575563904287945</v>
      </c>
      <c r="E10" s="64">
        <v>0</v>
      </c>
      <c r="F10" s="226">
        <v>11582851</v>
      </c>
      <c r="G10" s="67">
        <v>1028645</v>
      </c>
      <c r="H10" s="150">
        <v>0</v>
      </c>
      <c r="I10" s="150">
        <f t="shared" si="1"/>
        <v>1028645</v>
      </c>
      <c r="J10" s="312">
        <f t="shared" si="2"/>
        <v>8.1564074555469074E-2</v>
      </c>
      <c r="K10" s="151">
        <f t="shared" si="3"/>
        <v>-0.1550538890381129</v>
      </c>
      <c r="L10" s="67">
        <v>0</v>
      </c>
      <c r="M10" s="151" t="str">
        <f t="shared" si="4"/>
        <v/>
      </c>
      <c r="N10" s="20"/>
      <c r="O10" s="64">
        <v>11712584</v>
      </c>
      <c r="P10" s="67">
        <v>555970</v>
      </c>
      <c r="Q10" s="150">
        <v>0</v>
      </c>
      <c r="R10" s="150">
        <f t="shared" si="5"/>
        <v>555970</v>
      </c>
      <c r="S10" s="312">
        <f t="shared" si="6"/>
        <v>4.5316668940773297E-2</v>
      </c>
      <c r="T10" s="151">
        <f t="shared" si="7"/>
        <v>-0.54331699535653177</v>
      </c>
      <c r="U10" s="67">
        <v>0</v>
      </c>
      <c r="V10" s="151" t="str">
        <f t="shared" si="8"/>
        <v/>
      </c>
    </row>
    <row r="11" spans="1:22" x14ac:dyDescent="0.25">
      <c r="A11" s="227" t="s">
        <v>56</v>
      </c>
      <c r="B11" s="64">
        <v>12652971</v>
      </c>
      <c r="C11" s="67">
        <v>1547373</v>
      </c>
      <c r="D11" s="151">
        <f t="shared" si="0"/>
        <v>0.10896728980650046</v>
      </c>
      <c r="E11" s="64">
        <v>0</v>
      </c>
      <c r="F11" s="226">
        <v>13876602</v>
      </c>
      <c r="G11" s="67">
        <v>1181466</v>
      </c>
      <c r="H11" s="150">
        <v>0</v>
      </c>
      <c r="I11" s="150">
        <f t="shared" si="1"/>
        <v>1181466</v>
      </c>
      <c r="J11" s="312">
        <f t="shared" si="2"/>
        <v>7.8460663081080517E-2</v>
      </c>
      <c r="K11" s="151">
        <f t="shared" si="3"/>
        <v>-0.2364698104464793</v>
      </c>
      <c r="L11" s="67">
        <v>0</v>
      </c>
      <c r="M11" s="151" t="str">
        <f t="shared" si="4"/>
        <v/>
      </c>
      <c r="N11" s="20"/>
      <c r="O11" s="64">
        <v>14031986</v>
      </c>
      <c r="P11" s="67">
        <v>1683433</v>
      </c>
      <c r="Q11" s="150">
        <v>0</v>
      </c>
      <c r="R11" s="150">
        <f t="shared" si="5"/>
        <v>1683433</v>
      </c>
      <c r="S11" s="312">
        <f t="shared" si="6"/>
        <v>0.10711982925813178</v>
      </c>
      <c r="T11" s="151">
        <f t="shared" si="7"/>
        <v>8.7929671772739998E-2</v>
      </c>
      <c r="U11" s="67">
        <v>0</v>
      </c>
      <c r="V11" s="151" t="str">
        <f t="shared" si="8"/>
        <v/>
      </c>
    </row>
    <row r="12" spans="1:22" x14ac:dyDescent="0.25">
      <c r="A12" s="227" t="s">
        <v>57</v>
      </c>
      <c r="B12" s="64">
        <v>17519911</v>
      </c>
      <c r="C12" s="67">
        <v>6149332</v>
      </c>
      <c r="D12" s="151">
        <f t="shared" si="0"/>
        <v>0.25980264768078981</v>
      </c>
      <c r="E12" s="64">
        <v>0</v>
      </c>
      <c r="F12" s="226">
        <v>17463366</v>
      </c>
      <c r="G12" s="67">
        <v>5824692</v>
      </c>
      <c r="H12" s="150">
        <v>0</v>
      </c>
      <c r="I12" s="150">
        <f t="shared" si="1"/>
        <v>5824692</v>
      </c>
      <c r="J12" s="312">
        <f t="shared" si="2"/>
        <v>0.25011497309049985</v>
      </c>
      <c r="K12" s="151">
        <f t="shared" si="3"/>
        <v>-5.2792726104233759E-2</v>
      </c>
      <c r="L12" s="67">
        <v>0</v>
      </c>
      <c r="M12" s="151" t="str">
        <f t="shared" si="4"/>
        <v/>
      </c>
      <c r="N12" s="20"/>
      <c r="O12" s="64">
        <v>17658919</v>
      </c>
      <c r="P12" s="67">
        <v>5157768</v>
      </c>
      <c r="Q12" s="150">
        <v>0</v>
      </c>
      <c r="R12" s="150">
        <f t="shared" si="5"/>
        <v>5157768</v>
      </c>
      <c r="S12" s="312">
        <f t="shared" si="6"/>
        <v>0.22605245012126432</v>
      </c>
      <c r="T12" s="151">
        <f t="shared" si="7"/>
        <v>-0.16124743305451714</v>
      </c>
      <c r="U12" s="67">
        <v>0</v>
      </c>
      <c r="V12" s="151" t="str">
        <f t="shared" si="8"/>
        <v/>
      </c>
    </row>
    <row r="13" spans="1:22" x14ac:dyDescent="0.25">
      <c r="A13" s="227" t="s">
        <v>58</v>
      </c>
      <c r="B13" s="64">
        <v>102523274</v>
      </c>
      <c r="C13" s="67">
        <v>4747500</v>
      </c>
      <c r="D13" s="151">
        <f t="shared" si="0"/>
        <v>4.425716178760862E-2</v>
      </c>
      <c r="E13" s="64">
        <v>0</v>
      </c>
      <c r="F13" s="226">
        <v>104836193</v>
      </c>
      <c r="G13" s="67">
        <v>6422596</v>
      </c>
      <c r="H13" s="150">
        <v>0</v>
      </c>
      <c r="I13" s="150">
        <f t="shared" si="1"/>
        <v>6422596</v>
      </c>
      <c r="J13" s="312">
        <f t="shared" si="2"/>
        <v>5.772663946575942E-2</v>
      </c>
      <c r="K13" s="151">
        <f t="shared" si="3"/>
        <v>0.35283749341758819</v>
      </c>
      <c r="L13" s="67">
        <v>0</v>
      </c>
      <c r="M13" s="151" t="str">
        <f t="shared" si="4"/>
        <v/>
      </c>
      <c r="N13" s="20"/>
      <c r="O13" s="64">
        <v>106010155</v>
      </c>
      <c r="P13" s="67">
        <v>6097304</v>
      </c>
      <c r="Q13" s="150">
        <v>0</v>
      </c>
      <c r="R13" s="150">
        <f t="shared" si="5"/>
        <v>6097304</v>
      </c>
      <c r="S13" s="312">
        <f t="shared" si="6"/>
        <v>5.438803139762538E-2</v>
      </c>
      <c r="T13" s="151">
        <f t="shared" si="7"/>
        <v>0.2843189046866772</v>
      </c>
      <c r="U13" s="67">
        <v>0</v>
      </c>
      <c r="V13" s="151" t="str">
        <f t="shared" si="8"/>
        <v/>
      </c>
    </row>
    <row r="14" spans="1:22" x14ac:dyDescent="0.25">
      <c r="A14" s="227" t="s">
        <v>59</v>
      </c>
      <c r="B14" s="64">
        <v>23001758</v>
      </c>
      <c r="C14" s="67">
        <v>3809339</v>
      </c>
      <c r="D14" s="151">
        <f t="shared" si="0"/>
        <v>0.14208068397947313</v>
      </c>
      <c r="E14" s="64">
        <v>0</v>
      </c>
      <c r="F14" s="226">
        <v>23748637</v>
      </c>
      <c r="G14" s="67">
        <v>3226763</v>
      </c>
      <c r="H14" s="150">
        <v>0</v>
      </c>
      <c r="I14" s="150">
        <f t="shared" si="1"/>
        <v>3226763</v>
      </c>
      <c r="J14" s="312">
        <f t="shared" si="2"/>
        <v>0.11961872669172653</v>
      </c>
      <c r="K14" s="151">
        <f t="shared" si="3"/>
        <v>-0.15293361919220105</v>
      </c>
      <c r="L14" s="67">
        <v>0</v>
      </c>
      <c r="M14" s="151" t="str">
        <f t="shared" si="4"/>
        <v/>
      </c>
      <c r="N14" s="20"/>
      <c r="O14" s="64">
        <v>24014598</v>
      </c>
      <c r="P14" s="67">
        <v>4086620</v>
      </c>
      <c r="Q14" s="150">
        <v>0</v>
      </c>
      <c r="R14" s="150">
        <f t="shared" si="5"/>
        <v>4086620</v>
      </c>
      <c r="S14" s="312">
        <f t="shared" si="6"/>
        <v>0.14542501325031534</v>
      </c>
      <c r="T14" s="151">
        <f t="shared" si="7"/>
        <v>7.2789793714867587E-2</v>
      </c>
      <c r="U14" s="67">
        <v>0</v>
      </c>
      <c r="V14" s="151" t="str">
        <f t="shared" si="8"/>
        <v/>
      </c>
    </row>
    <row r="15" spans="1:22" x14ac:dyDescent="0.25">
      <c r="A15" s="227" t="s">
        <v>60</v>
      </c>
      <c r="B15" s="64">
        <v>19450392</v>
      </c>
      <c r="C15" s="67">
        <v>2445229</v>
      </c>
      <c r="D15" s="151">
        <f t="shared" si="0"/>
        <v>0.11167662246254628</v>
      </c>
      <c r="E15" s="64">
        <v>0</v>
      </c>
      <c r="F15" s="226">
        <v>19953286</v>
      </c>
      <c r="G15" s="67">
        <v>2770653</v>
      </c>
      <c r="H15" s="150">
        <v>0</v>
      </c>
      <c r="I15" s="150">
        <f t="shared" si="1"/>
        <v>2770653</v>
      </c>
      <c r="J15" s="312">
        <f t="shared" si="2"/>
        <v>0.12192661668384165</v>
      </c>
      <c r="K15" s="151">
        <f t="shared" si="3"/>
        <v>0.13308528567263025</v>
      </c>
      <c r="L15" s="67">
        <v>0</v>
      </c>
      <c r="M15" s="151" t="str">
        <f t="shared" si="4"/>
        <v/>
      </c>
      <c r="N15" s="20"/>
      <c r="O15" s="64">
        <v>20176723</v>
      </c>
      <c r="P15" s="67">
        <v>3329290</v>
      </c>
      <c r="Q15" s="150">
        <v>0</v>
      </c>
      <c r="R15" s="150">
        <f t="shared" si="5"/>
        <v>3329290</v>
      </c>
      <c r="S15" s="312">
        <f t="shared" si="6"/>
        <v>0.14163567424216092</v>
      </c>
      <c r="T15" s="151">
        <f t="shared" si="7"/>
        <v>0.36154527858126989</v>
      </c>
      <c r="U15" s="67">
        <v>0</v>
      </c>
      <c r="V15" s="151" t="str">
        <f t="shared" si="8"/>
        <v/>
      </c>
    </row>
    <row r="16" spans="1:22" x14ac:dyDescent="0.25">
      <c r="A16" s="227" t="s">
        <v>61</v>
      </c>
      <c r="B16" s="64">
        <v>116348719</v>
      </c>
      <c r="C16" s="67">
        <v>13859764</v>
      </c>
      <c r="D16" s="151">
        <f t="shared" si="0"/>
        <v>0.10644286517031305</v>
      </c>
      <c r="E16" s="64">
        <v>9600000</v>
      </c>
      <c r="F16" s="226">
        <v>118093950</v>
      </c>
      <c r="G16" s="67">
        <v>12670613</v>
      </c>
      <c r="H16" s="150">
        <v>0</v>
      </c>
      <c r="I16" s="150">
        <f t="shared" si="1"/>
        <v>12670613</v>
      </c>
      <c r="J16" s="312">
        <f t="shared" si="2"/>
        <v>9.6896381629019784E-2</v>
      </c>
      <c r="K16" s="151">
        <f t="shared" si="3"/>
        <v>-8.5798791379131711E-2</v>
      </c>
      <c r="L16" s="67">
        <v>0</v>
      </c>
      <c r="M16" s="151">
        <f t="shared" si="4"/>
        <v>-1</v>
      </c>
      <c r="N16" s="20"/>
      <c r="O16" s="64">
        <v>119416137</v>
      </c>
      <c r="P16" s="67">
        <v>10475279</v>
      </c>
      <c r="Q16" s="150">
        <v>0</v>
      </c>
      <c r="R16" s="150">
        <f t="shared" si="5"/>
        <v>10475279</v>
      </c>
      <c r="S16" s="312">
        <f t="shared" si="6"/>
        <v>8.064643009203934E-2</v>
      </c>
      <c r="T16" s="151">
        <f t="shared" si="7"/>
        <v>-0.24419499495085198</v>
      </c>
      <c r="U16" s="67">
        <v>0</v>
      </c>
      <c r="V16" s="151">
        <f t="shared" si="8"/>
        <v>-1</v>
      </c>
    </row>
    <row r="17" spans="1:22" x14ac:dyDescent="0.25">
      <c r="A17" s="227" t="s">
        <v>62</v>
      </c>
      <c r="B17" s="64">
        <v>0</v>
      </c>
      <c r="C17" s="67">
        <v>0</v>
      </c>
      <c r="D17" s="151" t="str">
        <f t="shared" si="0"/>
        <v/>
      </c>
      <c r="E17" s="64">
        <v>0</v>
      </c>
      <c r="F17" s="226">
        <v>0</v>
      </c>
      <c r="G17" s="67">
        <v>0</v>
      </c>
      <c r="H17" s="150">
        <v>0</v>
      </c>
      <c r="I17" s="150">
        <f t="shared" si="1"/>
        <v>0</v>
      </c>
      <c r="J17" s="312" t="str">
        <f t="shared" si="2"/>
        <v/>
      </c>
      <c r="K17" s="151" t="str">
        <f t="shared" si="3"/>
        <v/>
      </c>
      <c r="L17" s="67">
        <v>0</v>
      </c>
      <c r="M17" s="151" t="str">
        <f t="shared" si="4"/>
        <v/>
      </c>
      <c r="N17" s="20"/>
      <c r="O17" s="64">
        <v>4850000</v>
      </c>
      <c r="P17" s="67">
        <v>0</v>
      </c>
      <c r="Q17" s="150">
        <v>0</v>
      </c>
      <c r="R17" s="150">
        <f t="shared" si="5"/>
        <v>0</v>
      </c>
      <c r="S17" s="312">
        <f t="shared" si="6"/>
        <v>0</v>
      </c>
      <c r="T17" s="151" t="str">
        <f t="shared" si="7"/>
        <v/>
      </c>
      <c r="U17" s="67">
        <v>0</v>
      </c>
      <c r="V17" s="151" t="str">
        <f t="shared" si="8"/>
        <v/>
      </c>
    </row>
    <row r="18" spans="1:22" ht="15.75" customHeight="1" thickBot="1" x14ac:dyDescent="0.3">
      <c r="A18" s="227" t="s">
        <v>63</v>
      </c>
      <c r="B18" s="64">
        <v>0</v>
      </c>
      <c r="C18" s="67">
        <v>0</v>
      </c>
      <c r="D18" s="151" t="str">
        <f t="shared" si="0"/>
        <v/>
      </c>
      <c r="E18" s="64">
        <v>6250000</v>
      </c>
      <c r="F18" s="226">
        <v>0</v>
      </c>
      <c r="G18" s="67">
        <v>0</v>
      </c>
      <c r="H18" s="150">
        <v>0</v>
      </c>
      <c r="I18" s="150">
        <f t="shared" si="1"/>
        <v>0</v>
      </c>
      <c r="J18" s="312" t="str">
        <f t="shared" si="2"/>
        <v/>
      </c>
      <c r="K18" s="151" t="str">
        <f t="shared" si="3"/>
        <v/>
      </c>
      <c r="L18" s="67">
        <v>9000000</v>
      </c>
      <c r="M18" s="151">
        <f t="shared" si="4"/>
        <v>0.44</v>
      </c>
      <c r="N18" s="20"/>
      <c r="O18" s="64">
        <v>0</v>
      </c>
      <c r="P18" s="67">
        <v>0</v>
      </c>
      <c r="Q18" s="150">
        <v>0</v>
      </c>
      <c r="R18" s="150">
        <f t="shared" si="5"/>
        <v>0</v>
      </c>
      <c r="S18" s="312" t="str">
        <f t="shared" si="6"/>
        <v/>
      </c>
      <c r="T18" s="151" t="str">
        <f t="shared" si="7"/>
        <v/>
      </c>
      <c r="U18" s="67">
        <v>6000000</v>
      </c>
      <c r="V18" s="151">
        <f t="shared" si="8"/>
        <v>-0.04</v>
      </c>
    </row>
    <row r="19" spans="1:22" ht="15.75" customHeight="1" thickTop="1" x14ac:dyDescent="0.25">
      <c r="A19" s="228" t="s">
        <v>126</v>
      </c>
      <c r="B19" s="229">
        <f>SUM(B9:B18)</f>
        <v>497705703</v>
      </c>
      <c r="C19" s="230">
        <f>SUM(C9:C18)</f>
        <v>51540544</v>
      </c>
      <c r="D19" s="313">
        <f t="shared" si="0"/>
        <v>9.3838682160353473E-2</v>
      </c>
      <c r="E19" s="229">
        <f>SUM(E9:E18)</f>
        <v>15850000</v>
      </c>
      <c r="F19" s="231">
        <f>SUM(F9:F18)</f>
        <v>508487743</v>
      </c>
      <c r="G19" s="230">
        <f>SUM(G9:G18)</f>
        <v>53380817</v>
      </c>
      <c r="H19" s="232">
        <f>SUM(H9:H18)</f>
        <v>0</v>
      </c>
      <c r="I19" s="232">
        <f>SUM(I9:I18)</f>
        <v>53380817</v>
      </c>
      <c r="J19" s="314">
        <f t="shared" si="2"/>
        <v>9.5005880022900724E-2</v>
      </c>
      <c r="K19" s="313">
        <f t="shared" si="3"/>
        <v>3.57053468430601E-2</v>
      </c>
      <c r="L19" s="230">
        <f>SUM(L9:L18)</f>
        <v>9000000</v>
      </c>
      <c r="M19" s="313">
        <f t="shared" si="4"/>
        <v>-0.43217665615141954</v>
      </c>
      <c r="N19" s="315"/>
      <c r="O19" s="229">
        <f>SUM(O9:O18)</f>
        <v>519031483</v>
      </c>
      <c r="P19" s="230">
        <f>SUM(P9:P18)</f>
        <v>48995025</v>
      </c>
      <c r="Q19" s="232">
        <f>SUM(Q9:Q18)</f>
        <v>6166212</v>
      </c>
      <c r="R19" s="232">
        <f>SUM(R9:R18)</f>
        <v>55161237</v>
      </c>
      <c r="S19" s="314">
        <f t="shared" si="6"/>
        <v>9.6067461461371365E-2</v>
      </c>
      <c r="T19" s="313">
        <f t="shared" si="7"/>
        <v>7.0249413743091266E-2</v>
      </c>
      <c r="U19" s="230">
        <f>SUM(U9:U18)</f>
        <v>6000000</v>
      </c>
      <c r="V19" s="313">
        <f t="shared" si="8"/>
        <v>-0.62145110410094639</v>
      </c>
    </row>
    <row r="20" spans="1:22" x14ac:dyDescent="0.25">
      <c r="A20" s="235"/>
      <c r="B20" s="236"/>
      <c r="C20" s="237"/>
      <c r="D20" s="261"/>
      <c r="E20" s="236"/>
      <c r="F20" s="242"/>
      <c r="G20" s="237"/>
      <c r="H20" s="239"/>
      <c r="I20" s="239"/>
      <c r="J20" s="316"/>
      <c r="K20" s="266"/>
      <c r="L20" s="237"/>
      <c r="M20" s="266"/>
      <c r="N20" s="20"/>
      <c r="O20" s="236"/>
      <c r="P20" s="237"/>
      <c r="Q20" s="239"/>
      <c r="R20" s="239"/>
      <c r="S20" s="316"/>
      <c r="T20" s="266"/>
      <c r="U20" s="237"/>
      <c r="V20" s="266"/>
    </row>
    <row r="21" spans="1:22" x14ac:dyDescent="0.25">
      <c r="A21" s="227" t="s">
        <v>66</v>
      </c>
      <c r="B21" s="64">
        <v>242087025</v>
      </c>
      <c r="C21" s="67">
        <v>21259606</v>
      </c>
      <c r="D21" s="151">
        <f t="shared" ref="D21:D26" si="9">IF(B21 &gt; 0, C21/SUM(B21,C21), "")</f>
        <v>8.0728604422511105E-2</v>
      </c>
      <c r="E21" s="64">
        <v>6250000</v>
      </c>
      <c r="F21" s="226">
        <v>234698172</v>
      </c>
      <c r="G21" s="67">
        <v>19907318</v>
      </c>
      <c r="H21" s="150">
        <v>0</v>
      </c>
      <c r="I21" s="150">
        <f>SUM(G21:H21)</f>
        <v>19907318</v>
      </c>
      <c r="J21" s="312">
        <f t="shared" ref="J21:J26" si="10">IF(F21 &gt; 0, I21/SUM(F21,I21), "")</f>
        <v>7.8188879587788931E-2</v>
      </c>
      <c r="K21" s="151">
        <f t="shared" ref="K21:K26" si="11">IF($C21 &gt; 0, (I21-$C21)/$C21, "")</f>
        <v>-6.3608328395173455E-2</v>
      </c>
      <c r="L21" s="67">
        <v>0</v>
      </c>
      <c r="M21" s="151">
        <f t="shared" ref="M21:M26" si="12">IF($E21 &gt; 0, (L21-$E21)/$E21, "")</f>
        <v>-1</v>
      </c>
      <c r="N21" s="20"/>
      <c r="O21" s="64">
        <v>237325823</v>
      </c>
      <c r="P21" s="67">
        <v>19129195</v>
      </c>
      <c r="Q21" s="150">
        <v>5419982</v>
      </c>
      <c r="R21" s="150">
        <f>SUM(P21:Q21)</f>
        <v>24549177</v>
      </c>
      <c r="S21" s="312">
        <f t="shared" ref="S21:S26" si="13">IF(O21 &gt; 0, R21/SUM(O21,R21), "")</f>
        <v>9.3743873985680196E-2</v>
      </c>
      <c r="T21" s="151">
        <f t="shared" ref="T21:T26" si="14">IF($C21 &gt; 0, (R21-$C21)/$C21, "")</f>
        <v>0.15473339440063</v>
      </c>
      <c r="U21" s="67">
        <v>0</v>
      </c>
      <c r="V21" s="151">
        <f t="shared" ref="V21:V26" si="15">IF($E21 &gt; 0, (U21-$E21)/$E21, "")</f>
        <v>-1</v>
      </c>
    </row>
    <row r="22" spans="1:22" x14ac:dyDescent="0.25">
      <c r="A22" s="227" t="s">
        <v>67</v>
      </c>
      <c r="B22" s="64">
        <v>42234228</v>
      </c>
      <c r="C22" s="67">
        <v>2085627</v>
      </c>
      <c r="D22" s="151">
        <f t="shared" si="9"/>
        <v>4.7058524898152307E-2</v>
      </c>
      <c r="E22" s="64">
        <v>1200000</v>
      </c>
      <c r="F22" s="226">
        <v>43723125</v>
      </c>
      <c r="G22" s="67">
        <v>1636805</v>
      </c>
      <c r="H22" s="150">
        <v>0</v>
      </c>
      <c r="I22" s="150">
        <f>SUM(G22:H22)</f>
        <v>1636805</v>
      </c>
      <c r="J22" s="312">
        <f t="shared" si="10"/>
        <v>3.6084822000386686E-2</v>
      </c>
      <c r="K22" s="151">
        <f t="shared" si="11"/>
        <v>-0.21519763601065769</v>
      </c>
      <c r="L22" s="67">
        <v>0</v>
      </c>
      <c r="M22" s="151">
        <f t="shared" si="12"/>
        <v>-1</v>
      </c>
      <c r="N22" s="20"/>
      <c r="O22" s="64">
        <v>44212742</v>
      </c>
      <c r="P22" s="67">
        <v>1587473</v>
      </c>
      <c r="Q22" s="150">
        <v>0</v>
      </c>
      <c r="R22" s="150">
        <f>SUM(P22:Q22)</f>
        <v>1587473</v>
      </c>
      <c r="S22" s="312">
        <f t="shared" si="13"/>
        <v>3.4660819823662398E-2</v>
      </c>
      <c r="T22" s="151">
        <f t="shared" si="14"/>
        <v>-0.23885095465296527</v>
      </c>
      <c r="U22" s="67">
        <v>0</v>
      </c>
      <c r="V22" s="151">
        <f t="shared" si="15"/>
        <v>-1</v>
      </c>
    </row>
    <row r="23" spans="1:22" x14ac:dyDescent="0.25">
      <c r="A23" s="227" t="s">
        <v>68</v>
      </c>
      <c r="B23" s="64">
        <v>41810093</v>
      </c>
      <c r="C23" s="67">
        <v>4194001</v>
      </c>
      <c r="D23" s="151">
        <f t="shared" si="9"/>
        <v>9.1165821024537505E-2</v>
      </c>
      <c r="E23" s="64">
        <v>0</v>
      </c>
      <c r="F23" s="226">
        <v>42206513</v>
      </c>
      <c r="G23" s="67">
        <v>3582947</v>
      </c>
      <c r="H23" s="150">
        <v>0</v>
      </c>
      <c r="I23" s="150">
        <f>SUM(G23:H23)</f>
        <v>3582947</v>
      </c>
      <c r="J23" s="312">
        <f t="shared" si="10"/>
        <v>7.8248291200638753E-2</v>
      </c>
      <c r="K23" s="151">
        <f t="shared" si="11"/>
        <v>-0.14569715171741732</v>
      </c>
      <c r="L23" s="67">
        <v>0</v>
      </c>
      <c r="M23" s="151" t="str">
        <f t="shared" si="12"/>
        <v/>
      </c>
      <c r="N23" s="20"/>
      <c r="O23" s="64">
        <v>42679133</v>
      </c>
      <c r="P23" s="67">
        <v>3386658</v>
      </c>
      <c r="Q23" s="150">
        <v>0</v>
      </c>
      <c r="R23" s="150">
        <f>SUM(P23:Q23)</f>
        <v>3386658</v>
      </c>
      <c r="S23" s="312">
        <f t="shared" si="13"/>
        <v>7.3517851891439348E-2</v>
      </c>
      <c r="T23" s="151">
        <f t="shared" si="14"/>
        <v>-0.19249947722949995</v>
      </c>
      <c r="U23" s="67">
        <v>0</v>
      </c>
      <c r="V23" s="151" t="str">
        <f t="shared" si="15"/>
        <v/>
      </c>
    </row>
    <row r="24" spans="1:22" x14ac:dyDescent="0.25">
      <c r="A24" s="227" t="s">
        <v>69</v>
      </c>
      <c r="B24" s="64">
        <v>0</v>
      </c>
      <c r="C24" s="67">
        <v>0</v>
      </c>
      <c r="D24" s="151" t="str">
        <f t="shared" si="9"/>
        <v/>
      </c>
      <c r="E24" s="64">
        <v>0</v>
      </c>
      <c r="F24" s="226">
        <v>0</v>
      </c>
      <c r="G24" s="67">
        <v>0</v>
      </c>
      <c r="H24" s="150">
        <v>0</v>
      </c>
      <c r="I24" s="150">
        <f>SUM(G24:H24)</f>
        <v>0</v>
      </c>
      <c r="J24" s="312" t="str">
        <f t="shared" si="10"/>
        <v/>
      </c>
      <c r="K24" s="151" t="str">
        <f t="shared" si="11"/>
        <v/>
      </c>
      <c r="L24" s="67">
        <v>0</v>
      </c>
      <c r="M24" s="151" t="str">
        <f t="shared" si="12"/>
        <v/>
      </c>
      <c r="N24" s="20"/>
      <c r="O24" s="64">
        <v>0</v>
      </c>
      <c r="P24" s="67">
        <v>0</v>
      </c>
      <c r="Q24" s="150">
        <v>0</v>
      </c>
      <c r="R24" s="150">
        <f>SUM(P24:Q24)</f>
        <v>0</v>
      </c>
      <c r="S24" s="312" t="str">
        <f t="shared" si="13"/>
        <v/>
      </c>
      <c r="T24" s="151" t="str">
        <f t="shared" si="14"/>
        <v/>
      </c>
      <c r="U24" s="67">
        <v>0</v>
      </c>
      <c r="V24" s="151" t="str">
        <f t="shared" si="15"/>
        <v/>
      </c>
    </row>
    <row r="25" spans="1:22" ht="15.75" customHeight="1" thickBot="1" x14ac:dyDescent="0.3">
      <c r="A25" s="227" t="s">
        <v>70</v>
      </c>
      <c r="B25" s="64">
        <v>0</v>
      </c>
      <c r="C25" s="67">
        <v>0</v>
      </c>
      <c r="D25" s="151" t="str">
        <f t="shared" si="9"/>
        <v/>
      </c>
      <c r="E25" s="64">
        <v>0</v>
      </c>
      <c r="F25" s="226">
        <v>0</v>
      </c>
      <c r="G25" s="67">
        <v>0</v>
      </c>
      <c r="H25" s="150">
        <v>0</v>
      </c>
      <c r="I25" s="150">
        <f>SUM(G25:H25)</f>
        <v>0</v>
      </c>
      <c r="J25" s="312" t="str">
        <f t="shared" si="10"/>
        <v/>
      </c>
      <c r="K25" s="151" t="str">
        <f t="shared" si="11"/>
        <v/>
      </c>
      <c r="L25" s="67">
        <v>2000000</v>
      </c>
      <c r="M25" s="151" t="str">
        <f t="shared" si="12"/>
        <v/>
      </c>
      <c r="N25" s="20"/>
      <c r="O25" s="64">
        <v>0</v>
      </c>
      <c r="P25" s="67">
        <v>0</v>
      </c>
      <c r="Q25" s="150">
        <v>0</v>
      </c>
      <c r="R25" s="150">
        <f>SUM(P25:Q25)</f>
        <v>0</v>
      </c>
      <c r="S25" s="312" t="str">
        <f t="shared" si="13"/>
        <v/>
      </c>
      <c r="T25" s="151" t="str">
        <f t="shared" si="14"/>
        <v/>
      </c>
      <c r="U25" s="67">
        <v>2000000</v>
      </c>
      <c r="V25" s="151" t="str">
        <f t="shared" si="15"/>
        <v/>
      </c>
    </row>
    <row r="26" spans="1:22" ht="15.75" customHeight="1" thickTop="1" x14ac:dyDescent="0.25">
      <c r="A26" s="228" t="s">
        <v>127</v>
      </c>
      <c r="B26" s="229">
        <f>SUM(B21:B25)</f>
        <v>326131346</v>
      </c>
      <c r="C26" s="230">
        <f>SUM(C21:C25)</f>
        <v>27539234</v>
      </c>
      <c r="D26" s="313">
        <f t="shared" si="9"/>
        <v>7.7866906543371514E-2</v>
      </c>
      <c r="E26" s="229">
        <f>SUM(E21:E25)</f>
        <v>7450000</v>
      </c>
      <c r="F26" s="231">
        <f>SUM(F21:F25)</f>
        <v>320627810</v>
      </c>
      <c r="G26" s="230">
        <f>SUM(G21:G25)</f>
        <v>25127070</v>
      </c>
      <c r="H26" s="232">
        <f>SUM(H21:H25)</f>
        <v>0</v>
      </c>
      <c r="I26" s="232">
        <f>SUM(I21:I25)</f>
        <v>25127070</v>
      </c>
      <c r="J26" s="314">
        <f t="shared" si="10"/>
        <v>7.2673074057551981E-2</v>
      </c>
      <c r="K26" s="313">
        <f t="shared" si="11"/>
        <v>-8.7590090559526823E-2</v>
      </c>
      <c r="L26" s="230">
        <f>SUM(L21:L25)</f>
        <v>2000000</v>
      </c>
      <c r="M26" s="313">
        <f t="shared" si="12"/>
        <v>-0.73154362416107388</v>
      </c>
      <c r="N26" s="315"/>
      <c r="O26" s="229">
        <f>SUM(O21:O25)</f>
        <v>324217698</v>
      </c>
      <c r="P26" s="230">
        <f>SUM(P21:P25)</f>
        <v>24103326</v>
      </c>
      <c r="Q26" s="232">
        <f>SUM(Q21:Q25)</f>
        <v>5419982</v>
      </c>
      <c r="R26" s="232">
        <f>SUM(R21:R25)</f>
        <v>29523308</v>
      </c>
      <c r="S26" s="314">
        <f t="shared" si="13"/>
        <v>8.3460236442025604E-2</v>
      </c>
      <c r="T26" s="313">
        <f t="shared" si="14"/>
        <v>7.2045358995823927E-2</v>
      </c>
      <c r="U26" s="230">
        <f>SUM(U21:U25)</f>
        <v>2000000</v>
      </c>
      <c r="V26" s="313">
        <f t="shared" si="15"/>
        <v>-0.73154362416107388</v>
      </c>
    </row>
    <row r="27" spans="1:22" x14ac:dyDescent="0.25">
      <c r="A27" s="235"/>
      <c r="B27" s="236"/>
      <c r="C27" s="237"/>
      <c r="D27" s="261"/>
      <c r="E27" s="236"/>
      <c r="F27" s="242"/>
      <c r="G27" s="237"/>
      <c r="H27" s="239"/>
      <c r="I27" s="239"/>
      <c r="J27" s="316"/>
      <c r="K27" s="266"/>
      <c r="L27" s="237"/>
      <c r="M27" s="266"/>
      <c r="N27" s="20"/>
      <c r="O27" s="236"/>
      <c r="P27" s="237"/>
      <c r="Q27" s="239"/>
      <c r="R27" s="239"/>
      <c r="S27" s="316"/>
      <c r="T27" s="266"/>
      <c r="U27" s="237"/>
      <c r="V27" s="266"/>
    </row>
    <row r="28" spans="1:22" x14ac:dyDescent="0.25">
      <c r="A28" s="227" t="s">
        <v>72</v>
      </c>
      <c r="B28" s="64">
        <v>126221115</v>
      </c>
      <c r="C28" s="67">
        <v>12086113</v>
      </c>
      <c r="D28" s="151">
        <f t="shared" ref="D28:D33" si="16">IF(B28 &gt; 0, C28/SUM(B28,C28), "")</f>
        <v>8.7385982459282599E-2</v>
      </c>
      <c r="E28" s="64">
        <v>0</v>
      </c>
      <c r="F28" s="226">
        <v>131228661</v>
      </c>
      <c r="G28" s="67">
        <v>16009403</v>
      </c>
      <c r="H28" s="150">
        <v>0</v>
      </c>
      <c r="I28" s="150">
        <f>SUM(G28:H28)</f>
        <v>16009403</v>
      </c>
      <c r="J28" s="312">
        <f t="shared" ref="J28:J33" si="17">IF(F28 &gt; 0, I28/SUM(F28,I28), "")</f>
        <v>0.10873141472438812</v>
      </c>
      <c r="K28" s="151">
        <f t="shared" ref="K28:K33" si="18">IF($C28 &gt; 0, (I28-$C28)/$C28, "")</f>
        <v>0.32461139491249169</v>
      </c>
      <c r="L28" s="67">
        <v>0</v>
      </c>
      <c r="M28" s="151" t="str">
        <f t="shared" ref="M28:M33" si="19">IF($E28 &gt; 0, (L28-$E28)/$E28, "")</f>
        <v/>
      </c>
      <c r="N28" s="20"/>
      <c r="O28" s="64">
        <v>132698130</v>
      </c>
      <c r="P28" s="67">
        <v>16009763</v>
      </c>
      <c r="Q28" s="150">
        <v>6095516</v>
      </c>
      <c r="R28" s="150">
        <f>SUM(P28:Q28)</f>
        <v>22105279</v>
      </c>
      <c r="S28" s="312">
        <f t="shared" ref="S28:S33" si="20">IF(O28 &gt; 0, R28/SUM(O28,R28), "")</f>
        <v>0.14279581530404153</v>
      </c>
      <c r="T28" s="151">
        <f t="shared" ref="T28:T33" si="21">IF($C28 &gt; 0, (R28-$C28)/$C28, "")</f>
        <v>0.82898165853653694</v>
      </c>
      <c r="U28" s="67">
        <v>0</v>
      </c>
      <c r="V28" s="151" t="str">
        <f t="shared" ref="V28:V33" si="22">IF($E28 &gt; 0, (U28-$E28)/$E28, "")</f>
        <v/>
      </c>
    </row>
    <row r="29" spans="1:22" x14ac:dyDescent="0.25">
      <c r="A29" s="227" t="s">
        <v>73</v>
      </c>
      <c r="B29" s="64">
        <v>65929201</v>
      </c>
      <c r="C29" s="67">
        <v>5851421</v>
      </c>
      <c r="D29" s="151">
        <f t="shared" si="16"/>
        <v>8.1518115014383691E-2</v>
      </c>
      <c r="E29" s="64">
        <v>0</v>
      </c>
      <c r="F29" s="226">
        <v>64933548</v>
      </c>
      <c r="G29" s="67">
        <v>11984229</v>
      </c>
      <c r="H29" s="150">
        <v>0</v>
      </c>
      <c r="I29" s="150">
        <f>SUM(G29:H29)</f>
        <v>11984229</v>
      </c>
      <c r="J29" s="312">
        <f t="shared" si="17"/>
        <v>0.15580571185774128</v>
      </c>
      <c r="K29" s="151">
        <f t="shared" si="18"/>
        <v>1.0480886608569098</v>
      </c>
      <c r="L29" s="67">
        <v>0</v>
      </c>
      <c r="M29" s="151" t="str">
        <f t="shared" si="19"/>
        <v/>
      </c>
      <c r="N29" s="20"/>
      <c r="O29" s="64">
        <v>65660508</v>
      </c>
      <c r="P29" s="67">
        <v>11998774</v>
      </c>
      <c r="Q29" s="150">
        <v>0</v>
      </c>
      <c r="R29" s="150">
        <f>SUM(P29:Q29)</f>
        <v>11998774</v>
      </c>
      <c r="S29" s="312">
        <f t="shared" si="20"/>
        <v>0.15450534296724505</v>
      </c>
      <c r="T29" s="151">
        <f t="shared" si="21"/>
        <v>1.0505743818467344</v>
      </c>
      <c r="U29" s="67">
        <v>15000000</v>
      </c>
      <c r="V29" s="151" t="str">
        <f t="shared" si="22"/>
        <v/>
      </c>
    </row>
    <row r="30" spans="1:22" x14ac:dyDescent="0.25">
      <c r="A30" s="227" t="s">
        <v>74</v>
      </c>
      <c r="B30" s="64">
        <v>44858559</v>
      </c>
      <c r="C30" s="67">
        <v>8385878</v>
      </c>
      <c r="D30" s="151">
        <f t="shared" si="16"/>
        <v>0.15749773070189474</v>
      </c>
      <c r="E30" s="64">
        <v>3000000</v>
      </c>
      <c r="F30" s="226">
        <v>44837199</v>
      </c>
      <c r="G30" s="67">
        <v>9011025</v>
      </c>
      <c r="H30" s="150">
        <v>0</v>
      </c>
      <c r="I30" s="150">
        <f>SUM(G30:H30)</f>
        <v>9011025</v>
      </c>
      <c r="J30" s="312">
        <f t="shared" si="17"/>
        <v>0.167341173591909</v>
      </c>
      <c r="K30" s="151">
        <f t="shared" si="18"/>
        <v>7.4547590604108482E-2</v>
      </c>
      <c r="L30" s="67">
        <v>0</v>
      </c>
      <c r="M30" s="151">
        <f t="shared" si="19"/>
        <v>-1</v>
      </c>
      <c r="N30" s="20"/>
      <c r="O30" s="64">
        <v>45339235</v>
      </c>
      <c r="P30" s="67">
        <v>9012359</v>
      </c>
      <c r="Q30" s="150">
        <v>3220569</v>
      </c>
      <c r="R30" s="150">
        <f>SUM(P30:Q30)</f>
        <v>12232928</v>
      </c>
      <c r="S30" s="312">
        <f t="shared" si="20"/>
        <v>0.21247990977861991</v>
      </c>
      <c r="T30" s="151">
        <f t="shared" si="21"/>
        <v>0.45875339469522453</v>
      </c>
      <c r="U30" s="67">
        <v>0</v>
      </c>
      <c r="V30" s="151">
        <f t="shared" si="22"/>
        <v>-1</v>
      </c>
    </row>
    <row r="31" spans="1:22" x14ac:dyDescent="0.25">
      <c r="A31" s="227" t="s">
        <v>75</v>
      </c>
      <c r="B31" s="64">
        <v>39683252</v>
      </c>
      <c r="C31" s="67">
        <v>6206251</v>
      </c>
      <c r="D31" s="151">
        <f t="shared" si="16"/>
        <v>0.13524336927336084</v>
      </c>
      <c r="E31" s="64">
        <v>1750000</v>
      </c>
      <c r="F31" s="226">
        <v>40716413</v>
      </c>
      <c r="G31" s="67">
        <v>6209542</v>
      </c>
      <c r="H31" s="150">
        <v>0</v>
      </c>
      <c r="I31" s="150">
        <f>SUM(G31:H31)</f>
        <v>6209542</v>
      </c>
      <c r="J31" s="312">
        <f t="shared" si="17"/>
        <v>0.13232638525950086</v>
      </c>
      <c r="K31" s="151">
        <f t="shared" si="18"/>
        <v>5.3027181788168091E-4</v>
      </c>
      <c r="L31" s="67">
        <v>9250000</v>
      </c>
      <c r="M31" s="151">
        <f t="shared" si="19"/>
        <v>4.2857142857142856</v>
      </c>
      <c r="N31" s="20"/>
      <c r="O31" s="64">
        <v>41172256</v>
      </c>
      <c r="P31" s="67">
        <v>6204492</v>
      </c>
      <c r="Q31" s="150">
        <v>0</v>
      </c>
      <c r="R31" s="150">
        <f>SUM(P31:Q31)</f>
        <v>6204492</v>
      </c>
      <c r="S31" s="312">
        <f t="shared" si="20"/>
        <v>0.13096069827333864</v>
      </c>
      <c r="T31" s="151">
        <f t="shared" si="21"/>
        <v>-2.8342392210692092E-4</v>
      </c>
      <c r="U31" s="67">
        <v>12500000</v>
      </c>
      <c r="V31" s="151">
        <f t="shared" si="22"/>
        <v>6.1428571428571432</v>
      </c>
    </row>
    <row r="32" spans="1:22" ht="15.75" customHeight="1" thickBot="1" x14ac:dyDescent="0.3">
      <c r="A32" s="227" t="s">
        <v>76</v>
      </c>
      <c r="B32" s="64">
        <v>216256680</v>
      </c>
      <c r="C32" s="67">
        <v>31464827</v>
      </c>
      <c r="D32" s="151">
        <f t="shared" si="16"/>
        <v>0.12701693680557175</v>
      </c>
      <c r="E32" s="64">
        <v>0</v>
      </c>
      <c r="F32" s="226">
        <v>225705691</v>
      </c>
      <c r="G32" s="67">
        <v>30827379</v>
      </c>
      <c r="H32" s="150">
        <v>0</v>
      </c>
      <c r="I32" s="150">
        <f>SUM(G32:H32)</f>
        <v>30827379</v>
      </c>
      <c r="J32" s="312">
        <f t="shared" si="17"/>
        <v>0.12016922028805097</v>
      </c>
      <c r="K32" s="151">
        <f t="shared" si="18"/>
        <v>-2.0259065781610686E-2</v>
      </c>
      <c r="L32" s="67">
        <v>3000000</v>
      </c>
      <c r="M32" s="151" t="str">
        <f t="shared" si="19"/>
        <v/>
      </c>
      <c r="N32" s="20"/>
      <c r="O32" s="64">
        <v>228232189</v>
      </c>
      <c r="P32" s="67">
        <v>28433550</v>
      </c>
      <c r="Q32" s="150">
        <v>6197364</v>
      </c>
      <c r="R32" s="150">
        <f>SUM(P32:Q32)</f>
        <v>34630914</v>
      </c>
      <c r="S32" s="312">
        <f t="shared" si="20"/>
        <v>0.13174505514377954</v>
      </c>
      <c r="T32" s="151">
        <f t="shared" si="21"/>
        <v>0.10062305443471849</v>
      </c>
      <c r="U32" s="67">
        <v>0</v>
      </c>
      <c r="V32" s="151" t="str">
        <f t="shared" si="22"/>
        <v/>
      </c>
    </row>
    <row r="33" spans="1:22" ht="15.75" customHeight="1" thickBot="1" x14ac:dyDescent="0.3">
      <c r="A33" s="299" t="s">
        <v>47</v>
      </c>
      <c r="B33" s="246">
        <f>SUM(B19,B26,B28:B32)</f>
        <v>1316785856</v>
      </c>
      <c r="C33" s="103">
        <f>SUM(C19,C26,C28:C32)</f>
        <v>143074268</v>
      </c>
      <c r="D33" s="268">
        <f t="shared" si="16"/>
        <v>9.800546343301586E-2</v>
      </c>
      <c r="E33" s="246">
        <f>SUM(E19,E26,E28:E32)</f>
        <v>28050000</v>
      </c>
      <c r="F33" s="247">
        <f>SUM(F19,F26,F28:F32)</f>
        <v>1336537065</v>
      </c>
      <c r="G33" s="103">
        <f>SUM(G19,G26,G28:G32)</f>
        <v>152549465</v>
      </c>
      <c r="H33" s="248">
        <f>SUM(H19,H26,H28:H32)</f>
        <v>0</v>
      </c>
      <c r="I33" s="248">
        <f>SUM(I19,I26,I28:I32)</f>
        <v>152549465</v>
      </c>
      <c r="J33" s="317">
        <f t="shared" si="17"/>
        <v>0.10244499693379135</v>
      </c>
      <c r="K33" s="268">
        <f t="shared" si="18"/>
        <v>6.6225724111340548E-2</v>
      </c>
      <c r="L33" s="103">
        <f>SUM(L19,L26,L28:L32)</f>
        <v>23250000</v>
      </c>
      <c r="M33" s="268">
        <f t="shared" si="19"/>
        <v>-0.17112299465240641</v>
      </c>
      <c r="N33" s="318"/>
      <c r="O33" s="246">
        <f>SUM(O19,O26,O28:O32)</f>
        <v>1356351499</v>
      </c>
      <c r="P33" s="103">
        <f>SUM(P19,P26,P28:P32)</f>
        <v>144757289</v>
      </c>
      <c r="Q33" s="248">
        <f>SUM(Q19,Q26,Q28:Q32)</f>
        <v>27099643</v>
      </c>
      <c r="R33" s="248">
        <f>SUM(R19,R26,R28:R32)</f>
        <v>171856932</v>
      </c>
      <c r="S33" s="317">
        <f t="shared" si="20"/>
        <v>0.11245647420459755</v>
      </c>
      <c r="T33" s="268">
        <f t="shared" si="21"/>
        <v>0.20117289015240672</v>
      </c>
      <c r="U33" s="103">
        <f>SUM(U19,U26,U28:U32)</f>
        <v>35500000</v>
      </c>
      <c r="V33" s="268">
        <f t="shared" si="22"/>
        <v>0.26559714795008915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1" sqref="B1 B1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3" t="s">
        <v>265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167</v>
      </c>
    </row>
    <row r="2" spans="1:38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168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266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80" t="s">
        <v>267</v>
      </c>
      <c r="C6" s="479"/>
      <c r="D6" s="270"/>
      <c r="E6" s="27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71" t="s">
        <v>169</v>
      </c>
      <c r="C7" s="272">
        <v>4.7500000000000001E-2</v>
      </c>
      <c r="D7" s="270"/>
      <c r="E7" s="8"/>
    </row>
    <row r="8" spans="1:38" ht="15.75" customHeight="1" thickBot="1" x14ac:dyDescent="0.3">
      <c r="A8"/>
      <c r="B8" s="273" t="s">
        <v>171</v>
      </c>
      <c r="C8" s="274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39" t="s">
        <v>268</v>
      </c>
      <c r="B10" s="646" t="s">
        <v>184</v>
      </c>
      <c r="C10" s="647"/>
      <c r="D10" s="647"/>
      <c r="E10" s="648"/>
      <c r="F10" s="646" t="s">
        <v>200</v>
      </c>
      <c r="G10" s="647"/>
      <c r="H10" s="647"/>
      <c r="I10" s="648"/>
      <c r="J10" s="646" t="s">
        <v>216</v>
      </c>
      <c r="K10" s="647"/>
      <c r="L10" s="647"/>
      <c r="M10" s="648"/>
      <c r="N10" s="646" t="s">
        <v>228</v>
      </c>
      <c r="O10" s="647"/>
      <c r="P10" s="647"/>
      <c r="Q10" s="648"/>
      <c r="R10" s="646" t="s">
        <v>232</v>
      </c>
      <c r="S10" s="647"/>
      <c r="T10" s="647"/>
      <c r="U10" s="648"/>
      <c r="V10" s="646" t="s">
        <v>236</v>
      </c>
      <c r="W10" s="647"/>
      <c r="X10" s="647"/>
      <c r="Y10" s="648"/>
      <c r="Z10" s="646" t="s">
        <v>246</v>
      </c>
      <c r="AA10" s="647"/>
      <c r="AB10" s="647"/>
      <c r="AC10" s="648"/>
      <c r="AD10" s="650" t="s">
        <v>269</v>
      </c>
      <c r="AE10" s="651"/>
      <c r="AF10" s="651"/>
      <c r="AG10" s="652"/>
    </row>
    <row r="11" spans="1:38" x14ac:dyDescent="0.25">
      <c r="A11" s="640"/>
      <c r="B11" s="636" t="s">
        <v>270</v>
      </c>
      <c r="C11" s="637"/>
      <c r="D11" s="637" t="s">
        <v>271</v>
      </c>
      <c r="E11" s="649"/>
      <c r="F11" s="636" t="s">
        <v>270</v>
      </c>
      <c r="G11" s="637"/>
      <c r="H11" s="637" t="s">
        <v>271</v>
      </c>
      <c r="I11" s="649"/>
      <c r="J11" s="636" t="s">
        <v>270</v>
      </c>
      <c r="K11" s="637"/>
      <c r="L11" s="637" t="s">
        <v>271</v>
      </c>
      <c r="M11" s="649"/>
      <c r="N11" s="636" t="s">
        <v>270</v>
      </c>
      <c r="O11" s="637"/>
      <c r="P11" s="637" t="s">
        <v>271</v>
      </c>
      <c r="Q11" s="649"/>
      <c r="R11" s="636" t="s">
        <v>270</v>
      </c>
      <c r="S11" s="637"/>
      <c r="T11" s="637" t="s">
        <v>271</v>
      </c>
      <c r="U11" s="649"/>
      <c r="V11" s="636" t="s">
        <v>270</v>
      </c>
      <c r="W11" s="637"/>
      <c r="X11" s="637" t="s">
        <v>271</v>
      </c>
      <c r="Y11" s="649"/>
      <c r="Z11" s="636" t="s">
        <v>270</v>
      </c>
      <c r="AA11" s="637"/>
      <c r="AB11" s="637" t="s">
        <v>271</v>
      </c>
      <c r="AC11" s="649"/>
      <c r="AD11" s="319"/>
      <c r="AE11" s="320"/>
      <c r="AF11" s="320"/>
      <c r="AG11" s="321"/>
    </row>
    <row r="12" spans="1:38" ht="15.75" customHeight="1" thickBot="1" x14ac:dyDescent="0.3">
      <c r="A12" s="640"/>
      <c r="B12" s="638">
        <v>0</v>
      </c>
      <c r="C12" s="635"/>
      <c r="D12" s="635">
        <v>78500000</v>
      </c>
      <c r="E12" s="635"/>
      <c r="F12" s="638">
        <v>0</v>
      </c>
      <c r="G12" s="635"/>
      <c r="H12" s="635">
        <v>69000000</v>
      </c>
      <c r="I12" s="635"/>
      <c r="J12" s="638">
        <v>0</v>
      </c>
      <c r="K12" s="635"/>
      <c r="L12" s="635">
        <v>77600000</v>
      </c>
      <c r="M12" s="635"/>
      <c r="N12" s="638">
        <v>0</v>
      </c>
      <c r="O12" s="635"/>
      <c r="P12" s="635">
        <v>0</v>
      </c>
      <c r="Q12" s="635"/>
      <c r="R12" s="638">
        <v>0</v>
      </c>
      <c r="S12" s="635"/>
      <c r="T12" s="635">
        <v>41000000</v>
      </c>
      <c r="U12" s="635"/>
      <c r="V12" s="638">
        <v>0</v>
      </c>
      <c r="W12" s="635"/>
      <c r="X12" s="635">
        <v>0</v>
      </c>
      <c r="Y12" s="635"/>
      <c r="Z12" s="638">
        <v>0</v>
      </c>
      <c r="AA12" s="635"/>
      <c r="AB12" s="635">
        <v>78896594</v>
      </c>
      <c r="AC12" s="635"/>
      <c r="AD12" s="653">
        <f>SUM(B12,F12,J12,N12,R12,V12,Z12)</f>
        <v>0</v>
      </c>
      <c r="AE12" s="654"/>
      <c r="AF12" s="654"/>
      <c r="AG12" s="655"/>
      <c r="AH12"/>
      <c r="AI12"/>
      <c r="AJ12"/>
      <c r="AK12"/>
      <c r="AL12"/>
    </row>
    <row r="13" spans="1:38" x14ac:dyDescent="0.25">
      <c r="A13" s="640"/>
      <c r="B13" s="642" t="s">
        <v>52</v>
      </c>
      <c r="C13" s="643"/>
      <c r="D13" s="644" t="s">
        <v>272</v>
      </c>
      <c r="E13" s="645"/>
      <c r="F13" s="642" t="s">
        <v>52</v>
      </c>
      <c r="G13" s="643"/>
      <c r="H13" s="644" t="s">
        <v>272</v>
      </c>
      <c r="I13" s="645"/>
      <c r="J13" s="642" t="s">
        <v>52</v>
      </c>
      <c r="K13" s="643"/>
      <c r="L13" s="644" t="s">
        <v>272</v>
      </c>
      <c r="M13" s="645"/>
      <c r="N13" s="642" t="s">
        <v>52</v>
      </c>
      <c r="O13" s="643"/>
      <c r="P13" s="644" t="s">
        <v>272</v>
      </c>
      <c r="Q13" s="645"/>
      <c r="R13" s="642" t="s">
        <v>52</v>
      </c>
      <c r="S13" s="643"/>
      <c r="T13" s="644" t="s">
        <v>272</v>
      </c>
      <c r="U13" s="645"/>
      <c r="V13" s="642" t="s">
        <v>52</v>
      </c>
      <c r="W13" s="643"/>
      <c r="X13" s="644" t="s">
        <v>272</v>
      </c>
      <c r="Y13" s="645"/>
      <c r="Z13" s="642" t="s">
        <v>52</v>
      </c>
      <c r="AA13" s="643"/>
      <c r="AB13" s="644" t="s">
        <v>272</v>
      </c>
      <c r="AC13" s="645"/>
      <c r="AD13" s="642" t="s">
        <v>52</v>
      </c>
      <c r="AE13" s="643"/>
      <c r="AF13" s="656" t="s">
        <v>272</v>
      </c>
      <c r="AG13" s="657"/>
    </row>
    <row r="14" spans="1:38" ht="15.75" customHeight="1" thickBot="1" x14ac:dyDescent="0.3">
      <c r="A14" s="641"/>
      <c r="B14" s="322" t="s">
        <v>262</v>
      </c>
      <c r="C14" s="323" t="s">
        <v>263</v>
      </c>
      <c r="D14" s="324" t="s">
        <v>262</v>
      </c>
      <c r="E14" s="325" t="s">
        <v>263</v>
      </c>
      <c r="F14" s="322" t="s">
        <v>262</v>
      </c>
      <c r="G14" s="323" t="s">
        <v>263</v>
      </c>
      <c r="H14" s="324" t="s">
        <v>262</v>
      </c>
      <c r="I14" s="325" t="s">
        <v>263</v>
      </c>
      <c r="J14" s="322" t="s">
        <v>262</v>
      </c>
      <c r="K14" s="323" t="s">
        <v>263</v>
      </c>
      <c r="L14" s="324" t="s">
        <v>262</v>
      </c>
      <c r="M14" s="325" t="s">
        <v>263</v>
      </c>
      <c r="N14" s="322" t="s">
        <v>262</v>
      </c>
      <c r="O14" s="323" t="s">
        <v>263</v>
      </c>
      <c r="P14" s="324" t="s">
        <v>262</v>
      </c>
      <c r="Q14" s="325" t="s">
        <v>263</v>
      </c>
      <c r="R14" s="322" t="s">
        <v>262</v>
      </c>
      <c r="S14" s="323" t="s">
        <v>263</v>
      </c>
      <c r="T14" s="324" t="s">
        <v>262</v>
      </c>
      <c r="U14" s="325" t="s">
        <v>263</v>
      </c>
      <c r="V14" s="322" t="s">
        <v>262</v>
      </c>
      <c r="W14" s="323" t="s">
        <v>263</v>
      </c>
      <c r="X14" s="324" t="s">
        <v>262</v>
      </c>
      <c r="Y14" s="325" t="s">
        <v>263</v>
      </c>
      <c r="Z14" s="322" t="s">
        <v>262</v>
      </c>
      <c r="AA14" s="323" t="s">
        <v>263</v>
      </c>
      <c r="AB14" s="324" t="s">
        <v>262</v>
      </c>
      <c r="AC14" s="325" t="s">
        <v>263</v>
      </c>
      <c r="AD14" s="322" t="s">
        <v>262</v>
      </c>
      <c r="AE14" s="323" t="s">
        <v>263</v>
      </c>
      <c r="AF14" s="324" t="s">
        <v>262</v>
      </c>
      <c r="AG14" s="325" t="s">
        <v>263</v>
      </c>
      <c r="AH14"/>
      <c r="AI14"/>
      <c r="AJ14"/>
      <c r="AK14"/>
      <c r="AL14"/>
    </row>
    <row r="15" spans="1:38" x14ac:dyDescent="0.25">
      <c r="A15" s="326">
        <v>2017</v>
      </c>
      <c r="B15" s="327">
        <v>51540544</v>
      </c>
      <c r="C15" s="328">
        <v>0</v>
      </c>
      <c r="D15" s="10">
        <v>349966677</v>
      </c>
      <c r="E15" s="283">
        <v>0</v>
      </c>
      <c r="F15" s="327">
        <v>27539234</v>
      </c>
      <c r="G15" s="328">
        <v>0</v>
      </c>
      <c r="H15" s="10">
        <v>182133599</v>
      </c>
      <c r="I15" s="283">
        <v>0</v>
      </c>
      <c r="J15" s="327">
        <v>12086113</v>
      </c>
      <c r="K15" s="328">
        <v>0</v>
      </c>
      <c r="L15" s="10">
        <v>160665000</v>
      </c>
      <c r="M15" s="283">
        <v>0</v>
      </c>
      <c r="N15" s="327">
        <v>5851421</v>
      </c>
      <c r="O15" s="328">
        <v>0</v>
      </c>
      <c r="P15" s="10">
        <v>126765966</v>
      </c>
      <c r="Q15" s="283">
        <v>0</v>
      </c>
      <c r="R15" s="327">
        <v>8385878</v>
      </c>
      <c r="S15" s="328">
        <v>0</v>
      </c>
      <c r="T15" s="10">
        <v>70200000</v>
      </c>
      <c r="U15" s="283">
        <v>0</v>
      </c>
      <c r="V15" s="327">
        <v>6206251</v>
      </c>
      <c r="W15" s="328">
        <v>0</v>
      </c>
      <c r="X15" s="10">
        <v>51163880</v>
      </c>
      <c r="Y15" s="283">
        <v>0</v>
      </c>
      <c r="Z15" s="327">
        <v>31464827</v>
      </c>
      <c r="AA15" s="328">
        <v>0</v>
      </c>
      <c r="AB15" s="10">
        <v>235220000</v>
      </c>
      <c r="AC15" s="283">
        <v>0</v>
      </c>
      <c r="AD15" s="329">
        <f t="shared" ref="AD15:AD36" si="0">SUM(B15,F15,J15,N15,R15,V15,Z15)</f>
        <v>143074268</v>
      </c>
      <c r="AE15" s="330">
        <f t="shared" ref="AE15:AE36" si="1">SUM(C15,G15,K15,O15,S15,W15,AA15)</f>
        <v>0</v>
      </c>
      <c r="AF15" s="331">
        <f t="shared" ref="AF15:AF36" si="2">SUM(D15,H15,L15,P15,T15,X15,AB15)</f>
        <v>1176115122</v>
      </c>
      <c r="AG15" s="332">
        <f t="shared" ref="AG15:AG36" si="3">SUM(E15,I15,M15,Q15,U15,Y15,AC15)</f>
        <v>0</v>
      </c>
    </row>
    <row r="16" spans="1:38" x14ac:dyDescent="0.25">
      <c r="A16" s="326">
        <v>2018</v>
      </c>
      <c r="B16" s="327">
        <v>53380817</v>
      </c>
      <c r="C16" s="328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310500000</v>
      </c>
      <c r="E16" s="283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7">
        <v>25127070</v>
      </c>
      <c r="G16" s="328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165648192</v>
      </c>
      <c r="I16" s="283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7">
        <v>16009403</v>
      </c>
      <c r="K16" s="328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140220000</v>
      </c>
      <c r="M16" s="283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7">
        <v>11984229</v>
      </c>
      <c r="O16" s="328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120333626</v>
      </c>
      <c r="Q16" s="283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7">
        <v>9011025</v>
      </c>
      <c r="S16" s="328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63676596</v>
      </c>
      <c r="U16" s="283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7">
        <v>6209542</v>
      </c>
      <c r="W16" s="328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46750512</v>
      </c>
      <c r="Y16" s="283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7">
        <v>30827379</v>
      </c>
      <c r="AA16" s="328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214140000</v>
      </c>
      <c r="AC16" s="283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29">
        <f t="shared" si="0"/>
        <v>152549465</v>
      </c>
      <c r="AE16" s="330">
        <f t="shared" si="1"/>
        <v>0</v>
      </c>
      <c r="AF16" s="331">
        <f t="shared" si="2"/>
        <v>1061268926</v>
      </c>
      <c r="AG16" s="332">
        <f t="shared" si="3"/>
        <v>0</v>
      </c>
    </row>
    <row r="17" spans="1:33" x14ac:dyDescent="0.25">
      <c r="A17" s="326">
        <v>2019</v>
      </c>
      <c r="B17" s="327">
        <v>48995025</v>
      </c>
      <c r="C17" s="328">
        <f t="shared" si="4"/>
        <v>6166212</v>
      </c>
      <c r="D17" s="10">
        <v>273810000</v>
      </c>
      <c r="E17" s="283">
        <f t="shared" si="5"/>
        <v>76062538</v>
      </c>
      <c r="F17" s="327">
        <v>24103326</v>
      </c>
      <c r="G17" s="328">
        <f t="shared" si="6"/>
        <v>5419982</v>
      </c>
      <c r="H17" s="10">
        <v>149418121</v>
      </c>
      <c r="I17" s="283">
        <f t="shared" si="7"/>
        <v>66857518</v>
      </c>
      <c r="J17" s="327">
        <v>16009763</v>
      </c>
      <c r="K17" s="328">
        <f t="shared" si="8"/>
        <v>6095516</v>
      </c>
      <c r="L17" s="10">
        <v>130675000</v>
      </c>
      <c r="M17" s="283">
        <f t="shared" si="9"/>
        <v>75190484</v>
      </c>
      <c r="N17" s="327">
        <v>11998774</v>
      </c>
      <c r="O17" s="328">
        <f t="shared" si="10"/>
        <v>0</v>
      </c>
      <c r="P17" s="10">
        <v>113605553</v>
      </c>
      <c r="Q17" s="283">
        <f t="shared" si="11"/>
        <v>0</v>
      </c>
      <c r="R17" s="327">
        <v>9012359</v>
      </c>
      <c r="S17" s="328">
        <f t="shared" si="12"/>
        <v>3220569</v>
      </c>
      <c r="T17" s="10">
        <v>56986393</v>
      </c>
      <c r="U17" s="283">
        <f t="shared" si="13"/>
        <v>39726931</v>
      </c>
      <c r="V17" s="327">
        <v>6204492</v>
      </c>
      <c r="W17" s="328">
        <f t="shared" si="14"/>
        <v>0</v>
      </c>
      <c r="X17" s="10">
        <v>42188069</v>
      </c>
      <c r="Y17" s="283">
        <f t="shared" si="15"/>
        <v>0</v>
      </c>
      <c r="Z17" s="327">
        <v>28433550</v>
      </c>
      <c r="AA17" s="328">
        <f t="shared" si="16"/>
        <v>6197364</v>
      </c>
      <c r="AB17" s="10">
        <v>194645000</v>
      </c>
      <c r="AC17" s="283">
        <f t="shared" si="17"/>
        <v>76446818</v>
      </c>
      <c r="AD17" s="329">
        <f t="shared" si="0"/>
        <v>144757289</v>
      </c>
      <c r="AE17" s="330">
        <f t="shared" si="1"/>
        <v>27099643</v>
      </c>
      <c r="AF17" s="331">
        <f t="shared" si="2"/>
        <v>961328136</v>
      </c>
      <c r="AG17" s="332">
        <f t="shared" si="3"/>
        <v>334284289</v>
      </c>
    </row>
    <row r="18" spans="1:33" x14ac:dyDescent="0.25">
      <c r="A18" s="326">
        <v>2020</v>
      </c>
      <c r="B18" s="327">
        <v>42947349</v>
      </c>
      <c r="C18" s="328">
        <f t="shared" si="4"/>
        <v>6166212</v>
      </c>
      <c r="D18" s="10">
        <v>241895000</v>
      </c>
      <c r="E18" s="283">
        <f t="shared" si="5"/>
        <v>73509297</v>
      </c>
      <c r="F18" s="327">
        <v>22533335</v>
      </c>
      <c r="G18" s="328">
        <f t="shared" si="6"/>
        <v>5419982</v>
      </c>
      <c r="H18" s="10">
        <v>133940000</v>
      </c>
      <c r="I18" s="283">
        <f t="shared" si="7"/>
        <v>64613268</v>
      </c>
      <c r="J18" s="327">
        <v>16004513</v>
      </c>
      <c r="K18" s="328">
        <f t="shared" si="8"/>
        <v>6095516</v>
      </c>
      <c r="L18" s="10">
        <v>120730000</v>
      </c>
      <c r="M18" s="283">
        <f t="shared" si="9"/>
        <v>72666515</v>
      </c>
      <c r="N18" s="327">
        <v>12001775</v>
      </c>
      <c r="O18" s="328">
        <f t="shared" si="10"/>
        <v>0</v>
      </c>
      <c r="P18" s="10">
        <v>106562975</v>
      </c>
      <c r="Q18" s="283">
        <f t="shared" si="11"/>
        <v>0</v>
      </c>
      <c r="R18" s="327">
        <v>9006129</v>
      </c>
      <c r="S18" s="328">
        <f t="shared" si="12"/>
        <v>3220569</v>
      </c>
      <c r="T18" s="10">
        <v>50123831</v>
      </c>
      <c r="U18" s="283">
        <f t="shared" si="13"/>
        <v>38393391</v>
      </c>
      <c r="V18" s="327">
        <v>6215488</v>
      </c>
      <c r="W18" s="328">
        <f t="shared" si="14"/>
        <v>0</v>
      </c>
      <c r="X18" s="10">
        <v>37435304</v>
      </c>
      <c r="Y18" s="283">
        <f t="shared" si="15"/>
        <v>0</v>
      </c>
      <c r="Z18" s="327">
        <v>27945034</v>
      </c>
      <c r="AA18" s="328">
        <f t="shared" si="16"/>
        <v>6197364</v>
      </c>
      <c r="AB18" s="10">
        <v>174755000</v>
      </c>
      <c r="AC18" s="283">
        <f t="shared" si="17"/>
        <v>73880677</v>
      </c>
      <c r="AD18" s="329">
        <f t="shared" si="0"/>
        <v>136653623</v>
      </c>
      <c r="AE18" s="330">
        <f t="shared" si="1"/>
        <v>27099643</v>
      </c>
      <c r="AF18" s="331">
        <f t="shared" si="2"/>
        <v>865442110</v>
      </c>
      <c r="AG18" s="332">
        <f t="shared" si="3"/>
        <v>323063148</v>
      </c>
    </row>
    <row r="19" spans="1:33" x14ac:dyDescent="0.25">
      <c r="A19" s="326">
        <v>2021</v>
      </c>
      <c r="B19" s="327">
        <v>42947191</v>
      </c>
      <c r="C19" s="328">
        <f t="shared" si="4"/>
        <v>6166212</v>
      </c>
      <c r="D19" s="10">
        <v>208725000</v>
      </c>
      <c r="E19" s="283">
        <f t="shared" si="5"/>
        <v>70834777</v>
      </c>
      <c r="F19" s="327">
        <v>22281776</v>
      </c>
      <c r="G19" s="328">
        <f t="shared" si="6"/>
        <v>5419982</v>
      </c>
      <c r="H19" s="10">
        <v>117940000</v>
      </c>
      <c r="I19" s="283">
        <f t="shared" si="7"/>
        <v>62262416</v>
      </c>
      <c r="J19" s="327">
        <v>16020200</v>
      </c>
      <c r="K19" s="328">
        <f t="shared" si="8"/>
        <v>6095516</v>
      </c>
      <c r="L19" s="10">
        <v>110290000</v>
      </c>
      <c r="M19" s="283">
        <f t="shared" si="9"/>
        <v>70022659</v>
      </c>
      <c r="N19" s="327">
        <v>14364229</v>
      </c>
      <c r="O19" s="328">
        <f t="shared" si="10"/>
        <v>0</v>
      </c>
      <c r="P19" s="10">
        <v>96799283</v>
      </c>
      <c r="Q19" s="283">
        <f t="shared" si="11"/>
        <v>0</v>
      </c>
      <c r="R19" s="327">
        <v>9016119</v>
      </c>
      <c r="S19" s="328">
        <f t="shared" si="12"/>
        <v>3220569</v>
      </c>
      <c r="T19" s="10">
        <v>43058322</v>
      </c>
      <c r="U19" s="283">
        <f t="shared" si="13"/>
        <v>36996508</v>
      </c>
      <c r="V19" s="327">
        <v>6210108</v>
      </c>
      <c r="W19" s="328">
        <f t="shared" si="14"/>
        <v>0</v>
      </c>
      <c r="X19" s="10">
        <v>32500556</v>
      </c>
      <c r="Y19" s="283">
        <f t="shared" si="15"/>
        <v>0</v>
      </c>
      <c r="Z19" s="327">
        <v>26835991</v>
      </c>
      <c r="AA19" s="328">
        <f t="shared" si="16"/>
        <v>6197364</v>
      </c>
      <c r="AB19" s="10">
        <v>155115000</v>
      </c>
      <c r="AC19" s="283">
        <f t="shared" si="17"/>
        <v>71192645</v>
      </c>
      <c r="AD19" s="329">
        <f t="shared" si="0"/>
        <v>137675614</v>
      </c>
      <c r="AE19" s="330">
        <f t="shared" si="1"/>
        <v>27099643</v>
      </c>
      <c r="AF19" s="331">
        <f t="shared" si="2"/>
        <v>764428161</v>
      </c>
      <c r="AG19" s="332">
        <f t="shared" si="3"/>
        <v>311309005</v>
      </c>
    </row>
    <row r="20" spans="1:33" x14ac:dyDescent="0.25">
      <c r="A20" s="326">
        <v>2022</v>
      </c>
      <c r="B20" s="327">
        <v>32629532</v>
      </c>
      <c r="C20" s="328">
        <f t="shared" si="4"/>
        <v>6166212</v>
      </c>
      <c r="D20" s="10">
        <v>184704999</v>
      </c>
      <c r="E20" s="283">
        <f t="shared" si="5"/>
        <v>68033217</v>
      </c>
      <c r="F20" s="327">
        <v>22304688</v>
      </c>
      <c r="G20" s="328">
        <f t="shared" si="6"/>
        <v>5419982</v>
      </c>
      <c r="H20" s="10">
        <v>101110000</v>
      </c>
      <c r="I20" s="283">
        <f t="shared" si="7"/>
        <v>59799898</v>
      </c>
      <c r="J20" s="327">
        <v>14502400</v>
      </c>
      <c r="K20" s="328">
        <f t="shared" si="8"/>
        <v>6095516</v>
      </c>
      <c r="L20" s="10">
        <v>100870000</v>
      </c>
      <c r="M20" s="283">
        <f t="shared" si="9"/>
        <v>67253219</v>
      </c>
      <c r="N20" s="327">
        <v>10357473</v>
      </c>
      <c r="O20" s="328">
        <f t="shared" si="10"/>
        <v>0</v>
      </c>
      <c r="P20" s="10">
        <v>90701597</v>
      </c>
      <c r="Q20" s="283">
        <f t="shared" si="11"/>
        <v>0</v>
      </c>
      <c r="R20" s="327">
        <v>9011956</v>
      </c>
      <c r="S20" s="328">
        <f t="shared" si="12"/>
        <v>3220569</v>
      </c>
      <c r="T20" s="10">
        <v>35794251</v>
      </c>
      <c r="U20" s="283">
        <f t="shared" si="13"/>
        <v>35533273</v>
      </c>
      <c r="V20" s="327">
        <v>6204550</v>
      </c>
      <c r="W20" s="328">
        <f t="shared" si="14"/>
        <v>0</v>
      </c>
      <c r="X20" s="10">
        <v>27368147</v>
      </c>
      <c r="Y20" s="283">
        <f t="shared" si="15"/>
        <v>0</v>
      </c>
      <c r="Z20" s="327">
        <v>23243455</v>
      </c>
      <c r="AA20" s="328">
        <f t="shared" si="16"/>
        <v>6197364</v>
      </c>
      <c r="AB20" s="10">
        <v>138265000</v>
      </c>
      <c r="AC20" s="283">
        <f t="shared" si="17"/>
        <v>68376932</v>
      </c>
      <c r="AD20" s="329">
        <f t="shared" si="0"/>
        <v>118254054</v>
      </c>
      <c r="AE20" s="330">
        <f t="shared" si="1"/>
        <v>27099643</v>
      </c>
      <c r="AF20" s="331">
        <f t="shared" si="2"/>
        <v>678813994</v>
      </c>
      <c r="AG20" s="332">
        <f t="shared" si="3"/>
        <v>298996539</v>
      </c>
    </row>
    <row r="21" spans="1:33" x14ac:dyDescent="0.25">
      <c r="A21" s="326">
        <v>2023</v>
      </c>
      <c r="B21" s="327">
        <v>32519070</v>
      </c>
      <c r="C21" s="328">
        <f t="shared" si="4"/>
        <v>6166212</v>
      </c>
      <c r="D21" s="10">
        <v>159715000</v>
      </c>
      <c r="E21" s="283">
        <f t="shared" si="5"/>
        <v>65098584</v>
      </c>
      <c r="F21" s="327">
        <v>19150713</v>
      </c>
      <c r="G21" s="328">
        <f t="shared" si="6"/>
        <v>5419982</v>
      </c>
      <c r="H21" s="10">
        <v>86585000</v>
      </c>
      <c r="I21" s="283">
        <f t="shared" si="7"/>
        <v>57220411</v>
      </c>
      <c r="J21" s="327">
        <v>14505150</v>
      </c>
      <c r="K21" s="328">
        <f t="shared" si="8"/>
        <v>6095516</v>
      </c>
      <c r="L21" s="10">
        <v>91000000</v>
      </c>
      <c r="M21" s="283">
        <f t="shared" si="9"/>
        <v>64352230</v>
      </c>
      <c r="N21" s="327">
        <v>10362406</v>
      </c>
      <c r="O21" s="328">
        <f t="shared" si="10"/>
        <v>0</v>
      </c>
      <c r="P21" s="10">
        <v>84306894</v>
      </c>
      <c r="Q21" s="283">
        <f t="shared" si="11"/>
        <v>0</v>
      </c>
      <c r="R21" s="327">
        <v>6950141</v>
      </c>
      <c r="S21" s="328">
        <f t="shared" si="12"/>
        <v>3220569</v>
      </c>
      <c r="T21" s="10">
        <v>30395974</v>
      </c>
      <c r="U21" s="283">
        <f t="shared" si="13"/>
        <v>34000534</v>
      </c>
      <c r="V21" s="327">
        <v>5507270</v>
      </c>
      <c r="W21" s="328">
        <f t="shared" si="14"/>
        <v>0</v>
      </c>
      <c r="X21" s="10">
        <v>22720781</v>
      </c>
      <c r="Y21" s="283">
        <f t="shared" si="15"/>
        <v>0</v>
      </c>
      <c r="Z21" s="327">
        <v>22788882</v>
      </c>
      <c r="AA21" s="328">
        <f t="shared" si="16"/>
        <v>6197364</v>
      </c>
      <c r="AB21" s="10">
        <v>121095000</v>
      </c>
      <c r="AC21" s="283">
        <f t="shared" si="17"/>
        <v>65427472</v>
      </c>
      <c r="AD21" s="329">
        <f t="shared" si="0"/>
        <v>111783632</v>
      </c>
      <c r="AE21" s="330">
        <f t="shared" si="1"/>
        <v>27099643</v>
      </c>
      <c r="AF21" s="331">
        <f t="shared" si="2"/>
        <v>595818649</v>
      </c>
      <c r="AG21" s="332">
        <f t="shared" si="3"/>
        <v>286099231</v>
      </c>
    </row>
    <row r="22" spans="1:33" x14ac:dyDescent="0.25">
      <c r="A22" s="326">
        <v>2024</v>
      </c>
      <c r="B22" s="327">
        <v>26851583</v>
      </c>
      <c r="C22" s="328">
        <f t="shared" si="4"/>
        <v>6166212</v>
      </c>
      <c r="D22" s="10">
        <v>139375000</v>
      </c>
      <c r="E22" s="283">
        <f t="shared" si="5"/>
        <v>62024555</v>
      </c>
      <c r="F22" s="327">
        <v>18209463</v>
      </c>
      <c r="G22" s="328">
        <f t="shared" si="6"/>
        <v>5419982</v>
      </c>
      <c r="H22" s="10">
        <v>72275000</v>
      </c>
      <c r="I22" s="283">
        <f t="shared" si="7"/>
        <v>54518398</v>
      </c>
      <c r="J22" s="327">
        <v>14496600</v>
      </c>
      <c r="K22" s="328">
        <f t="shared" si="8"/>
        <v>6095516</v>
      </c>
      <c r="L22" s="10">
        <v>80670000</v>
      </c>
      <c r="M22" s="283">
        <f t="shared" si="9"/>
        <v>61313445</v>
      </c>
      <c r="N22" s="327">
        <v>10372176</v>
      </c>
      <c r="O22" s="328">
        <f t="shared" si="10"/>
        <v>0</v>
      </c>
      <c r="P22" s="10">
        <v>77592014</v>
      </c>
      <c r="Q22" s="283">
        <f t="shared" si="11"/>
        <v>0</v>
      </c>
      <c r="R22" s="327">
        <v>6955916</v>
      </c>
      <c r="S22" s="328">
        <f t="shared" si="12"/>
        <v>3220569</v>
      </c>
      <c r="T22" s="10">
        <v>24802816</v>
      </c>
      <c r="U22" s="283">
        <f t="shared" si="13"/>
        <v>32394990</v>
      </c>
      <c r="V22" s="327">
        <v>5493469</v>
      </c>
      <c r="W22" s="328">
        <f t="shared" si="14"/>
        <v>0</v>
      </c>
      <c r="X22" s="10">
        <v>17902742</v>
      </c>
      <c r="Y22" s="283">
        <f t="shared" si="15"/>
        <v>0</v>
      </c>
      <c r="Z22" s="327">
        <v>22783119</v>
      </c>
      <c r="AA22" s="328">
        <f t="shared" si="16"/>
        <v>6197364</v>
      </c>
      <c r="AB22" s="10">
        <v>103165000</v>
      </c>
      <c r="AC22" s="283">
        <f t="shared" si="17"/>
        <v>62337912</v>
      </c>
      <c r="AD22" s="329">
        <f t="shared" si="0"/>
        <v>105162326</v>
      </c>
      <c r="AE22" s="330">
        <f t="shared" si="1"/>
        <v>27099643</v>
      </c>
      <c r="AF22" s="331">
        <f t="shared" si="2"/>
        <v>515782572</v>
      </c>
      <c r="AG22" s="332">
        <f t="shared" si="3"/>
        <v>272589300</v>
      </c>
    </row>
    <row r="23" spans="1:33" x14ac:dyDescent="0.25">
      <c r="A23" s="326">
        <v>2025</v>
      </c>
      <c r="B23" s="327">
        <v>26829658</v>
      </c>
      <c r="C23" s="328">
        <f t="shared" si="4"/>
        <v>6166212</v>
      </c>
      <c r="D23" s="10">
        <v>118080000</v>
      </c>
      <c r="E23" s="283">
        <f t="shared" si="5"/>
        <v>58804509</v>
      </c>
      <c r="F23" s="327">
        <v>18208963</v>
      </c>
      <c r="G23" s="328">
        <f t="shared" si="6"/>
        <v>5419982</v>
      </c>
      <c r="H23" s="10">
        <v>57250000</v>
      </c>
      <c r="I23" s="283">
        <f t="shared" si="7"/>
        <v>51688040</v>
      </c>
      <c r="J23" s="327">
        <v>12825425</v>
      </c>
      <c r="K23" s="328">
        <f t="shared" si="8"/>
        <v>6095516</v>
      </c>
      <c r="L23" s="10">
        <v>71540000</v>
      </c>
      <c r="M23" s="283">
        <f t="shared" si="9"/>
        <v>58130317</v>
      </c>
      <c r="N23" s="327">
        <v>10373100</v>
      </c>
      <c r="O23" s="328">
        <f t="shared" si="10"/>
        <v>0</v>
      </c>
      <c r="P23" s="10">
        <v>70549786</v>
      </c>
      <c r="Q23" s="283">
        <f t="shared" si="11"/>
        <v>0</v>
      </c>
      <c r="R23" s="327">
        <v>4350860</v>
      </c>
      <c r="S23" s="328">
        <f t="shared" si="12"/>
        <v>3220569</v>
      </c>
      <c r="T23" s="10">
        <v>21634071</v>
      </c>
      <c r="U23" s="283">
        <f t="shared" si="13"/>
        <v>30713183</v>
      </c>
      <c r="V23" s="327">
        <v>3608741</v>
      </c>
      <c r="W23" s="328">
        <f t="shared" si="14"/>
        <v>0</v>
      </c>
      <c r="X23" s="10">
        <v>14797700</v>
      </c>
      <c r="Y23" s="283">
        <f t="shared" si="15"/>
        <v>0</v>
      </c>
      <c r="Z23" s="327">
        <v>22205381</v>
      </c>
      <c r="AA23" s="328">
        <f t="shared" si="16"/>
        <v>6197364</v>
      </c>
      <c r="AB23" s="10">
        <v>85045000</v>
      </c>
      <c r="AC23" s="283">
        <f t="shared" si="17"/>
        <v>59101599</v>
      </c>
      <c r="AD23" s="329">
        <f t="shared" si="0"/>
        <v>98402128</v>
      </c>
      <c r="AE23" s="330">
        <f t="shared" si="1"/>
        <v>27099643</v>
      </c>
      <c r="AF23" s="331">
        <f t="shared" si="2"/>
        <v>438896557</v>
      </c>
      <c r="AG23" s="332">
        <f t="shared" si="3"/>
        <v>258437648</v>
      </c>
    </row>
    <row r="24" spans="1:33" x14ac:dyDescent="0.25">
      <c r="A24" s="326">
        <v>2026</v>
      </c>
      <c r="B24" s="327">
        <v>24775972</v>
      </c>
      <c r="C24" s="328">
        <f t="shared" si="4"/>
        <v>6166212</v>
      </c>
      <c r="D24" s="10">
        <v>97855000</v>
      </c>
      <c r="E24" s="283">
        <f t="shared" si="5"/>
        <v>55431512</v>
      </c>
      <c r="F24" s="327">
        <v>17707713</v>
      </c>
      <c r="G24" s="328">
        <f t="shared" si="6"/>
        <v>5419982</v>
      </c>
      <c r="H24" s="10">
        <v>41975000</v>
      </c>
      <c r="I24" s="283">
        <f t="shared" si="7"/>
        <v>48723240</v>
      </c>
      <c r="J24" s="327">
        <v>12823750</v>
      </c>
      <c r="K24" s="328">
        <f t="shared" si="8"/>
        <v>6095516</v>
      </c>
      <c r="L24" s="10">
        <v>61970000</v>
      </c>
      <c r="M24" s="283">
        <f t="shared" si="9"/>
        <v>54795991</v>
      </c>
      <c r="N24" s="327">
        <v>9810362</v>
      </c>
      <c r="O24" s="328">
        <f t="shared" si="10"/>
        <v>0</v>
      </c>
      <c r="P24" s="10">
        <v>63768308</v>
      </c>
      <c r="Q24" s="283">
        <f t="shared" si="11"/>
        <v>0</v>
      </c>
      <c r="R24" s="327">
        <v>4354191</v>
      </c>
      <c r="S24" s="328">
        <f t="shared" si="12"/>
        <v>3220569</v>
      </c>
      <c r="T24" s="10">
        <v>18288998</v>
      </c>
      <c r="U24" s="283">
        <f t="shared" si="13"/>
        <v>28951490</v>
      </c>
      <c r="V24" s="327">
        <v>3605072</v>
      </c>
      <c r="W24" s="328">
        <f t="shared" si="14"/>
        <v>0</v>
      </c>
      <c r="X24" s="10">
        <v>11598302</v>
      </c>
      <c r="Y24" s="283">
        <f t="shared" si="15"/>
        <v>0</v>
      </c>
      <c r="Z24" s="327">
        <v>22896052</v>
      </c>
      <c r="AA24" s="328">
        <f t="shared" si="16"/>
        <v>6197364</v>
      </c>
      <c r="AB24" s="10">
        <v>65415000</v>
      </c>
      <c r="AC24" s="283">
        <f t="shared" si="17"/>
        <v>55711560</v>
      </c>
      <c r="AD24" s="329">
        <f t="shared" si="0"/>
        <v>95973112</v>
      </c>
      <c r="AE24" s="330">
        <f t="shared" si="1"/>
        <v>27099643</v>
      </c>
      <c r="AF24" s="331">
        <f t="shared" si="2"/>
        <v>360870608</v>
      </c>
      <c r="AG24" s="332">
        <f t="shared" si="3"/>
        <v>243613793</v>
      </c>
    </row>
    <row r="25" spans="1:33" x14ac:dyDescent="0.25">
      <c r="A25" s="326">
        <v>2027</v>
      </c>
      <c r="B25" s="327">
        <v>24782957</v>
      </c>
      <c r="C25" s="328">
        <f t="shared" si="4"/>
        <v>6166212</v>
      </c>
      <c r="D25" s="10">
        <v>76620000</v>
      </c>
      <c r="E25" s="283">
        <f t="shared" si="5"/>
        <v>51898297</v>
      </c>
      <c r="F25" s="327">
        <v>14228963</v>
      </c>
      <c r="G25" s="328">
        <f t="shared" si="6"/>
        <v>5419982</v>
      </c>
      <c r="H25" s="10">
        <v>29415000</v>
      </c>
      <c r="I25" s="283">
        <f t="shared" si="7"/>
        <v>45617611</v>
      </c>
      <c r="J25" s="327">
        <v>11311375</v>
      </c>
      <c r="K25" s="328">
        <f t="shared" si="8"/>
        <v>6095516</v>
      </c>
      <c r="L25" s="10">
        <v>53480000</v>
      </c>
      <c r="M25" s="283">
        <f t="shared" si="9"/>
        <v>51303285</v>
      </c>
      <c r="N25" s="327">
        <v>9907340</v>
      </c>
      <c r="O25" s="328">
        <f t="shared" si="10"/>
        <v>0</v>
      </c>
      <c r="P25" s="10">
        <v>56630089</v>
      </c>
      <c r="Q25" s="283">
        <f t="shared" si="11"/>
        <v>0</v>
      </c>
      <c r="R25" s="327">
        <v>4353616</v>
      </c>
      <c r="S25" s="328">
        <f t="shared" si="12"/>
        <v>3220569</v>
      </c>
      <c r="T25" s="10">
        <v>14761822</v>
      </c>
      <c r="U25" s="283">
        <f t="shared" si="13"/>
        <v>27106117</v>
      </c>
      <c r="V25" s="327">
        <v>3100022</v>
      </c>
      <c r="W25" s="328">
        <f t="shared" si="14"/>
        <v>0</v>
      </c>
      <c r="X25" s="10">
        <v>8802777</v>
      </c>
      <c r="Y25" s="283">
        <f t="shared" si="15"/>
        <v>0</v>
      </c>
      <c r="Z25" s="327">
        <v>23139645</v>
      </c>
      <c r="AA25" s="328">
        <f t="shared" si="16"/>
        <v>6197364</v>
      </c>
      <c r="AB25" s="10">
        <v>44665000</v>
      </c>
      <c r="AC25" s="283">
        <f t="shared" si="17"/>
        <v>52160495</v>
      </c>
      <c r="AD25" s="329">
        <f t="shared" si="0"/>
        <v>90823918</v>
      </c>
      <c r="AE25" s="330">
        <f t="shared" si="1"/>
        <v>27099643</v>
      </c>
      <c r="AF25" s="331">
        <f t="shared" si="2"/>
        <v>284374688</v>
      </c>
      <c r="AG25" s="332">
        <f t="shared" si="3"/>
        <v>228085805</v>
      </c>
    </row>
    <row r="26" spans="1:33" x14ac:dyDescent="0.25">
      <c r="A26" s="326">
        <v>2028</v>
      </c>
      <c r="B26" s="327">
        <v>15087657</v>
      </c>
      <c r="C26" s="328">
        <f t="shared" si="4"/>
        <v>6166212</v>
      </c>
      <c r="D26" s="10">
        <v>64320000</v>
      </c>
      <c r="E26" s="283">
        <f t="shared" si="5"/>
        <v>48197254</v>
      </c>
      <c r="F26" s="327">
        <v>9279663</v>
      </c>
      <c r="G26" s="328">
        <f t="shared" si="6"/>
        <v>5419982</v>
      </c>
      <c r="H26" s="10">
        <v>21405000</v>
      </c>
      <c r="I26" s="283">
        <f t="shared" si="7"/>
        <v>42364466</v>
      </c>
      <c r="J26" s="327">
        <v>11292169</v>
      </c>
      <c r="K26" s="328">
        <f t="shared" si="8"/>
        <v>6095516</v>
      </c>
      <c r="L26" s="10">
        <v>44590000</v>
      </c>
      <c r="M26" s="283">
        <f t="shared" si="9"/>
        <v>47644674</v>
      </c>
      <c r="N26" s="327">
        <v>8106794</v>
      </c>
      <c r="O26" s="328">
        <f t="shared" si="10"/>
        <v>0</v>
      </c>
      <c r="P26" s="10">
        <v>51032464</v>
      </c>
      <c r="Q26" s="283">
        <f t="shared" si="11"/>
        <v>0</v>
      </c>
      <c r="R26" s="327">
        <v>4353704</v>
      </c>
      <c r="S26" s="328">
        <f t="shared" si="12"/>
        <v>3220569</v>
      </c>
      <c r="T26" s="10">
        <v>11041730</v>
      </c>
      <c r="U26" s="283">
        <f t="shared" si="13"/>
        <v>25173088</v>
      </c>
      <c r="V26" s="327">
        <v>2402535</v>
      </c>
      <c r="W26" s="328">
        <f t="shared" si="14"/>
        <v>0</v>
      </c>
      <c r="X26" s="10">
        <v>6625335</v>
      </c>
      <c r="Y26" s="283">
        <f t="shared" si="15"/>
        <v>0</v>
      </c>
      <c r="Z26" s="327">
        <v>15031941</v>
      </c>
      <c r="AA26" s="328">
        <f t="shared" si="16"/>
        <v>6197364</v>
      </c>
      <c r="AB26" s="10">
        <v>31270000</v>
      </c>
      <c r="AC26" s="283">
        <f t="shared" si="17"/>
        <v>48440754</v>
      </c>
      <c r="AD26" s="329">
        <f t="shared" si="0"/>
        <v>65554463</v>
      </c>
      <c r="AE26" s="330">
        <f t="shared" si="1"/>
        <v>27099643</v>
      </c>
      <c r="AF26" s="331">
        <f t="shared" si="2"/>
        <v>230284529</v>
      </c>
      <c r="AG26" s="332">
        <f t="shared" si="3"/>
        <v>211820236</v>
      </c>
    </row>
    <row r="27" spans="1:33" x14ac:dyDescent="0.25">
      <c r="A27" s="326">
        <v>2029</v>
      </c>
      <c r="B27" s="327">
        <v>13818922</v>
      </c>
      <c r="C27" s="328">
        <f t="shared" si="4"/>
        <v>6166212</v>
      </c>
      <c r="D27" s="10">
        <v>52835000</v>
      </c>
      <c r="E27" s="283">
        <f t="shared" si="5"/>
        <v>44320412</v>
      </c>
      <c r="F27" s="327">
        <v>3783763</v>
      </c>
      <c r="G27" s="328">
        <f t="shared" si="6"/>
        <v>5419982</v>
      </c>
      <c r="H27" s="10">
        <v>18630000</v>
      </c>
      <c r="I27" s="283">
        <f t="shared" si="7"/>
        <v>38956795</v>
      </c>
      <c r="J27" s="327">
        <v>8214725</v>
      </c>
      <c r="K27" s="328">
        <f t="shared" si="8"/>
        <v>6095516</v>
      </c>
      <c r="L27" s="10">
        <v>38415000</v>
      </c>
      <c r="M27" s="283">
        <f t="shared" si="9"/>
        <v>43812280</v>
      </c>
      <c r="N27" s="327">
        <v>8103547</v>
      </c>
      <c r="O27" s="328">
        <f t="shared" si="10"/>
        <v>0</v>
      </c>
      <c r="P27" s="10">
        <v>45162588</v>
      </c>
      <c r="Q27" s="283">
        <f t="shared" si="11"/>
        <v>0</v>
      </c>
      <c r="R27" s="327">
        <v>4349022</v>
      </c>
      <c r="S27" s="328">
        <f t="shared" si="12"/>
        <v>3220569</v>
      </c>
      <c r="T27" s="10">
        <v>7122871</v>
      </c>
      <c r="U27" s="283">
        <f t="shared" si="13"/>
        <v>23148241</v>
      </c>
      <c r="V27" s="327">
        <v>1757270</v>
      </c>
      <c r="W27" s="328">
        <f t="shared" si="14"/>
        <v>0</v>
      </c>
      <c r="X27" s="10">
        <v>5032563</v>
      </c>
      <c r="Y27" s="283">
        <f t="shared" si="15"/>
        <v>0</v>
      </c>
      <c r="Z27" s="327">
        <v>11238456</v>
      </c>
      <c r="AA27" s="328">
        <f t="shared" si="16"/>
        <v>6197364</v>
      </c>
      <c r="AB27" s="10">
        <v>21145000</v>
      </c>
      <c r="AC27" s="283">
        <f t="shared" si="17"/>
        <v>44544326</v>
      </c>
      <c r="AD27" s="329">
        <f t="shared" si="0"/>
        <v>51265705</v>
      </c>
      <c r="AE27" s="330">
        <f t="shared" si="1"/>
        <v>27099643</v>
      </c>
      <c r="AF27" s="331">
        <f t="shared" si="2"/>
        <v>188343022</v>
      </c>
      <c r="AG27" s="332">
        <f t="shared" si="3"/>
        <v>194782054</v>
      </c>
    </row>
    <row r="28" spans="1:33" x14ac:dyDescent="0.25">
      <c r="A28" s="326">
        <v>2030</v>
      </c>
      <c r="B28" s="327">
        <v>13811830</v>
      </c>
      <c r="C28" s="328">
        <f t="shared" si="4"/>
        <v>6166212</v>
      </c>
      <c r="D28" s="10">
        <v>40935000</v>
      </c>
      <c r="E28" s="283">
        <f t="shared" si="5"/>
        <v>40259420</v>
      </c>
      <c r="F28" s="327">
        <v>3783313</v>
      </c>
      <c r="G28" s="328">
        <f t="shared" si="6"/>
        <v>5419982</v>
      </c>
      <c r="H28" s="10">
        <v>15730000</v>
      </c>
      <c r="I28" s="283">
        <f t="shared" si="7"/>
        <v>35387261</v>
      </c>
      <c r="J28" s="327">
        <v>8222156</v>
      </c>
      <c r="K28" s="328">
        <f t="shared" si="8"/>
        <v>6095516</v>
      </c>
      <c r="L28" s="10">
        <v>31925000</v>
      </c>
      <c r="M28" s="283">
        <f t="shared" si="9"/>
        <v>39797847</v>
      </c>
      <c r="N28" s="327">
        <v>8101025</v>
      </c>
      <c r="O28" s="328">
        <f t="shared" si="10"/>
        <v>0</v>
      </c>
      <c r="P28" s="10">
        <v>39006282</v>
      </c>
      <c r="Q28" s="283">
        <f t="shared" si="11"/>
        <v>0</v>
      </c>
      <c r="R28" s="327">
        <v>1445004</v>
      </c>
      <c r="S28" s="328">
        <f t="shared" si="12"/>
        <v>3220569</v>
      </c>
      <c r="T28" s="10">
        <v>5979353</v>
      </c>
      <c r="U28" s="283">
        <f t="shared" si="13"/>
        <v>21027213</v>
      </c>
      <c r="V28" s="327">
        <v>1451135</v>
      </c>
      <c r="W28" s="328">
        <f t="shared" si="14"/>
        <v>0</v>
      </c>
      <c r="X28" s="10">
        <v>3706632</v>
      </c>
      <c r="Y28" s="283">
        <f t="shared" si="15"/>
        <v>0</v>
      </c>
      <c r="Z28" s="327">
        <v>8538577</v>
      </c>
      <c r="AA28" s="328">
        <f t="shared" si="16"/>
        <v>6197364</v>
      </c>
      <c r="AB28" s="10">
        <v>13325000</v>
      </c>
      <c r="AC28" s="283">
        <f t="shared" si="17"/>
        <v>40462817</v>
      </c>
      <c r="AD28" s="329">
        <f t="shared" si="0"/>
        <v>45353040</v>
      </c>
      <c r="AE28" s="330">
        <f t="shared" si="1"/>
        <v>27099643</v>
      </c>
      <c r="AF28" s="331">
        <f t="shared" si="2"/>
        <v>150607267</v>
      </c>
      <c r="AG28" s="332">
        <f t="shared" si="3"/>
        <v>176934558</v>
      </c>
    </row>
    <row r="29" spans="1:33" x14ac:dyDescent="0.25">
      <c r="A29" s="326">
        <v>2031</v>
      </c>
      <c r="B29" s="327">
        <v>9914250</v>
      </c>
      <c r="C29" s="328">
        <f t="shared" si="4"/>
        <v>6166212</v>
      </c>
      <c r="D29" s="10">
        <v>32550000</v>
      </c>
      <c r="E29" s="283">
        <f t="shared" si="5"/>
        <v>36005531</v>
      </c>
      <c r="F29" s="327">
        <v>3785213</v>
      </c>
      <c r="G29" s="328">
        <f t="shared" si="6"/>
        <v>5419982</v>
      </c>
      <c r="H29" s="10">
        <v>12685000</v>
      </c>
      <c r="I29" s="283">
        <f t="shared" si="7"/>
        <v>31648174</v>
      </c>
      <c r="J29" s="327">
        <v>8217400</v>
      </c>
      <c r="K29" s="328">
        <f t="shared" si="8"/>
        <v>6095516</v>
      </c>
      <c r="L29" s="10">
        <v>25115000</v>
      </c>
      <c r="M29" s="283">
        <f t="shared" si="9"/>
        <v>35592729</v>
      </c>
      <c r="N29" s="327">
        <v>7411585</v>
      </c>
      <c r="O29" s="328">
        <f t="shared" si="10"/>
        <v>0</v>
      </c>
      <c r="P29" s="10">
        <v>33251456</v>
      </c>
      <c r="Q29" s="283">
        <f t="shared" si="11"/>
        <v>0</v>
      </c>
      <c r="R29" s="327">
        <v>1446004</v>
      </c>
      <c r="S29" s="328">
        <f t="shared" si="12"/>
        <v>3220569</v>
      </c>
      <c r="T29" s="10">
        <v>4785244</v>
      </c>
      <c r="U29" s="283">
        <f t="shared" si="13"/>
        <v>18805436</v>
      </c>
      <c r="V29" s="327">
        <v>1106193</v>
      </c>
      <c r="W29" s="328">
        <f t="shared" si="14"/>
        <v>0</v>
      </c>
      <c r="X29" s="10">
        <v>2690967</v>
      </c>
      <c r="Y29" s="283">
        <f t="shared" si="15"/>
        <v>0</v>
      </c>
      <c r="Z29" s="327">
        <v>4984495</v>
      </c>
      <c r="AA29" s="328">
        <f t="shared" si="16"/>
        <v>6197364</v>
      </c>
      <c r="AB29" s="10">
        <v>8795000</v>
      </c>
      <c r="AC29" s="283">
        <f t="shared" si="17"/>
        <v>36187436</v>
      </c>
      <c r="AD29" s="329">
        <f t="shared" si="0"/>
        <v>36865140</v>
      </c>
      <c r="AE29" s="330">
        <f t="shared" si="1"/>
        <v>27099643</v>
      </c>
      <c r="AF29" s="331">
        <f t="shared" si="2"/>
        <v>119872667</v>
      </c>
      <c r="AG29" s="332">
        <f t="shared" si="3"/>
        <v>158239306</v>
      </c>
    </row>
    <row r="30" spans="1:33" x14ac:dyDescent="0.25">
      <c r="A30" s="326">
        <v>2032</v>
      </c>
      <c r="B30" s="327">
        <v>9916950</v>
      </c>
      <c r="C30" s="328">
        <f t="shared" si="4"/>
        <v>6166212</v>
      </c>
      <c r="D30" s="10">
        <v>23820000</v>
      </c>
      <c r="E30" s="283">
        <f t="shared" si="5"/>
        <v>31549582</v>
      </c>
      <c r="F30" s="327">
        <v>3786763</v>
      </c>
      <c r="G30" s="328">
        <f t="shared" si="6"/>
        <v>5419982</v>
      </c>
      <c r="H30" s="10">
        <v>9510000</v>
      </c>
      <c r="I30" s="283">
        <f t="shared" si="7"/>
        <v>27731480</v>
      </c>
      <c r="J30" s="327">
        <v>5841488</v>
      </c>
      <c r="K30" s="328">
        <f t="shared" si="8"/>
        <v>6095516</v>
      </c>
      <c r="L30" s="10">
        <v>20400000</v>
      </c>
      <c r="M30" s="283">
        <f t="shared" si="9"/>
        <v>31187867</v>
      </c>
      <c r="N30" s="327">
        <v>6951243</v>
      </c>
      <c r="O30" s="328">
        <f t="shared" si="10"/>
        <v>0</v>
      </c>
      <c r="P30" s="10">
        <v>27681708</v>
      </c>
      <c r="Q30" s="283">
        <f t="shared" si="11"/>
        <v>0</v>
      </c>
      <c r="R30" s="327">
        <v>1445804</v>
      </c>
      <c r="S30" s="328">
        <f t="shared" si="12"/>
        <v>3220569</v>
      </c>
      <c r="T30" s="10">
        <v>3539564</v>
      </c>
      <c r="U30" s="283">
        <f t="shared" si="13"/>
        <v>16478126</v>
      </c>
      <c r="V30" s="327">
        <v>652182</v>
      </c>
      <c r="W30" s="328">
        <f t="shared" si="14"/>
        <v>0</v>
      </c>
      <c r="X30" s="10">
        <v>2108298</v>
      </c>
      <c r="Y30" s="283">
        <f t="shared" si="15"/>
        <v>0</v>
      </c>
      <c r="Z30" s="327">
        <v>4977733</v>
      </c>
      <c r="AA30" s="328">
        <f t="shared" si="16"/>
        <v>6197364</v>
      </c>
      <c r="AB30" s="10">
        <v>4085000</v>
      </c>
      <c r="AC30" s="283">
        <f t="shared" si="17"/>
        <v>31708975</v>
      </c>
      <c r="AD30" s="329">
        <f t="shared" si="0"/>
        <v>33572163</v>
      </c>
      <c r="AE30" s="330">
        <f t="shared" si="1"/>
        <v>27099643</v>
      </c>
      <c r="AF30" s="331">
        <f t="shared" si="2"/>
        <v>91144570</v>
      </c>
      <c r="AG30" s="332">
        <f t="shared" si="3"/>
        <v>138656030</v>
      </c>
    </row>
    <row r="31" spans="1:33" x14ac:dyDescent="0.25">
      <c r="A31" s="326">
        <v>2033</v>
      </c>
      <c r="B31" s="327">
        <v>7529350</v>
      </c>
      <c r="C31" s="328">
        <f t="shared" si="4"/>
        <v>6166212</v>
      </c>
      <c r="D31" s="10">
        <v>17170000</v>
      </c>
      <c r="E31" s="283">
        <f t="shared" si="5"/>
        <v>26881975</v>
      </c>
      <c r="F31" s="327">
        <v>3785500</v>
      </c>
      <c r="G31" s="328">
        <f t="shared" si="6"/>
        <v>5419982</v>
      </c>
      <c r="H31" s="10">
        <v>6200000</v>
      </c>
      <c r="I31" s="283">
        <f t="shared" si="7"/>
        <v>23628743</v>
      </c>
      <c r="J31" s="327">
        <v>5837525</v>
      </c>
      <c r="K31" s="328">
        <f t="shared" si="8"/>
        <v>6095516</v>
      </c>
      <c r="L31" s="10">
        <v>15455000</v>
      </c>
      <c r="M31" s="283">
        <f t="shared" si="9"/>
        <v>26573774</v>
      </c>
      <c r="N31" s="327">
        <v>6947943</v>
      </c>
      <c r="O31" s="328">
        <f t="shared" si="10"/>
        <v>0</v>
      </c>
      <c r="P31" s="10">
        <v>21856047</v>
      </c>
      <c r="Q31" s="283">
        <f t="shared" si="11"/>
        <v>0</v>
      </c>
      <c r="R31" s="327">
        <v>1444404</v>
      </c>
      <c r="S31" s="328">
        <f t="shared" si="12"/>
        <v>3220569</v>
      </c>
      <c r="T31" s="10">
        <v>2241290</v>
      </c>
      <c r="U31" s="283">
        <f t="shared" si="13"/>
        <v>14040267</v>
      </c>
      <c r="V31" s="327">
        <v>652182</v>
      </c>
      <c r="W31" s="328">
        <f t="shared" si="14"/>
        <v>0</v>
      </c>
      <c r="X31" s="10">
        <v>1509614</v>
      </c>
      <c r="Y31" s="283">
        <f t="shared" si="15"/>
        <v>0</v>
      </c>
      <c r="Z31" s="327">
        <v>4170785</v>
      </c>
      <c r="AA31" s="328">
        <f t="shared" si="16"/>
        <v>6197364</v>
      </c>
      <c r="AB31" s="10">
        <v>0</v>
      </c>
      <c r="AC31" s="283">
        <f t="shared" si="17"/>
        <v>27017787</v>
      </c>
      <c r="AD31" s="329">
        <f t="shared" si="0"/>
        <v>30367689</v>
      </c>
      <c r="AE31" s="330">
        <f t="shared" si="1"/>
        <v>27099643</v>
      </c>
      <c r="AF31" s="331">
        <f t="shared" si="2"/>
        <v>64431951</v>
      </c>
      <c r="AG31" s="332">
        <f t="shared" si="3"/>
        <v>118142546</v>
      </c>
    </row>
    <row r="32" spans="1:33" x14ac:dyDescent="0.25">
      <c r="A32" s="326">
        <v>2034</v>
      </c>
      <c r="B32" s="327">
        <v>7527950</v>
      </c>
      <c r="C32" s="328">
        <f t="shared" si="4"/>
        <v>6166212</v>
      </c>
      <c r="D32" s="10">
        <v>10250000</v>
      </c>
      <c r="E32" s="283">
        <f t="shared" si="5"/>
        <v>21992657</v>
      </c>
      <c r="F32" s="327">
        <v>2275000</v>
      </c>
      <c r="G32" s="328">
        <f t="shared" si="6"/>
        <v>5419982</v>
      </c>
      <c r="H32" s="10">
        <v>4235000</v>
      </c>
      <c r="I32" s="283">
        <f t="shared" si="7"/>
        <v>19331126</v>
      </c>
      <c r="J32" s="327">
        <v>4263250</v>
      </c>
      <c r="K32" s="328">
        <f t="shared" si="8"/>
        <v>6095516</v>
      </c>
      <c r="L32" s="10">
        <v>11875000</v>
      </c>
      <c r="M32" s="283">
        <f t="shared" si="9"/>
        <v>21740512</v>
      </c>
      <c r="N32" s="327">
        <v>6950443</v>
      </c>
      <c r="O32" s="328">
        <f t="shared" si="10"/>
        <v>0</v>
      </c>
      <c r="P32" s="10">
        <v>15774441</v>
      </c>
      <c r="Q32" s="283">
        <f t="shared" si="11"/>
        <v>0</v>
      </c>
      <c r="R32" s="327">
        <v>628404</v>
      </c>
      <c r="S32" s="328">
        <f t="shared" si="12"/>
        <v>3220569</v>
      </c>
      <c r="T32" s="10">
        <v>1719347</v>
      </c>
      <c r="U32" s="283">
        <f t="shared" si="13"/>
        <v>11486611</v>
      </c>
      <c r="V32" s="327">
        <v>652182</v>
      </c>
      <c r="W32" s="328">
        <f t="shared" si="14"/>
        <v>0</v>
      </c>
      <c r="X32" s="10">
        <v>894474</v>
      </c>
      <c r="Y32" s="283">
        <f t="shared" si="15"/>
        <v>0</v>
      </c>
      <c r="Z32" s="327">
        <v>0</v>
      </c>
      <c r="AA32" s="328">
        <f t="shared" si="16"/>
        <v>6197364</v>
      </c>
      <c r="AB32" s="10">
        <v>0</v>
      </c>
      <c r="AC32" s="283">
        <f t="shared" si="17"/>
        <v>22103768</v>
      </c>
      <c r="AD32" s="329">
        <f t="shared" si="0"/>
        <v>22297229</v>
      </c>
      <c r="AE32" s="330">
        <f t="shared" si="1"/>
        <v>27099643</v>
      </c>
      <c r="AF32" s="331">
        <f t="shared" si="2"/>
        <v>44748262</v>
      </c>
      <c r="AG32" s="332">
        <f t="shared" si="3"/>
        <v>96654674</v>
      </c>
    </row>
    <row r="33" spans="1:38" x14ac:dyDescent="0.25">
      <c r="A33" s="326">
        <v>2035</v>
      </c>
      <c r="B33" s="327">
        <v>7511025</v>
      </c>
      <c r="C33" s="328">
        <f t="shared" si="4"/>
        <v>6166212</v>
      </c>
      <c r="D33" s="10">
        <v>3050000</v>
      </c>
      <c r="E33" s="283">
        <f t="shared" si="5"/>
        <v>16871097</v>
      </c>
      <c r="F33" s="327">
        <v>2276750</v>
      </c>
      <c r="G33" s="328">
        <f t="shared" si="6"/>
        <v>5419982</v>
      </c>
      <c r="H33" s="10">
        <v>2170000</v>
      </c>
      <c r="I33" s="283">
        <f t="shared" si="7"/>
        <v>14829372</v>
      </c>
      <c r="J33" s="327">
        <v>4259750</v>
      </c>
      <c r="K33" s="328">
        <f t="shared" si="8"/>
        <v>6095516</v>
      </c>
      <c r="L33" s="10">
        <v>8115000</v>
      </c>
      <c r="M33" s="283">
        <f t="shared" si="9"/>
        <v>16677670</v>
      </c>
      <c r="N33" s="327">
        <v>6952043</v>
      </c>
      <c r="O33" s="328">
        <f t="shared" si="10"/>
        <v>0</v>
      </c>
      <c r="P33" s="10">
        <v>9426622</v>
      </c>
      <c r="Q33" s="283">
        <f t="shared" si="11"/>
        <v>0</v>
      </c>
      <c r="R33" s="327">
        <v>628404</v>
      </c>
      <c r="S33" s="328">
        <f t="shared" si="12"/>
        <v>3220569</v>
      </c>
      <c r="T33" s="10">
        <v>1172613</v>
      </c>
      <c r="U33" s="283">
        <f t="shared" si="13"/>
        <v>8811656</v>
      </c>
      <c r="V33" s="327">
        <v>652182</v>
      </c>
      <c r="W33" s="328">
        <f t="shared" si="14"/>
        <v>0</v>
      </c>
      <c r="X33" s="10">
        <v>262427</v>
      </c>
      <c r="Y33" s="283">
        <f t="shared" si="15"/>
        <v>0</v>
      </c>
      <c r="Z33" s="327">
        <v>0</v>
      </c>
      <c r="AA33" s="328">
        <f t="shared" si="16"/>
        <v>6197364</v>
      </c>
      <c r="AB33" s="10">
        <v>0</v>
      </c>
      <c r="AC33" s="283">
        <f t="shared" si="17"/>
        <v>16956332</v>
      </c>
      <c r="AD33" s="329">
        <f t="shared" si="0"/>
        <v>22280154</v>
      </c>
      <c r="AE33" s="330">
        <f t="shared" si="1"/>
        <v>27099643</v>
      </c>
      <c r="AF33" s="331">
        <f t="shared" si="2"/>
        <v>24196662</v>
      </c>
      <c r="AG33" s="332">
        <f t="shared" si="3"/>
        <v>74146127</v>
      </c>
    </row>
    <row r="34" spans="1:38" x14ac:dyDescent="0.25">
      <c r="A34" s="326">
        <v>2036</v>
      </c>
      <c r="B34" s="327">
        <v>3126250</v>
      </c>
      <c r="C34" s="328">
        <f t="shared" si="4"/>
        <v>6166212</v>
      </c>
      <c r="D34" s="10">
        <v>0</v>
      </c>
      <c r="E34" s="283">
        <f t="shared" si="5"/>
        <v>11506262</v>
      </c>
      <c r="F34" s="327">
        <v>2278500</v>
      </c>
      <c r="G34" s="328">
        <f t="shared" si="6"/>
        <v>5419982</v>
      </c>
      <c r="H34" s="10">
        <v>0</v>
      </c>
      <c r="I34" s="283">
        <f t="shared" si="7"/>
        <v>10113785</v>
      </c>
      <c r="J34" s="327">
        <v>4261875</v>
      </c>
      <c r="K34" s="328">
        <f t="shared" si="8"/>
        <v>6095516</v>
      </c>
      <c r="L34" s="10">
        <v>4160000</v>
      </c>
      <c r="M34" s="283">
        <f t="shared" si="9"/>
        <v>11374344</v>
      </c>
      <c r="N34" s="327">
        <v>6948493</v>
      </c>
      <c r="O34" s="328">
        <f t="shared" si="10"/>
        <v>0</v>
      </c>
      <c r="P34" s="10">
        <v>2812069</v>
      </c>
      <c r="Q34" s="283">
        <f t="shared" si="11"/>
        <v>0</v>
      </c>
      <c r="R34" s="327">
        <v>628404</v>
      </c>
      <c r="S34" s="328">
        <f t="shared" si="12"/>
        <v>3220569</v>
      </c>
      <c r="T34" s="10">
        <v>599908</v>
      </c>
      <c r="U34" s="283">
        <f t="shared" si="13"/>
        <v>6009640</v>
      </c>
      <c r="V34" s="327">
        <v>266009</v>
      </c>
      <c r="W34" s="328">
        <f t="shared" si="14"/>
        <v>0</v>
      </c>
      <c r="X34" s="10">
        <v>0</v>
      </c>
      <c r="Y34" s="283">
        <f t="shared" si="15"/>
        <v>0</v>
      </c>
      <c r="Z34" s="327">
        <v>0</v>
      </c>
      <c r="AA34" s="328">
        <f t="shared" si="16"/>
        <v>6197364</v>
      </c>
      <c r="AB34" s="10">
        <v>0</v>
      </c>
      <c r="AC34" s="283">
        <f t="shared" si="17"/>
        <v>11564394</v>
      </c>
      <c r="AD34" s="329">
        <f t="shared" si="0"/>
        <v>17509531</v>
      </c>
      <c r="AE34" s="330">
        <f t="shared" si="1"/>
        <v>27099643</v>
      </c>
      <c r="AF34" s="331">
        <f t="shared" si="2"/>
        <v>7571977</v>
      </c>
      <c r="AG34" s="332">
        <f t="shared" si="3"/>
        <v>50568425</v>
      </c>
    </row>
    <row r="35" spans="1:38" x14ac:dyDescent="0.25">
      <c r="A35" s="326">
        <v>2037</v>
      </c>
      <c r="B35" s="327">
        <v>0</v>
      </c>
      <c r="C35" s="328">
        <f t="shared" si="4"/>
        <v>6166212</v>
      </c>
      <c r="D35" s="10">
        <v>0</v>
      </c>
      <c r="E35" s="283">
        <f t="shared" si="5"/>
        <v>5886598</v>
      </c>
      <c r="F35" s="327">
        <v>0</v>
      </c>
      <c r="G35" s="328">
        <f t="shared" si="6"/>
        <v>5419982</v>
      </c>
      <c r="H35" s="10">
        <v>0</v>
      </c>
      <c r="I35" s="283">
        <f t="shared" si="7"/>
        <v>5174207</v>
      </c>
      <c r="J35" s="327">
        <v>4264000</v>
      </c>
      <c r="K35" s="328">
        <f t="shared" si="8"/>
        <v>6095516</v>
      </c>
      <c r="L35" s="10">
        <v>0</v>
      </c>
      <c r="M35" s="283">
        <f t="shared" si="9"/>
        <v>5819109</v>
      </c>
      <c r="N35" s="327">
        <v>2945643</v>
      </c>
      <c r="O35" s="328">
        <f t="shared" si="10"/>
        <v>0</v>
      </c>
      <c r="P35" s="10">
        <v>0</v>
      </c>
      <c r="Q35" s="283">
        <f t="shared" si="11"/>
        <v>0</v>
      </c>
      <c r="R35" s="327">
        <v>628404</v>
      </c>
      <c r="S35" s="328">
        <f t="shared" si="12"/>
        <v>3220569</v>
      </c>
      <c r="T35" s="10">
        <v>0</v>
      </c>
      <c r="U35" s="283">
        <f t="shared" si="13"/>
        <v>3074529</v>
      </c>
      <c r="V35" s="327">
        <v>0</v>
      </c>
      <c r="W35" s="328">
        <f t="shared" si="14"/>
        <v>0</v>
      </c>
      <c r="X35" s="10">
        <v>0</v>
      </c>
      <c r="Y35" s="283">
        <f t="shared" si="15"/>
        <v>0</v>
      </c>
      <c r="Z35" s="327">
        <v>0</v>
      </c>
      <c r="AA35" s="328">
        <f t="shared" si="16"/>
        <v>6197364</v>
      </c>
      <c r="AB35" s="10">
        <v>0</v>
      </c>
      <c r="AC35" s="283">
        <f t="shared" si="17"/>
        <v>5916338</v>
      </c>
      <c r="AD35" s="329">
        <f t="shared" si="0"/>
        <v>7838047</v>
      </c>
      <c r="AE35" s="330">
        <f t="shared" si="1"/>
        <v>27099643</v>
      </c>
      <c r="AF35" s="331">
        <f t="shared" si="2"/>
        <v>0</v>
      </c>
      <c r="AG35" s="332">
        <f t="shared" si="3"/>
        <v>25870781</v>
      </c>
    </row>
    <row r="36" spans="1:38" ht="15.75" customHeight="1" thickBot="1" x14ac:dyDescent="0.3">
      <c r="A36" s="333">
        <v>2038</v>
      </c>
      <c r="B36" s="334">
        <v>0</v>
      </c>
      <c r="C36" s="335">
        <f t="shared" si="4"/>
        <v>6166212</v>
      </c>
      <c r="D36" s="336">
        <v>0</v>
      </c>
      <c r="E36" s="337">
        <f t="shared" si="5"/>
        <v>0</v>
      </c>
      <c r="F36" s="334">
        <v>0</v>
      </c>
      <c r="G36" s="335">
        <f t="shared" si="6"/>
        <v>5419982</v>
      </c>
      <c r="H36" s="336">
        <v>0</v>
      </c>
      <c r="I36" s="337">
        <f t="shared" si="7"/>
        <v>0</v>
      </c>
      <c r="J36" s="334">
        <v>0</v>
      </c>
      <c r="K36" s="335">
        <f t="shared" si="8"/>
        <v>6095516</v>
      </c>
      <c r="L36" s="336">
        <v>0</v>
      </c>
      <c r="M36" s="337">
        <f t="shared" si="9"/>
        <v>0</v>
      </c>
      <c r="N36" s="334">
        <v>0</v>
      </c>
      <c r="O36" s="335">
        <f t="shared" si="10"/>
        <v>0</v>
      </c>
      <c r="P36" s="336">
        <v>0</v>
      </c>
      <c r="Q36" s="337">
        <f t="shared" si="11"/>
        <v>0</v>
      </c>
      <c r="R36" s="334">
        <v>0</v>
      </c>
      <c r="S36" s="335">
        <f t="shared" si="12"/>
        <v>3220569</v>
      </c>
      <c r="T36" s="336">
        <v>0</v>
      </c>
      <c r="U36" s="337">
        <f t="shared" si="13"/>
        <v>0</v>
      </c>
      <c r="V36" s="334">
        <v>0</v>
      </c>
      <c r="W36" s="335">
        <f t="shared" si="14"/>
        <v>0</v>
      </c>
      <c r="X36" s="336">
        <v>0</v>
      </c>
      <c r="Y36" s="337">
        <f t="shared" si="15"/>
        <v>0</v>
      </c>
      <c r="Z36" s="334">
        <v>0</v>
      </c>
      <c r="AA36" s="335">
        <f t="shared" si="16"/>
        <v>6197364</v>
      </c>
      <c r="AB36" s="336">
        <v>0</v>
      </c>
      <c r="AC36" s="337">
        <f t="shared" si="17"/>
        <v>0</v>
      </c>
      <c r="AD36" s="338">
        <f t="shared" si="0"/>
        <v>0</v>
      </c>
      <c r="AE36" s="339">
        <f t="shared" si="1"/>
        <v>27099643</v>
      </c>
      <c r="AF36" s="340">
        <f t="shared" si="2"/>
        <v>0</v>
      </c>
      <c r="AG36" s="341">
        <f t="shared" si="3"/>
        <v>0</v>
      </c>
      <c r="AH36"/>
      <c r="AI36"/>
      <c r="AJ36"/>
      <c r="AK36"/>
      <c r="AL36"/>
    </row>
  </sheetData>
  <mergeCells count="55"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U85" sqref="U85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3" t="s">
        <v>273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274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58"/>
      <c r="B6" s="665" t="s">
        <v>162</v>
      </c>
      <c r="C6" s="666"/>
      <c r="D6" s="570" t="s">
        <v>3</v>
      </c>
      <c r="E6" s="667"/>
      <c r="F6" s="667"/>
      <c r="G6" s="667"/>
      <c r="H6" s="667"/>
      <c r="I6" s="668"/>
      <c r="J6" s="342"/>
      <c r="K6" s="570" t="s">
        <v>4</v>
      </c>
      <c r="L6" s="667"/>
      <c r="M6" s="667"/>
      <c r="N6" s="667"/>
      <c r="O6" s="667"/>
      <c r="P6" s="668"/>
      <c r="Q6"/>
      <c r="R6"/>
      <c r="S6"/>
      <c r="T6"/>
    </row>
    <row r="7" spans="1:20" ht="15" customHeight="1" x14ac:dyDescent="0.25">
      <c r="A7" s="659"/>
      <c r="B7" s="661" t="s">
        <v>275</v>
      </c>
      <c r="C7" s="663" t="s">
        <v>45</v>
      </c>
      <c r="D7" s="669" t="s">
        <v>275</v>
      </c>
      <c r="E7" s="670"/>
      <c r="F7" s="671"/>
      <c r="G7" s="672" t="s">
        <v>45</v>
      </c>
      <c r="H7" s="673"/>
      <c r="I7" s="674"/>
      <c r="J7" s="343"/>
      <c r="K7" s="669" t="s">
        <v>275</v>
      </c>
      <c r="L7" s="670"/>
      <c r="M7" s="671"/>
      <c r="N7" s="672" t="s">
        <v>45</v>
      </c>
      <c r="O7" s="673"/>
      <c r="P7" s="674"/>
      <c r="Q7"/>
      <c r="R7"/>
      <c r="S7"/>
      <c r="T7"/>
    </row>
    <row r="8" spans="1:20" ht="49.5" customHeight="1" thickBot="1" x14ac:dyDescent="0.3">
      <c r="A8" s="660"/>
      <c r="B8" s="662"/>
      <c r="C8" s="664"/>
      <c r="D8" s="349" t="s">
        <v>276</v>
      </c>
      <c r="E8" s="348" t="s">
        <v>173</v>
      </c>
      <c r="F8" s="347" t="s">
        <v>136</v>
      </c>
      <c r="G8" s="346" t="s">
        <v>276</v>
      </c>
      <c r="H8" s="345" t="s">
        <v>173</v>
      </c>
      <c r="I8" s="344" t="s">
        <v>136</v>
      </c>
      <c r="J8" s="350"/>
      <c r="K8" s="349" t="s">
        <v>276</v>
      </c>
      <c r="L8" s="348" t="s">
        <v>173</v>
      </c>
      <c r="M8" s="347" t="s">
        <v>138</v>
      </c>
      <c r="N8" s="346" t="s">
        <v>276</v>
      </c>
      <c r="O8" s="345" t="s">
        <v>173</v>
      </c>
      <c r="P8" s="344" t="s">
        <v>138</v>
      </c>
      <c r="Q8"/>
      <c r="R8"/>
      <c r="S8"/>
      <c r="T8"/>
    </row>
    <row r="9" spans="1:20" x14ac:dyDescent="0.25">
      <c r="A9" s="275" t="s">
        <v>184</v>
      </c>
      <c r="B9" s="351"/>
      <c r="C9" s="277"/>
      <c r="D9" s="278"/>
      <c r="E9" s="276"/>
      <c r="F9" s="277"/>
      <c r="G9" s="278"/>
      <c r="H9" s="276"/>
      <c r="I9" s="277"/>
      <c r="J9" s="352"/>
      <c r="K9" s="278"/>
      <c r="L9" s="276"/>
      <c r="M9" s="277"/>
      <c r="N9" s="278"/>
      <c r="O9" s="276"/>
      <c r="P9" s="277"/>
    </row>
    <row r="10" spans="1:20" ht="20.100000000000001" customHeight="1" x14ac:dyDescent="0.25">
      <c r="A10" s="353" t="s">
        <v>277</v>
      </c>
      <c r="B10" s="354">
        <v>721861</v>
      </c>
      <c r="C10" s="283">
        <v>0</v>
      </c>
      <c r="D10" s="284">
        <v>739908</v>
      </c>
      <c r="E10" s="282">
        <v>721861</v>
      </c>
      <c r="F10" s="25">
        <f t="shared" ref="F10:F20" si="0">IF($B10 &gt; 0, (E10-$B10)/$B10, "")</f>
        <v>0</v>
      </c>
      <c r="G10" s="284">
        <v>0</v>
      </c>
      <c r="H10" s="282">
        <v>0</v>
      </c>
      <c r="I10" s="25" t="str">
        <f t="shared" ref="I10:I20" si="1">IF($C10 &gt; 0, (H10-$C10)/$C10, "")</f>
        <v/>
      </c>
      <c r="J10" s="26"/>
      <c r="K10" s="284">
        <v>758405</v>
      </c>
      <c r="L10" s="282">
        <v>721861</v>
      </c>
      <c r="M10" s="25">
        <f t="shared" ref="M10:M20" si="2">IF($B10 &gt; 0, (L10-$B10)/$B10, "")</f>
        <v>0</v>
      </c>
      <c r="N10" s="284">
        <v>0</v>
      </c>
      <c r="O10" s="282">
        <v>0</v>
      </c>
      <c r="P10" s="25" t="str">
        <f t="shared" ref="P10:P20" si="3">IF($C10 &gt; 0, (O10-$C10)/$C10, "")</f>
        <v/>
      </c>
      <c r="Q10"/>
      <c r="R10"/>
      <c r="S10"/>
      <c r="T10"/>
    </row>
    <row r="11" spans="1:20" ht="20.100000000000001" customHeight="1" x14ac:dyDescent="0.25">
      <c r="A11" s="355" t="s">
        <v>278</v>
      </c>
      <c r="B11" s="356">
        <v>2500000</v>
      </c>
      <c r="C11" s="286">
        <v>0</v>
      </c>
      <c r="D11" s="291">
        <v>2562500</v>
      </c>
      <c r="E11" s="290">
        <v>2500000</v>
      </c>
      <c r="F11" s="357">
        <f t="shared" si="0"/>
        <v>0</v>
      </c>
      <c r="G11" s="291">
        <v>0</v>
      </c>
      <c r="H11" s="290">
        <v>0</v>
      </c>
      <c r="I11" s="357" t="str">
        <f t="shared" si="1"/>
        <v/>
      </c>
      <c r="J11" s="358"/>
      <c r="K11" s="291">
        <v>2626563</v>
      </c>
      <c r="L11" s="290">
        <v>2500000</v>
      </c>
      <c r="M11" s="357">
        <f t="shared" si="2"/>
        <v>0</v>
      </c>
      <c r="N11" s="291">
        <v>0</v>
      </c>
      <c r="O11" s="290">
        <v>0</v>
      </c>
      <c r="P11" s="357" t="str">
        <f t="shared" si="3"/>
        <v/>
      </c>
      <c r="Q11"/>
      <c r="R11"/>
      <c r="S11"/>
      <c r="T11"/>
    </row>
    <row r="12" spans="1:20" ht="20.100000000000001" customHeight="1" x14ac:dyDescent="0.25">
      <c r="A12" s="355" t="s">
        <v>279</v>
      </c>
      <c r="B12" s="356">
        <v>2202650</v>
      </c>
      <c r="C12" s="286">
        <v>0</v>
      </c>
      <c r="D12" s="291">
        <v>1834210</v>
      </c>
      <c r="E12" s="290">
        <v>1834210</v>
      </c>
      <c r="F12" s="357">
        <f t="shared" si="0"/>
        <v>-0.16727124145915148</v>
      </c>
      <c r="G12" s="291">
        <v>0</v>
      </c>
      <c r="H12" s="290">
        <v>0</v>
      </c>
      <c r="I12" s="357" t="str">
        <f t="shared" si="1"/>
        <v/>
      </c>
      <c r="J12" s="358"/>
      <c r="K12" s="291">
        <v>1834210</v>
      </c>
      <c r="L12" s="290">
        <v>1834210</v>
      </c>
      <c r="M12" s="357">
        <f t="shared" si="2"/>
        <v>-0.16727124145915148</v>
      </c>
      <c r="N12" s="291">
        <v>0</v>
      </c>
      <c r="O12" s="290">
        <v>0</v>
      </c>
      <c r="P12" s="357" t="str">
        <f t="shared" si="3"/>
        <v/>
      </c>
      <c r="Q12"/>
      <c r="R12"/>
      <c r="S12"/>
      <c r="T12"/>
    </row>
    <row r="13" spans="1:20" ht="20.100000000000001" customHeight="1" x14ac:dyDescent="0.25">
      <c r="A13" s="355" t="s">
        <v>280</v>
      </c>
      <c r="B13" s="356">
        <v>2783782</v>
      </c>
      <c r="C13" s="286">
        <v>0</v>
      </c>
      <c r="D13" s="291">
        <v>2853377</v>
      </c>
      <c r="E13" s="290">
        <v>2783782</v>
      </c>
      <c r="F13" s="357">
        <f t="shared" si="0"/>
        <v>0</v>
      </c>
      <c r="G13" s="291">
        <v>0</v>
      </c>
      <c r="H13" s="290">
        <v>0</v>
      </c>
      <c r="I13" s="357" t="str">
        <f t="shared" si="1"/>
        <v/>
      </c>
      <c r="J13" s="358"/>
      <c r="K13" s="291">
        <v>2924711</v>
      </c>
      <c r="L13" s="290">
        <v>2783782</v>
      </c>
      <c r="M13" s="357">
        <f t="shared" si="2"/>
        <v>0</v>
      </c>
      <c r="N13" s="291">
        <v>0</v>
      </c>
      <c r="O13" s="290">
        <v>0</v>
      </c>
      <c r="P13" s="357" t="str">
        <f t="shared" si="3"/>
        <v/>
      </c>
      <c r="Q13"/>
      <c r="R13"/>
      <c r="S13"/>
      <c r="T13"/>
    </row>
    <row r="14" spans="1:20" ht="20.100000000000001" customHeight="1" x14ac:dyDescent="0.25">
      <c r="A14" s="355" t="s">
        <v>281</v>
      </c>
      <c r="B14" s="356">
        <v>0</v>
      </c>
      <c r="C14" s="286">
        <v>1508628</v>
      </c>
      <c r="D14" s="291">
        <v>0</v>
      </c>
      <c r="E14" s="290">
        <v>0</v>
      </c>
      <c r="F14" s="357" t="str">
        <f t="shared" si="0"/>
        <v/>
      </c>
      <c r="G14" s="291">
        <v>1546345</v>
      </c>
      <c r="H14" s="290">
        <v>1508628</v>
      </c>
      <c r="I14" s="357">
        <f t="shared" si="1"/>
        <v>0</v>
      </c>
      <c r="J14" s="358"/>
      <c r="K14" s="291">
        <v>0</v>
      </c>
      <c r="L14" s="290">
        <v>0</v>
      </c>
      <c r="M14" s="357" t="str">
        <f t="shared" si="2"/>
        <v/>
      </c>
      <c r="N14" s="291">
        <v>1585000</v>
      </c>
      <c r="O14" s="290">
        <v>1508628</v>
      </c>
      <c r="P14" s="357">
        <f t="shared" si="3"/>
        <v>0</v>
      </c>
      <c r="Q14"/>
      <c r="R14"/>
      <c r="S14"/>
      <c r="T14"/>
    </row>
    <row r="15" spans="1:20" ht="20.100000000000001" customHeight="1" x14ac:dyDescent="0.25">
      <c r="A15" s="355" t="s">
        <v>282</v>
      </c>
      <c r="B15" s="356">
        <v>0</v>
      </c>
      <c r="C15" s="286">
        <v>672562</v>
      </c>
      <c r="D15" s="291">
        <v>0</v>
      </c>
      <c r="E15" s="290">
        <v>0</v>
      </c>
      <c r="F15" s="357" t="str">
        <f t="shared" si="0"/>
        <v/>
      </c>
      <c r="G15" s="291">
        <v>689375</v>
      </c>
      <c r="H15" s="290">
        <v>672562</v>
      </c>
      <c r="I15" s="357">
        <f t="shared" si="1"/>
        <v>0</v>
      </c>
      <c r="J15" s="358"/>
      <c r="K15" s="291">
        <v>0</v>
      </c>
      <c r="L15" s="290">
        <v>0</v>
      </c>
      <c r="M15" s="357" t="str">
        <f t="shared" si="2"/>
        <v/>
      </c>
      <c r="N15" s="291">
        <v>706610</v>
      </c>
      <c r="O15" s="290">
        <v>672562</v>
      </c>
      <c r="P15" s="357">
        <f t="shared" si="3"/>
        <v>0</v>
      </c>
      <c r="Q15"/>
      <c r="R15"/>
      <c r="S15"/>
      <c r="T15"/>
    </row>
    <row r="16" spans="1:20" ht="20.100000000000001" customHeight="1" x14ac:dyDescent="0.25">
      <c r="A16" s="355" t="s">
        <v>283</v>
      </c>
      <c r="B16" s="356">
        <v>2105824</v>
      </c>
      <c r="C16" s="286">
        <v>0</v>
      </c>
      <c r="D16" s="291">
        <v>2158470</v>
      </c>
      <c r="E16" s="290">
        <v>2105824</v>
      </c>
      <c r="F16" s="357">
        <f t="shared" si="0"/>
        <v>0</v>
      </c>
      <c r="G16" s="291">
        <v>0</v>
      </c>
      <c r="H16" s="290">
        <v>0</v>
      </c>
      <c r="I16" s="357" t="str">
        <f t="shared" si="1"/>
        <v/>
      </c>
      <c r="J16" s="358"/>
      <c r="K16" s="291">
        <v>2212431</v>
      </c>
      <c r="L16" s="290">
        <v>2105824</v>
      </c>
      <c r="M16" s="357">
        <f t="shared" si="2"/>
        <v>0</v>
      </c>
      <c r="N16" s="291">
        <v>0</v>
      </c>
      <c r="O16" s="290">
        <v>0</v>
      </c>
      <c r="P16" s="357" t="str">
        <f t="shared" si="3"/>
        <v/>
      </c>
      <c r="Q16"/>
      <c r="R16"/>
      <c r="S16"/>
      <c r="T16"/>
    </row>
    <row r="17" spans="1:20" ht="20.100000000000001" customHeight="1" x14ac:dyDescent="0.25">
      <c r="A17" s="355" t="s">
        <v>284</v>
      </c>
      <c r="B17" s="356">
        <v>150000</v>
      </c>
      <c r="C17" s="286">
        <v>0</v>
      </c>
      <c r="D17" s="291">
        <v>153750</v>
      </c>
      <c r="E17" s="290">
        <v>150000</v>
      </c>
      <c r="F17" s="357">
        <f t="shared" si="0"/>
        <v>0</v>
      </c>
      <c r="G17" s="291">
        <v>0</v>
      </c>
      <c r="H17" s="290">
        <v>0</v>
      </c>
      <c r="I17" s="357" t="str">
        <f t="shared" si="1"/>
        <v/>
      </c>
      <c r="J17" s="358"/>
      <c r="K17" s="291">
        <v>157594</v>
      </c>
      <c r="L17" s="290">
        <v>150000</v>
      </c>
      <c r="M17" s="357">
        <f t="shared" si="2"/>
        <v>0</v>
      </c>
      <c r="N17" s="291">
        <v>0</v>
      </c>
      <c r="O17" s="290">
        <v>0</v>
      </c>
      <c r="P17" s="357" t="str">
        <f t="shared" si="3"/>
        <v/>
      </c>
      <c r="Q17"/>
      <c r="R17"/>
      <c r="S17"/>
      <c r="T17"/>
    </row>
    <row r="18" spans="1:20" ht="20.100000000000001" customHeight="1" x14ac:dyDescent="0.25">
      <c r="A18" s="355" t="s">
        <v>285</v>
      </c>
      <c r="B18" s="356">
        <v>553429</v>
      </c>
      <c r="C18" s="286">
        <v>0</v>
      </c>
      <c r="D18" s="291">
        <v>567265</v>
      </c>
      <c r="E18" s="290">
        <v>553429</v>
      </c>
      <c r="F18" s="357">
        <f t="shared" si="0"/>
        <v>0</v>
      </c>
      <c r="G18" s="291">
        <v>0</v>
      </c>
      <c r="H18" s="290">
        <v>0</v>
      </c>
      <c r="I18" s="357" t="str">
        <f t="shared" si="1"/>
        <v/>
      </c>
      <c r="J18" s="358"/>
      <c r="K18" s="291">
        <v>581447</v>
      </c>
      <c r="L18" s="290">
        <v>553429</v>
      </c>
      <c r="M18" s="357">
        <f t="shared" si="2"/>
        <v>0</v>
      </c>
      <c r="N18" s="291">
        <v>0</v>
      </c>
      <c r="O18" s="290">
        <v>0</v>
      </c>
      <c r="P18" s="357" t="str">
        <f t="shared" si="3"/>
        <v/>
      </c>
      <c r="Q18"/>
      <c r="R18"/>
      <c r="S18"/>
      <c r="T18"/>
    </row>
    <row r="19" spans="1:20" ht="20.100000000000001" customHeight="1" x14ac:dyDescent="0.25">
      <c r="A19" s="355" t="s">
        <v>286</v>
      </c>
      <c r="B19" s="356">
        <v>0</v>
      </c>
      <c r="C19" s="286">
        <v>0</v>
      </c>
      <c r="D19" s="291">
        <v>0</v>
      </c>
      <c r="E19" s="290">
        <v>200000</v>
      </c>
      <c r="F19" s="357" t="str">
        <f t="shared" si="0"/>
        <v/>
      </c>
      <c r="G19" s="291">
        <v>0</v>
      </c>
      <c r="H19" s="290">
        <v>0</v>
      </c>
      <c r="I19" s="357" t="str">
        <f t="shared" si="1"/>
        <v/>
      </c>
      <c r="J19" s="358"/>
      <c r="K19" s="291">
        <v>0</v>
      </c>
      <c r="L19" s="290">
        <v>200000</v>
      </c>
      <c r="M19" s="357" t="str">
        <f t="shared" si="2"/>
        <v/>
      </c>
      <c r="N19" s="291">
        <v>0</v>
      </c>
      <c r="O19" s="290">
        <v>0</v>
      </c>
      <c r="P19" s="357" t="str">
        <f t="shared" si="3"/>
        <v/>
      </c>
      <c r="Q19"/>
      <c r="R19"/>
      <c r="S19"/>
      <c r="T19"/>
    </row>
    <row r="20" spans="1:20" ht="15.75" customHeight="1" x14ac:dyDescent="0.25">
      <c r="A20" s="293" t="s">
        <v>199</v>
      </c>
      <c r="B20" s="359">
        <f>SUM(B10:B19)</f>
        <v>11017546</v>
      </c>
      <c r="C20" s="297">
        <f>SUM(C10:C19)</f>
        <v>2181190</v>
      </c>
      <c r="D20" s="298">
        <f>SUM(D10:D19)</f>
        <v>10869480</v>
      </c>
      <c r="E20" s="296">
        <f>SUM(E10:E19)</f>
        <v>10849106</v>
      </c>
      <c r="F20" s="360">
        <f t="shared" si="0"/>
        <v>-1.5288340979016561E-2</v>
      </c>
      <c r="G20" s="298">
        <f>SUM(G10:G19)</f>
        <v>2235720</v>
      </c>
      <c r="H20" s="296">
        <f>SUM(H10:H19)</f>
        <v>2181190</v>
      </c>
      <c r="I20" s="360">
        <f t="shared" si="1"/>
        <v>0</v>
      </c>
      <c r="J20" s="49"/>
      <c r="K20" s="298">
        <f>SUM(K10:K19)</f>
        <v>11095361</v>
      </c>
      <c r="L20" s="296">
        <f>SUM(L10:L19)</f>
        <v>10849106</v>
      </c>
      <c r="M20" s="360">
        <f t="shared" si="2"/>
        <v>-1.5288340979016561E-2</v>
      </c>
      <c r="N20" s="298">
        <f>SUM(N10:N19)</f>
        <v>2291610</v>
      </c>
      <c r="O20" s="296">
        <f>SUM(O10:O19)</f>
        <v>2181190</v>
      </c>
      <c r="P20" s="360">
        <f t="shared" si="3"/>
        <v>0</v>
      </c>
      <c r="Q20"/>
      <c r="R20"/>
      <c r="S20"/>
      <c r="T20"/>
    </row>
    <row r="21" spans="1:20" ht="15.75" customHeight="1" x14ac:dyDescent="0.25">
      <c r="A21" s="275" t="s">
        <v>200</v>
      </c>
      <c r="B21" s="351"/>
      <c r="C21" s="277"/>
      <c r="D21" s="278"/>
      <c r="E21" s="276"/>
      <c r="F21" s="277"/>
      <c r="G21" s="278"/>
      <c r="H21" s="276"/>
      <c r="I21" s="277"/>
      <c r="J21" s="352"/>
      <c r="K21" s="278"/>
      <c r="L21" s="276"/>
      <c r="M21" s="277"/>
      <c r="N21" s="278"/>
      <c r="O21" s="276"/>
      <c r="P21" s="277"/>
      <c r="Q21"/>
      <c r="R21"/>
      <c r="S21"/>
      <c r="T21"/>
    </row>
    <row r="22" spans="1:20" ht="20.100000000000001" customHeight="1" x14ac:dyDescent="0.25">
      <c r="A22" s="353" t="s">
        <v>287</v>
      </c>
      <c r="B22" s="354">
        <v>8492325</v>
      </c>
      <c r="C22" s="283">
        <v>0</v>
      </c>
      <c r="D22" s="284">
        <v>8492325</v>
      </c>
      <c r="E22" s="282">
        <v>8492325</v>
      </c>
      <c r="F22" s="25">
        <f t="shared" ref="F22:F34" si="4">IF($B22 &gt; 0, (E22-$B22)/$B22, "")</f>
        <v>0</v>
      </c>
      <c r="G22" s="284">
        <v>0</v>
      </c>
      <c r="H22" s="282">
        <v>0</v>
      </c>
      <c r="I22" s="25" t="str">
        <f t="shared" ref="I22:I34" si="5">IF($C22 &gt; 0, (H22-$C22)/$C22, "")</f>
        <v/>
      </c>
      <c r="J22" s="26"/>
      <c r="K22" s="284">
        <v>8492325</v>
      </c>
      <c r="L22" s="282">
        <v>8492325</v>
      </c>
      <c r="M22" s="25">
        <f t="shared" ref="M22:M34" si="6">IF($B22 &gt; 0, (L22-$B22)/$B22, "")</f>
        <v>0</v>
      </c>
      <c r="N22" s="284">
        <v>0</v>
      </c>
      <c r="O22" s="282">
        <v>0</v>
      </c>
      <c r="P22" s="25" t="str">
        <f t="shared" ref="P22:P34" si="7">IF($C22 &gt; 0, (O22-$C22)/$C22, "")</f>
        <v/>
      </c>
      <c r="Q22"/>
      <c r="R22"/>
      <c r="S22"/>
      <c r="T22"/>
    </row>
    <row r="23" spans="1:20" ht="20.100000000000001" customHeight="1" x14ac:dyDescent="0.25">
      <c r="A23" s="355" t="s">
        <v>288</v>
      </c>
      <c r="B23" s="356">
        <v>3570446</v>
      </c>
      <c r="C23" s="286">
        <v>0</v>
      </c>
      <c r="D23" s="291">
        <v>5741561</v>
      </c>
      <c r="E23" s="290">
        <v>5741561</v>
      </c>
      <c r="F23" s="357">
        <f t="shared" si="4"/>
        <v>0.60807949483061785</v>
      </c>
      <c r="G23" s="291">
        <v>0</v>
      </c>
      <c r="H23" s="290">
        <v>0</v>
      </c>
      <c r="I23" s="357" t="str">
        <f t="shared" si="5"/>
        <v/>
      </c>
      <c r="J23" s="358"/>
      <c r="K23" s="291">
        <v>3711561</v>
      </c>
      <c r="L23" s="290">
        <v>3711561</v>
      </c>
      <c r="M23" s="357">
        <f t="shared" si="6"/>
        <v>3.9523073588005532E-2</v>
      </c>
      <c r="N23" s="291">
        <v>0</v>
      </c>
      <c r="O23" s="290">
        <v>0</v>
      </c>
      <c r="P23" s="357" t="str">
        <f t="shared" si="7"/>
        <v/>
      </c>
      <c r="Q23"/>
      <c r="R23"/>
      <c r="S23"/>
      <c r="T23"/>
    </row>
    <row r="24" spans="1:20" ht="20.100000000000001" customHeight="1" x14ac:dyDescent="0.25">
      <c r="A24" s="355" t="s">
        <v>289</v>
      </c>
      <c r="B24" s="356">
        <v>522558</v>
      </c>
      <c r="C24" s="286">
        <v>0</v>
      </c>
      <c r="D24" s="291">
        <v>522558</v>
      </c>
      <c r="E24" s="290">
        <v>522558</v>
      </c>
      <c r="F24" s="357">
        <f t="shared" si="4"/>
        <v>0</v>
      </c>
      <c r="G24" s="291">
        <v>0</v>
      </c>
      <c r="H24" s="290">
        <v>0</v>
      </c>
      <c r="I24" s="357" t="str">
        <f t="shared" si="5"/>
        <v/>
      </c>
      <c r="J24" s="358"/>
      <c r="K24" s="291">
        <v>522558</v>
      </c>
      <c r="L24" s="290">
        <v>522558</v>
      </c>
      <c r="M24" s="357">
        <f t="shared" si="6"/>
        <v>0</v>
      </c>
      <c r="N24" s="291">
        <v>0</v>
      </c>
      <c r="O24" s="290">
        <v>0</v>
      </c>
      <c r="P24" s="357" t="str">
        <f t="shared" si="7"/>
        <v/>
      </c>
      <c r="Q24"/>
      <c r="R24"/>
      <c r="S24"/>
      <c r="T24"/>
    </row>
    <row r="25" spans="1:20" ht="20.100000000000001" customHeight="1" x14ac:dyDescent="0.25">
      <c r="A25" s="355" t="s">
        <v>290</v>
      </c>
      <c r="B25" s="356">
        <v>7537816</v>
      </c>
      <c r="C25" s="286">
        <v>0</v>
      </c>
      <c r="D25" s="291">
        <v>7537816</v>
      </c>
      <c r="E25" s="290">
        <v>7487816</v>
      </c>
      <c r="F25" s="357">
        <f t="shared" si="4"/>
        <v>-6.633221081544044E-3</v>
      </c>
      <c r="G25" s="291">
        <v>0</v>
      </c>
      <c r="H25" s="290">
        <v>0</v>
      </c>
      <c r="I25" s="357" t="str">
        <f t="shared" si="5"/>
        <v/>
      </c>
      <c r="J25" s="358"/>
      <c r="K25" s="291">
        <v>7537816</v>
      </c>
      <c r="L25" s="290">
        <v>7487816</v>
      </c>
      <c r="M25" s="357">
        <f t="shared" si="6"/>
        <v>-6.633221081544044E-3</v>
      </c>
      <c r="N25" s="291">
        <v>0</v>
      </c>
      <c r="O25" s="290">
        <v>0</v>
      </c>
      <c r="P25" s="357" t="str">
        <f t="shared" si="7"/>
        <v/>
      </c>
      <c r="Q25"/>
      <c r="R25"/>
      <c r="S25"/>
      <c r="T25"/>
    </row>
    <row r="26" spans="1:20" ht="20.100000000000001" customHeight="1" x14ac:dyDescent="0.25">
      <c r="A26" s="355" t="s">
        <v>291</v>
      </c>
      <c r="B26" s="356">
        <v>2067000</v>
      </c>
      <c r="C26" s="286">
        <v>0</v>
      </c>
      <c r="D26" s="291">
        <v>1688820</v>
      </c>
      <c r="E26" s="290">
        <v>1688820</v>
      </c>
      <c r="F26" s="357">
        <f t="shared" si="4"/>
        <v>-0.18296081277213352</v>
      </c>
      <c r="G26" s="291">
        <v>0</v>
      </c>
      <c r="H26" s="290">
        <v>0</v>
      </c>
      <c r="I26" s="357" t="str">
        <f t="shared" si="5"/>
        <v/>
      </c>
      <c r="J26" s="358"/>
      <c r="K26" s="291">
        <v>1688820</v>
      </c>
      <c r="L26" s="290">
        <v>1688820</v>
      </c>
      <c r="M26" s="357">
        <f t="shared" si="6"/>
        <v>-0.18296081277213352</v>
      </c>
      <c r="N26" s="291">
        <v>0</v>
      </c>
      <c r="O26" s="290">
        <v>0</v>
      </c>
      <c r="P26" s="357" t="str">
        <f t="shared" si="7"/>
        <v/>
      </c>
      <c r="Q26"/>
      <c r="R26"/>
      <c r="S26"/>
      <c r="T26"/>
    </row>
    <row r="27" spans="1:20" ht="20.100000000000001" customHeight="1" x14ac:dyDescent="0.25">
      <c r="A27" s="355" t="s">
        <v>292</v>
      </c>
      <c r="B27" s="356">
        <v>2500000</v>
      </c>
      <c r="C27" s="286">
        <v>0</v>
      </c>
      <c r="D27" s="291">
        <v>2500000</v>
      </c>
      <c r="E27" s="290">
        <v>2500000</v>
      </c>
      <c r="F27" s="357">
        <f t="shared" si="4"/>
        <v>0</v>
      </c>
      <c r="G27" s="291">
        <v>0</v>
      </c>
      <c r="H27" s="290">
        <v>0</v>
      </c>
      <c r="I27" s="357" t="str">
        <f t="shared" si="5"/>
        <v/>
      </c>
      <c r="J27" s="358"/>
      <c r="K27" s="291">
        <v>2500000</v>
      </c>
      <c r="L27" s="290">
        <v>2500000</v>
      </c>
      <c r="M27" s="357">
        <f t="shared" si="6"/>
        <v>0</v>
      </c>
      <c r="N27" s="291">
        <v>0</v>
      </c>
      <c r="O27" s="290">
        <v>0</v>
      </c>
      <c r="P27" s="357" t="str">
        <f t="shared" si="7"/>
        <v/>
      </c>
      <c r="Q27"/>
      <c r="R27"/>
      <c r="S27"/>
      <c r="T27"/>
    </row>
    <row r="28" spans="1:20" ht="20.100000000000001" customHeight="1" x14ac:dyDescent="0.25">
      <c r="A28" s="355" t="s">
        <v>293</v>
      </c>
      <c r="B28" s="356">
        <v>6695258</v>
      </c>
      <c r="C28" s="286">
        <v>0</v>
      </c>
      <c r="D28" s="291">
        <v>6695258</v>
      </c>
      <c r="E28" s="290">
        <v>6695258</v>
      </c>
      <c r="F28" s="357">
        <f t="shared" si="4"/>
        <v>0</v>
      </c>
      <c r="G28" s="291">
        <v>0</v>
      </c>
      <c r="H28" s="290">
        <v>0</v>
      </c>
      <c r="I28" s="357" t="str">
        <f t="shared" si="5"/>
        <v/>
      </c>
      <c r="J28" s="358"/>
      <c r="K28" s="291">
        <v>6695258</v>
      </c>
      <c r="L28" s="290">
        <v>6695258</v>
      </c>
      <c r="M28" s="357">
        <f t="shared" si="6"/>
        <v>0</v>
      </c>
      <c r="N28" s="291">
        <v>0</v>
      </c>
      <c r="O28" s="290">
        <v>0</v>
      </c>
      <c r="P28" s="357" t="str">
        <f t="shared" si="7"/>
        <v/>
      </c>
      <c r="Q28"/>
      <c r="R28"/>
      <c r="S28"/>
      <c r="T28"/>
    </row>
    <row r="29" spans="1:20" ht="20.100000000000001" customHeight="1" x14ac:dyDescent="0.25">
      <c r="A29" s="355" t="s">
        <v>294</v>
      </c>
      <c r="B29" s="356">
        <v>1930212</v>
      </c>
      <c r="C29" s="286">
        <v>0</v>
      </c>
      <c r="D29" s="291">
        <v>1930212</v>
      </c>
      <c r="E29" s="290">
        <v>1930212</v>
      </c>
      <c r="F29" s="357">
        <f t="shared" si="4"/>
        <v>0</v>
      </c>
      <c r="G29" s="291">
        <v>0</v>
      </c>
      <c r="H29" s="290">
        <v>0</v>
      </c>
      <c r="I29" s="357" t="str">
        <f t="shared" si="5"/>
        <v/>
      </c>
      <c r="J29" s="358"/>
      <c r="K29" s="291">
        <v>1930212</v>
      </c>
      <c r="L29" s="290">
        <v>1930212</v>
      </c>
      <c r="M29" s="357">
        <f t="shared" si="6"/>
        <v>0</v>
      </c>
      <c r="N29" s="291">
        <v>0</v>
      </c>
      <c r="O29" s="290">
        <v>0</v>
      </c>
      <c r="P29" s="357" t="str">
        <f t="shared" si="7"/>
        <v/>
      </c>
      <c r="Q29"/>
      <c r="R29"/>
      <c r="S29"/>
      <c r="T29"/>
    </row>
    <row r="30" spans="1:20" ht="20.100000000000001" customHeight="1" x14ac:dyDescent="0.25">
      <c r="A30" s="355" t="s">
        <v>295</v>
      </c>
      <c r="B30" s="356">
        <v>0</v>
      </c>
      <c r="C30" s="286">
        <v>0</v>
      </c>
      <c r="D30" s="291">
        <v>0</v>
      </c>
      <c r="E30" s="290">
        <v>0</v>
      </c>
      <c r="F30" s="357" t="str">
        <f t="shared" si="4"/>
        <v/>
      </c>
      <c r="G30" s="291">
        <v>0</v>
      </c>
      <c r="H30" s="290">
        <v>0</v>
      </c>
      <c r="I30" s="357" t="str">
        <f t="shared" si="5"/>
        <v/>
      </c>
      <c r="J30" s="358"/>
      <c r="K30" s="291">
        <v>0</v>
      </c>
      <c r="L30" s="290">
        <v>0</v>
      </c>
      <c r="M30" s="357" t="str">
        <f t="shared" si="6"/>
        <v/>
      </c>
      <c r="N30" s="291">
        <v>0</v>
      </c>
      <c r="O30" s="290">
        <v>0</v>
      </c>
      <c r="P30" s="357" t="str">
        <f t="shared" si="7"/>
        <v/>
      </c>
      <c r="Q30"/>
      <c r="R30"/>
      <c r="S30"/>
      <c r="T30"/>
    </row>
    <row r="31" spans="1:20" ht="20.100000000000001" customHeight="1" x14ac:dyDescent="0.25">
      <c r="A31" s="355" t="s">
        <v>296</v>
      </c>
      <c r="B31" s="356">
        <v>0</v>
      </c>
      <c r="C31" s="286">
        <v>0</v>
      </c>
      <c r="D31" s="291">
        <v>0</v>
      </c>
      <c r="E31" s="290">
        <v>0</v>
      </c>
      <c r="F31" s="357" t="str">
        <f t="shared" si="4"/>
        <v/>
      </c>
      <c r="G31" s="291">
        <v>0</v>
      </c>
      <c r="H31" s="290">
        <v>0</v>
      </c>
      <c r="I31" s="357" t="str">
        <f t="shared" si="5"/>
        <v/>
      </c>
      <c r="J31" s="358"/>
      <c r="K31" s="291">
        <v>0</v>
      </c>
      <c r="L31" s="290">
        <v>0</v>
      </c>
      <c r="M31" s="357" t="str">
        <f t="shared" si="6"/>
        <v/>
      </c>
      <c r="N31" s="291">
        <v>0</v>
      </c>
      <c r="O31" s="290">
        <v>0</v>
      </c>
      <c r="P31" s="357" t="str">
        <f t="shared" si="7"/>
        <v/>
      </c>
      <c r="Q31"/>
      <c r="R31"/>
      <c r="S31"/>
      <c r="T31"/>
    </row>
    <row r="32" spans="1:20" ht="20.100000000000001" customHeight="1" x14ac:dyDescent="0.25">
      <c r="A32" s="355" t="s">
        <v>297</v>
      </c>
      <c r="B32" s="356">
        <v>0</v>
      </c>
      <c r="C32" s="286">
        <v>0</v>
      </c>
      <c r="D32" s="291">
        <v>4000000</v>
      </c>
      <c r="E32" s="290">
        <v>2000000</v>
      </c>
      <c r="F32" s="357" t="str">
        <f t="shared" si="4"/>
        <v/>
      </c>
      <c r="G32" s="291">
        <v>0</v>
      </c>
      <c r="H32" s="290">
        <v>0</v>
      </c>
      <c r="I32" s="357" t="str">
        <f t="shared" si="5"/>
        <v/>
      </c>
      <c r="J32" s="358"/>
      <c r="K32" s="291">
        <v>4000000</v>
      </c>
      <c r="L32" s="290">
        <v>2000000</v>
      </c>
      <c r="M32" s="357" t="str">
        <f t="shared" si="6"/>
        <v/>
      </c>
      <c r="N32" s="291">
        <v>0</v>
      </c>
      <c r="O32" s="290">
        <v>0</v>
      </c>
      <c r="P32" s="357" t="str">
        <f t="shared" si="7"/>
        <v/>
      </c>
      <c r="Q32"/>
      <c r="R32"/>
      <c r="S32"/>
      <c r="T32"/>
    </row>
    <row r="33" spans="1:20" ht="20.100000000000001" customHeight="1" x14ac:dyDescent="0.25">
      <c r="A33" s="355" t="s">
        <v>298</v>
      </c>
      <c r="B33" s="356">
        <v>0</v>
      </c>
      <c r="C33" s="286">
        <v>0</v>
      </c>
      <c r="D33" s="291">
        <v>5500000</v>
      </c>
      <c r="E33" s="290">
        <v>4500000</v>
      </c>
      <c r="F33" s="357" t="str">
        <f t="shared" si="4"/>
        <v/>
      </c>
      <c r="G33" s="291">
        <v>0</v>
      </c>
      <c r="H33" s="290">
        <v>0</v>
      </c>
      <c r="I33" s="357" t="str">
        <f t="shared" si="5"/>
        <v/>
      </c>
      <c r="J33" s="358"/>
      <c r="K33" s="291">
        <v>5500000</v>
      </c>
      <c r="L33" s="290">
        <v>4500000</v>
      </c>
      <c r="M33" s="357" t="str">
        <f t="shared" si="6"/>
        <v/>
      </c>
      <c r="N33" s="291">
        <v>0</v>
      </c>
      <c r="O33" s="290">
        <v>0</v>
      </c>
      <c r="P33" s="357" t="str">
        <f t="shared" si="7"/>
        <v/>
      </c>
      <c r="Q33"/>
      <c r="R33"/>
      <c r="S33"/>
      <c r="T33"/>
    </row>
    <row r="34" spans="1:20" ht="15.75" customHeight="1" thickBot="1" x14ac:dyDescent="0.3">
      <c r="A34" s="293" t="s">
        <v>215</v>
      </c>
      <c r="B34" s="359">
        <f>SUM(B22:B33)</f>
        <v>33315615</v>
      </c>
      <c r="C34" s="297">
        <f>SUM(C22:C33)</f>
        <v>0</v>
      </c>
      <c r="D34" s="298">
        <f>SUM(D22:D33)</f>
        <v>44608550</v>
      </c>
      <c r="E34" s="296">
        <f>SUM(E22:E33)</f>
        <v>41558550</v>
      </c>
      <c r="F34" s="360">
        <f t="shared" si="4"/>
        <v>0.24741956587023833</v>
      </c>
      <c r="G34" s="298">
        <f>SUM(G22:G33)</f>
        <v>0</v>
      </c>
      <c r="H34" s="296">
        <f>SUM(H22:H33)</f>
        <v>0</v>
      </c>
      <c r="I34" s="360" t="str">
        <f t="shared" si="5"/>
        <v/>
      </c>
      <c r="J34" s="49"/>
      <c r="K34" s="298">
        <f>SUM(K22:K33)</f>
        <v>42578550</v>
      </c>
      <c r="L34" s="296">
        <f>SUM(L22:L33)</f>
        <v>39528550</v>
      </c>
      <c r="M34" s="360">
        <f t="shared" si="6"/>
        <v>0.18648717725907207</v>
      </c>
      <c r="N34" s="298">
        <f>SUM(N22:N33)</f>
        <v>0</v>
      </c>
      <c r="O34" s="296">
        <f>SUM(O22:O33)</f>
        <v>0</v>
      </c>
      <c r="P34" s="360" t="str">
        <f t="shared" si="7"/>
        <v/>
      </c>
      <c r="Q34"/>
      <c r="R34"/>
      <c r="S34"/>
      <c r="T34"/>
    </row>
    <row r="35" spans="1:20" ht="16.5" customHeight="1" thickTop="1" thickBot="1" x14ac:dyDescent="0.3">
      <c r="A35" s="275" t="s">
        <v>216</v>
      </c>
      <c r="B35" s="351"/>
      <c r="C35" s="277"/>
      <c r="D35" s="278"/>
      <c r="E35" s="276"/>
      <c r="F35" s="277"/>
      <c r="G35" s="278"/>
      <c r="H35" s="276"/>
      <c r="I35" s="277"/>
      <c r="J35" s="352"/>
      <c r="K35" s="278"/>
      <c r="L35" s="276"/>
      <c r="M35" s="277"/>
      <c r="N35" s="278"/>
      <c r="O35" s="276"/>
      <c r="P35" s="277"/>
      <c r="Q35"/>
      <c r="R35"/>
      <c r="S35"/>
      <c r="T35"/>
    </row>
    <row r="36" spans="1:20" ht="20.100000000000001" customHeight="1" x14ac:dyDescent="0.25">
      <c r="A36" s="353" t="s">
        <v>299</v>
      </c>
      <c r="B36" s="354">
        <v>4384956</v>
      </c>
      <c r="C36" s="283">
        <v>0</v>
      </c>
      <c r="D36" s="284">
        <v>4495000</v>
      </c>
      <c r="E36" s="282">
        <v>4384956</v>
      </c>
      <c r="F36" s="25">
        <f>IF($B36 &gt; 0, (E36-$B36)/$B36, "")</f>
        <v>0</v>
      </c>
      <c r="G36" s="284">
        <v>0</v>
      </c>
      <c r="H36" s="282">
        <v>0</v>
      </c>
      <c r="I36" s="25" t="str">
        <f>IF($C36 &gt; 0, (H36-$C36)/$C36, "")</f>
        <v/>
      </c>
      <c r="J36" s="26"/>
      <c r="K36" s="284">
        <v>4607000</v>
      </c>
      <c r="L36" s="282">
        <v>4384956</v>
      </c>
      <c r="M36" s="25">
        <f>IF($B36 &gt; 0, (L36-$B36)/$B36, "")</f>
        <v>0</v>
      </c>
      <c r="N36" s="284">
        <v>0</v>
      </c>
      <c r="O36" s="282">
        <v>0</v>
      </c>
      <c r="P36" s="25" t="str">
        <f>IF($C36 &gt; 0, (O36-$C36)/$C36, "")</f>
        <v/>
      </c>
      <c r="Q36"/>
      <c r="R36"/>
      <c r="S36"/>
      <c r="T36"/>
    </row>
    <row r="37" spans="1:20" ht="20.100000000000001" customHeight="1" x14ac:dyDescent="0.25">
      <c r="A37" s="355" t="s">
        <v>300</v>
      </c>
      <c r="B37" s="356">
        <v>174050</v>
      </c>
      <c r="C37" s="286">
        <v>0</v>
      </c>
      <c r="D37" s="291">
        <v>173285</v>
      </c>
      <c r="E37" s="290">
        <v>173285</v>
      </c>
      <c r="F37" s="357">
        <f>IF($B37 &gt; 0, (E37-$B37)/$B37, "")</f>
        <v>-4.3952887101407646E-3</v>
      </c>
      <c r="G37" s="291">
        <v>0</v>
      </c>
      <c r="H37" s="290">
        <v>0</v>
      </c>
      <c r="I37" s="357" t="str">
        <f>IF($C37 &gt; 0, (H37-$C37)/$C37, "")</f>
        <v/>
      </c>
      <c r="J37" s="358"/>
      <c r="K37" s="291">
        <v>173285</v>
      </c>
      <c r="L37" s="290">
        <v>173285</v>
      </c>
      <c r="M37" s="357">
        <f>IF($B37 &gt; 0, (L37-$B37)/$B37, "")</f>
        <v>-4.3952887101407646E-3</v>
      </c>
      <c r="N37" s="291">
        <v>0</v>
      </c>
      <c r="O37" s="290">
        <v>0</v>
      </c>
      <c r="P37" s="357" t="str">
        <f>IF($C37 &gt; 0, (O37-$C37)/$C37, "")</f>
        <v/>
      </c>
      <c r="Q37"/>
      <c r="R37"/>
      <c r="S37"/>
      <c r="T37"/>
    </row>
    <row r="38" spans="1:20" ht="20.100000000000001" customHeight="1" x14ac:dyDescent="0.25">
      <c r="A38" s="355" t="s">
        <v>301</v>
      </c>
      <c r="B38" s="356">
        <v>2500000</v>
      </c>
      <c r="C38" s="286">
        <v>0</v>
      </c>
      <c r="D38" s="291">
        <v>7500000</v>
      </c>
      <c r="E38" s="290">
        <v>2500000</v>
      </c>
      <c r="F38" s="357">
        <f>IF($B38 &gt; 0, (E38-$B38)/$B38, "")</f>
        <v>0</v>
      </c>
      <c r="G38" s="291">
        <v>0</v>
      </c>
      <c r="H38" s="290">
        <v>0</v>
      </c>
      <c r="I38" s="357" t="str">
        <f>IF($C38 &gt; 0, (H38-$C38)/$C38, "")</f>
        <v/>
      </c>
      <c r="J38" s="358"/>
      <c r="K38" s="291">
        <v>2500000</v>
      </c>
      <c r="L38" s="290">
        <v>2500000</v>
      </c>
      <c r="M38" s="357">
        <f>IF($B38 &gt; 0, (L38-$B38)/$B38, "")</f>
        <v>0</v>
      </c>
      <c r="N38" s="291">
        <v>0</v>
      </c>
      <c r="O38" s="290">
        <v>0</v>
      </c>
      <c r="P38" s="357" t="str">
        <f>IF($C38 &gt; 0, (O38-$C38)/$C38, "")</f>
        <v/>
      </c>
      <c r="Q38"/>
      <c r="R38"/>
      <c r="S38"/>
      <c r="T38"/>
    </row>
    <row r="39" spans="1:20" x14ac:dyDescent="0.25">
      <c r="A39" s="293" t="s">
        <v>227</v>
      </c>
      <c r="B39" s="359">
        <f>SUM(B36:B38)</f>
        <v>7059006</v>
      </c>
      <c r="C39" s="297">
        <f>SUM(C36:C38)</f>
        <v>0</v>
      </c>
      <c r="D39" s="298">
        <f>SUM(D36:D38)</f>
        <v>12168285</v>
      </c>
      <c r="E39" s="296">
        <f>SUM(E36:E38)</f>
        <v>7058241</v>
      </c>
      <c r="F39" s="360">
        <f>IF($B39 &gt; 0, (E39-$B39)/$B39, "")</f>
        <v>-1.0837219857866675E-4</v>
      </c>
      <c r="G39" s="298">
        <f>SUM(G36:G38)</f>
        <v>0</v>
      </c>
      <c r="H39" s="296">
        <f>SUM(H36:H38)</f>
        <v>0</v>
      </c>
      <c r="I39" s="360" t="str">
        <f>IF($C39 &gt; 0, (H39-$C39)/$C39, "")</f>
        <v/>
      </c>
      <c r="J39" s="49"/>
      <c r="K39" s="298">
        <f>SUM(K36:K38)</f>
        <v>7280285</v>
      </c>
      <c r="L39" s="296">
        <f>SUM(L36:L38)</f>
        <v>7058241</v>
      </c>
      <c r="M39" s="360">
        <f>IF($B39 &gt; 0, (L39-$B39)/$B39, "")</f>
        <v>-1.0837219857866675E-4</v>
      </c>
      <c r="N39" s="298">
        <f>SUM(N36:N38)</f>
        <v>0</v>
      </c>
      <c r="O39" s="296">
        <f>SUM(O36:O38)</f>
        <v>0</v>
      </c>
      <c r="P39" s="360" t="str">
        <f>IF($C39 &gt; 0, (O39-$C39)/$C39, "")</f>
        <v/>
      </c>
    </row>
    <row r="40" spans="1:20" x14ac:dyDescent="0.25">
      <c r="A40" s="275" t="s">
        <v>228</v>
      </c>
      <c r="B40" s="351"/>
      <c r="C40" s="277"/>
      <c r="D40" s="278"/>
      <c r="E40" s="276"/>
      <c r="F40" s="277"/>
      <c r="G40" s="278"/>
      <c r="H40" s="276"/>
      <c r="I40" s="277"/>
      <c r="J40" s="352"/>
      <c r="K40" s="278"/>
      <c r="L40" s="276"/>
      <c r="M40" s="277"/>
      <c r="N40" s="278"/>
      <c r="O40" s="276"/>
      <c r="P40" s="277"/>
    </row>
    <row r="41" spans="1:20" ht="20.100000000000001" customHeight="1" x14ac:dyDescent="0.25">
      <c r="A41" s="353" t="s">
        <v>302</v>
      </c>
      <c r="B41" s="354">
        <v>0</v>
      </c>
      <c r="C41" s="283">
        <v>446438</v>
      </c>
      <c r="D41" s="284">
        <v>0</v>
      </c>
      <c r="E41" s="282">
        <v>0</v>
      </c>
      <c r="F41" s="25" t="str">
        <f t="shared" ref="F41:F46" si="8">IF($B41 &gt; 0, (E41-$B41)/$B41, "")</f>
        <v/>
      </c>
      <c r="G41" s="284">
        <v>457600</v>
      </c>
      <c r="H41" s="282">
        <v>446438</v>
      </c>
      <c r="I41" s="25">
        <f t="shared" ref="I41:I46" si="9">IF($C41 &gt; 0, (H41-$C41)/$C41, "")</f>
        <v>0</v>
      </c>
      <c r="J41" s="26"/>
      <c r="K41" s="284">
        <v>0</v>
      </c>
      <c r="L41" s="282">
        <v>0</v>
      </c>
      <c r="M41" s="25" t="str">
        <f t="shared" ref="M41:M46" si="10">IF($B41 &gt; 0, (L41-$B41)/$B41, "")</f>
        <v/>
      </c>
      <c r="N41" s="284">
        <v>457600</v>
      </c>
      <c r="O41" s="282">
        <v>446438</v>
      </c>
      <c r="P41" s="25">
        <f t="shared" ref="P41:P46" si="11">IF($C41 &gt; 0, (O41-$C41)/$C41, "")</f>
        <v>0</v>
      </c>
      <c r="Q41"/>
      <c r="R41"/>
      <c r="S41"/>
      <c r="T41"/>
    </row>
    <row r="42" spans="1:20" ht="20.100000000000001" customHeight="1" x14ac:dyDescent="0.25">
      <c r="A42" s="355" t="s">
        <v>303</v>
      </c>
      <c r="B42" s="356">
        <v>147950</v>
      </c>
      <c r="C42" s="286">
        <v>0</v>
      </c>
      <c r="D42" s="291">
        <v>126525</v>
      </c>
      <c r="E42" s="290">
        <v>126525</v>
      </c>
      <c r="F42" s="357">
        <f t="shared" si="8"/>
        <v>-0.14481243663399798</v>
      </c>
      <c r="G42" s="291">
        <v>0</v>
      </c>
      <c r="H42" s="290">
        <v>0</v>
      </c>
      <c r="I42" s="357" t="str">
        <f t="shared" si="9"/>
        <v/>
      </c>
      <c r="J42" s="358"/>
      <c r="K42" s="291">
        <v>126525</v>
      </c>
      <c r="L42" s="290">
        <v>126525</v>
      </c>
      <c r="M42" s="357">
        <f t="shared" si="10"/>
        <v>-0.14481243663399798</v>
      </c>
      <c r="N42" s="291">
        <v>0</v>
      </c>
      <c r="O42" s="290">
        <v>0</v>
      </c>
      <c r="P42" s="357" t="str">
        <f t="shared" si="11"/>
        <v/>
      </c>
      <c r="Q42"/>
      <c r="R42"/>
      <c r="S42"/>
      <c r="T42"/>
    </row>
    <row r="43" spans="1:20" ht="20.100000000000001" customHeight="1" x14ac:dyDescent="0.25">
      <c r="A43" s="355" t="s">
        <v>304</v>
      </c>
      <c r="B43" s="356">
        <v>204000</v>
      </c>
      <c r="C43" s="286">
        <v>0</v>
      </c>
      <c r="D43" s="291">
        <v>209100</v>
      </c>
      <c r="E43" s="290">
        <v>204000</v>
      </c>
      <c r="F43" s="357">
        <f t="shared" si="8"/>
        <v>0</v>
      </c>
      <c r="G43" s="291">
        <v>0</v>
      </c>
      <c r="H43" s="290">
        <v>0</v>
      </c>
      <c r="I43" s="357" t="str">
        <f t="shared" si="9"/>
        <v/>
      </c>
      <c r="J43" s="358"/>
      <c r="K43" s="291">
        <v>209100</v>
      </c>
      <c r="L43" s="290">
        <v>204000</v>
      </c>
      <c r="M43" s="357">
        <f t="shared" si="10"/>
        <v>0</v>
      </c>
      <c r="N43" s="291">
        <v>0</v>
      </c>
      <c r="O43" s="290">
        <v>0</v>
      </c>
      <c r="P43" s="357" t="str">
        <f t="shared" si="11"/>
        <v/>
      </c>
      <c r="Q43"/>
      <c r="R43"/>
      <c r="S43"/>
      <c r="T43"/>
    </row>
    <row r="44" spans="1:20" ht="20.100000000000001" customHeight="1" x14ac:dyDescent="0.25">
      <c r="A44" s="355" t="s">
        <v>305</v>
      </c>
      <c r="B44" s="356">
        <v>600000</v>
      </c>
      <c r="C44" s="286">
        <v>0</v>
      </c>
      <c r="D44" s="291">
        <v>615000</v>
      </c>
      <c r="E44" s="290">
        <v>600000</v>
      </c>
      <c r="F44" s="357">
        <f t="shared" si="8"/>
        <v>0</v>
      </c>
      <c r="G44" s="291">
        <v>0</v>
      </c>
      <c r="H44" s="290">
        <v>0</v>
      </c>
      <c r="I44" s="357" t="str">
        <f t="shared" si="9"/>
        <v/>
      </c>
      <c r="J44" s="358"/>
      <c r="K44" s="291">
        <v>615000</v>
      </c>
      <c r="L44" s="290">
        <v>600000</v>
      </c>
      <c r="M44" s="357">
        <f t="shared" si="10"/>
        <v>0</v>
      </c>
      <c r="N44" s="291">
        <v>0</v>
      </c>
      <c r="O44" s="290">
        <v>0</v>
      </c>
      <c r="P44" s="357" t="str">
        <f t="shared" si="11"/>
        <v/>
      </c>
      <c r="Q44"/>
      <c r="R44"/>
      <c r="S44"/>
      <c r="T44"/>
    </row>
    <row r="45" spans="1:20" ht="20.100000000000001" customHeight="1" x14ac:dyDescent="0.25">
      <c r="A45" s="355" t="s">
        <v>306</v>
      </c>
      <c r="B45" s="356">
        <v>0</v>
      </c>
      <c r="C45" s="286">
        <v>0</v>
      </c>
      <c r="D45" s="291">
        <v>0</v>
      </c>
      <c r="E45" s="290">
        <v>2350000</v>
      </c>
      <c r="F45" s="357" t="str">
        <f t="shared" si="8"/>
        <v/>
      </c>
      <c r="G45" s="291">
        <v>0</v>
      </c>
      <c r="H45" s="290">
        <v>0</v>
      </c>
      <c r="I45" s="357" t="str">
        <f t="shared" si="9"/>
        <v/>
      </c>
      <c r="J45" s="358"/>
      <c r="K45" s="291">
        <v>0</v>
      </c>
      <c r="L45" s="290">
        <v>2350000</v>
      </c>
      <c r="M45" s="357" t="str">
        <f t="shared" si="10"/>
        <v/>
      </c>
      <c r="N45" s="291">
        <v>0</v>
      </c>
      <c r="O45" s="290">
        <v>0</v>
      </c>
      <c r="P45" s="357" t="str">
        <f t="shared" si="11"/>
        <v/>
      </c>
      <c r="Q45"/>
      <c r="R45"/>
      <c r="S45"/>
      <c r="T45"/>
    </row>
    <row r="46" spans="1:20" x14ac:dyDescent="0.25">
      <c r="A46" s="293" t="s">
        <v>231</v>
      </c>
      <c r="B46" s="359">
        <f>SUM(B41:B45)</f>
        <v>951950</v>
      </c>
      <c r="C46" s="297">
        <f>SUM(C41:C45)</f>
        <v>446438</v>
      </c>
      <c r="D46" s="298">
        <f>SUM(D41:D45)</f>
        <v>950625</v>
      </c>
      <c r="E46" s="296">
        <f>SUM(E41:E45)</f>
        <v>3280525</v>
      </c>
      <c r="F46" s="360">
        <f t="shared" si="8"/>
        <v>2.4461106150533118</v>
      </c>
      <c r="G46" s="298">
        <f>SUM(G41:G45)</f>
        <v>457600</v>
      </c>
      <c r="H46" s="296">
        <f>SUM(H41:H45)</f>
        <v>446438</v>
      </c>
      <c r="I46" s="360">
        <f t="shared" si="9"/>
        <v>0</v>
      </c>
      <c r="J46" s="49"/>
      <c r="K46" s="298">
        <f>SUM(K41:K45)</f>
        <v>950625</v>
      </c>
      <c r="L46" s="296">
        <f>SUM(L41:L45)</f>
        <v>3280525</v>
      </c>
      <c r="M46" s="360">
        <f t="shared" si="10"/>
        <v>2.4461106150533118</v>
      </c>
      <c r="N46" s="298">
        <f>SUM(N41:N45)</f>
        <v>457600</v>
      </c>
      <c r="O46" s="296">
        <f>SUM(O41:O45)</f>
        <v>446438</v>
      </c>
      <c r="P46" s="360">
        <f t="shared" si="11"/>
        <v>0</v>
      </c>
    </row>
    <row r="47" spans="1:20" x14ac:dyDescent="0.25">
      <c r="A47" s="275" t="s">
        <v>232</v>
      </c>
      <c r="B47" s="351"/>
      <c r="C47" s="277"/>
      <c r="D47" s="278"/>
      <c r="E47" s="276"/>
      <c r="F47" s="277"/>
      <c r="G47" s="278"/>
      <c r="H47" s="276"/>
      <c r="I47" s="277"/>
      <c r="J47" s="352"/>
      <c r="K47" s="278"/>
      <c r="L47" s="276"/>
      <c r="M47" s="277"/>
      <c r="N47" s="278"/>
      <c r="O47" s="276"/>
      <c r="P47" s="277"/>
    </row>
    <row r="48" spans="1:20" ht="20.100000000000001" customHeight="1" x14ac:dyDescent="0.25">
      <c r="A48" s="353" t="s">
        <v>307</v>
      </c>
      <c r="B48" s="354">
        <v>320450</v>
      </c>
      <c r="C48" s="283">
        <v>0</v>
      </c>
      <c r="D48" s="284">
        <v>211785</v>
      </c>
      <c r="E48" s="282">
        <v>211785</v>
      </c>
      <c r="F48" s="25">
        <f>IF($B48 &gt; 0, (E48-$B48)/$B48, "")</f>
        <v>-0.33910126384771416</v>
      </c>
      <c r="G48" s="284">
        <v>0</v>
      </c>
      <c r="H48" s="282">
        <v>0</v>
      </c>
      <c r="I48" s="25" t="str">
        <f>IF($C48 &gt; 0, (H48-$C48)/$C48, "")</f>
        <v/>
      </c>
      <c r="J48" s="26"/>
      <c r="K48" s="284">
        <v>211785</v>
      </c>
      <c r="L48" s="282">
        <v>211785</v>
      </c>
      <c r="M48" s="25">
        <f>IF($B48 &gt; 0, (L48-$B48)/$B48, "")</f>
        <v>-0.33910126384771416</v>
      </c>
      <c r="N48" s="284">
        <v>0</v>
      </c>
      <c r="O48" s="282">
        <v>0</v>
      </c>
      <c r="P48" s="25" t="str">
        <f>IF($C48 &gt; 0, (O48-$C48)/$C48, "")</f>
        <v/>
      </c>
      <c r="Q48"/>
      <c r="R48"/>
      <c r="S48"/>
      <c r="T48"/>
    </row>
    <row r="49" spans="1:20" ht="20.100000000000001" customHeight="1" x14ac:dyDescent="0.25">
      <c r="A49" s="355" t="s">
        <v>308</v>
      </c>
      <c r="B49" s="356">
        <v>486878</v>
      </c>
      <c r="C49" s="286">
        <v>0</v>
      </c>
      <c r="D49" s="291">
        <v>530697</v>
      </c>
      <c r="E49" s="290">
        <v>486878</v>
      </c>
      <c r="F49" s="357">
        <f>IF($B49 &gt; 0, (E49-$B49)/$B49, "")</f>
        <v>0</v>
      </c>
      <c r="G49" s="291">
        <v>0</v>
      </c>
      <c r="H49" s="290">
        <v>0</v>
      </c>
      <c r="I49" s="357" t="str">
        <f>IF($C49 &gt; 0, (H49-$C49)/$C49, "")</f>
        <v/>
      </c>
      <c r="J49" s="358"/>
      <c r="K49" s="291">
        <v>576488</v>
      </c>
      <c r="L49" s="290">
        <v>486878</v>
      </c>
      <c r="M49" s="357">
        <f>IF($B49 &gt; 0, (L49-$B49)/$B49, "")</f>
        <v>0</v>
      </c>
      <c r="N49" s="291">
        <v>0</v>
      </c>
      <c r="O49" s="290">
        <v>0</v>
      </c>
      <c r="P49" s="357" t="str">
        <f>IF($C49 &gt; 0, (O49-$C49)/$C49, "")</f>
        <v/>
      </c>
      <c r="Q49"/>
      <c r="R49"/>
      <c r="S49"/>
      <c r="T49"/>
    </row>
    <row r="50" spans="1:20" ht="20.100000000000001" customHeight="1" x14ac:dyDescent="0.25">
      <c r="A50" s="355" t="s">
        <v>309</v>
      </c>
      <c r="B50" s="356">
        <v>0</v>
      </c>
      <c r="C50" s="286">
        <v>0</v>
      </c>
      <c r="D50" s="291">
        <v>750000</v>
      </c>
      <c r="E50" s="290">
        <v>750000</v>
      </c>
      <c r="F50" s="357" t="str">
        <f>IF($B50 &gt; 0, (E50-$B50)/$B50, "")</f>
        <v/>
      </c>
      <c r="G50" s="291">
        <v>0</v>
      </c>
      <c r="H50" s="290">
        <v>0</v>
      </c>
      <c r="I50" s="357" t="str">
        <f>IF($C50 &gt; 0, (H50-$C50)/$C50, "")</f>
        <v/>
      </c>
      <c r="J50" s="358"/>
      <c r="K50" s="291">
        <v>750000</v>
      </c>
      <c r="L50" s="290">
        <v>750000</v>
      </c>
      <c r="M50" s="357" t="str">
        <f>IF($B50 &gt; 0, (L50-$B50)/$B50, "")</f>
        <v/>
      </c>
      <c r="N50" s="291">
        <v>0</v>
      </c>
      <c r="O50" s="290">
        <v>0</v>
      </c>
      <c r="P50" s="357" t="str">
        <f>IF($C50 &gt; 0, (O50-$C50)/$C50, "")</f>
        <v/>
      </c>
      <c r="Q50"/>
      <c r="R50"/>
      <c r="S50"/>
      <c r="T50"/>
    </row>
    <row r="51" spans="1:20" ht="20.100000000000001" customHeight="1" x14ac:dyDescent="0.25">
      <c r="A51" s="355" t="s">
        <v>310</v>
      </c>
      <c r="B51" s="356">
        <v>0</v>
      </c>
      <c r="C51" s="286">
        <v>0</v>
      </c>
      <c r="D51" s="291">
        <v>2000000</v>
      </c>
      <c r="E51" s="290">
        <v>0</v>
      </c>
      <c r="F51" s="357" t="str">
        <f>IF($B51 &gt; 0, (E51-$B51)/$B51, "")</f>
        <v/>
      </c>
      <c r="G51" s="291">
        <v>0</v>
      </c>
      <c r="H51" s="290">
        <v>0</v>
      </c>
      <c r="I51" s="357" t="str">
        <f>IF($C51 &gt; 0, (H51-$C51)/$C51, "")</f>
        <v/>
      </c>
      <c r="J51" s="358"/>
      <c r="K51" s="291">
        <v>2000000</v>
      </c>
      <c r="L51" s="290">
        <v>0</v>
      </c>
      <c r="M51" s="357" t="str">
        <f>IF($B51 &gt; 0, (L51-$B51)/$B51, "")</f>
        <v/>
      </c>
      <c r="N51" s="291">
        <v>0</v>
      </c>
      <c r="O51" s="290">
        <v>0</v>
      </c>
      <c r="P51" s="357" t="str">
        <f>IF($C51 &gt; 0, (O51-$C51)/$C51, "")</f>
        <v/>
      </c>
      <c r="Q51"/>
      <c r="R51"/>
      <c r="S51"/>
      <c r="T51"/>
    </row>
    <row r="52" spans="1:20" x14ac:dyDescent="0.25">
      <c r="A52" s="293" t="s">
        <v>235</v>
      </c>
      <c r="B52" s="359">
        <f>SUM(B48:B51)</f>
        <v>807328</v>
      </c>
      <c r="C52" s="297">
        <f>SUM(C48:C51)</f>
        <v>0</v>
      </c>
      <c r="D52" s="298">
        <f>SUM(D48:D51)</f>
        <v>3492482</v>
      </c>
      <c r="E52" s="296">
        <f>SUM(E48:E51)</f>
        <v>1448663</v>
      </c>
      <c r="F52" s="360">
        <f>IF($B52 &gt; 0, (E52-$B52)/$B52, "")</f>
        <v>0.79439211819731259</v>
      </c>
      <c r="G52" s="298">
        <f>SUM(G48:G51)</f>
        <v>0</v>
      </c>
      <c r="H52" s="296">
        <f>SUM(H48:H51)</f>
        <v>0</v>
      </c>
      <c r="I52" s="360" t="str">
        <f>IF($C52 &gt; 0, (H52-$C52)/$C52, "")</f>
        <v/>
      </c>
      <c r="J52" s="49"/>
      <c r="K52" s="298">
        <f>SUM(K48:K51)</f>
        <v>3538273</v>
      </c>
      <c r="L52" s="296">
        <f>SUM(L48:L51)</f>
        <v>1448663</v>
      </c>
      <c r="M52" s="360">
        <f>IF($B52 &gt; 0, (L52-$B52)/$B52, "")</f>
        <v>0.79439211819731259</v>
      </c>
      <c r="N52" s="298">
        <f>SUM(N48:N51)</f>
        <v>0</v>
      </c>
      <c r="O52" s="296">
        <f>SUM(O48:O51)</f>
        <v>0</v>
      </c>
      <c r="P52" s="360" t="str">
        <f>IF($C52 &gt; 0, (O52-$C52)/$C52, "")</f>
        <v/>
      </c>
    </row>
    <row r="53" spans="1:20" x14ac:dyDescent="0.25">
      <c r="A53" s="275" t="s">
        <v>236</v>
      </c>
      <c r="B53" s="351"/>
      <c r="C53" s="277"/>
      <c r="D53" s="278"/>
      <c r="E53" s="276"/>
      <c r="F53" s="277"/>
      <c r="G53" s="278"/>
      <c r="H53" s="276"/>
      <c r="I53" s="277"/>
      <c r="J53" s="352"/>
      <c r="K53" s="278"/>
      <c r="L53" s="276"/>
      <c r="M53" s="277"/>
      <c r="N53" s="278"/>
      <c r="O53" s="276"/>
      <c r="P53" s="277"/>
    </row>
    <row r="54" spans="1:20" ht="20.100000000000001" customHeight="1" x14ac:dyDescent="0.25">
      <c r="A54" s="353" t="s">
        <v>311</v>
      </c>
      <c r="B54" s="354">
        <v>0</v>
      </c>
      <c r="C54" s="283">
        <v>0</v>
      </c>
      <c r="D54" s="284">
        <v>3000000</v>
      </c>
      <c r="E54" s="282">
        <v>0</v>
      </c>
      <c r="F54" s="25" t="str">
        <f>IF($B54 &gt; 0, (E54-$B54)/$B54, "")</f>
        <v/>
      </c>
      <c r="G54" s="284">
        <v>0</v>
      </c>
      <c r="H54" s="282">
        <v>0</v>
      </c>
      <c r="I54" s="25" t="str">
        <f>IF($C54 &gt; 0, (H54-$C54)/$C54, "")</f>
        <v/>
      </c>
      <c r="J54" s="26"/>
      <c r="K54" s="284">
        <v>3000000</v>
      </c>
      <c r="L54" s="282">
        <v>0</v>
      </c>
      <c r="M54" s="25" t="str">
        <f>IF($B54 &gt; 0, (L54-$B54)/$B54, "")</f>
        <v/>
      </c>
      <c r="N54" s="284">
        <v>0</v>
      </c>
      <c r="O54" s="282">
        <v>0</v>
      </c>
      <c r="P54" s="25" t="str">
        <f>IF($C54 &gt; 0, (O54-$C54)/$C54, "")</f>
        <v/>
      </c>
      <c r="Q54"/>
      <c r="R54"/>
      <c r="S54"/>
      <c r="T54"/>
    </row>
    <row r="55" spans="1:20" ht="20.100000000000001" customHeight="1" x14ac:dyDescent="0.25">
      <c r="A55" s="355" t="s">
        <v>312</v>
      </c>
      <c r="B55" s="356">
        <v>3158800</v>
      </c>
      <c r="C55" s="286">
        <v>0</v>
      </c>
      <c r="D55" s="291">
        <v>2753660</v>
      </c>
      <c r="E55" s="290">
        <v>2753660</v>
      </c>
      <c r="F55" s="357">
        <f>IF($B55 &gt; 0, (E55-$B55)/$B55, "")</f>
        <v>-0.1282575661643662</v>
      </c>
      <c r="G55" s="291">
        <v>0</v>
      </c>
      <c r="H55" s="290">
        <v>0</v>
      </c>
      <c r="I55" s="357" t="str">
        <f>IF($C55 &gt; 0, (H55-$C55)/$C55, "")</f>
        <v/>
      </c>
      <c r="J55" s="358"/>
      <c r="K55" s="291">
        <v>2753660</v>
      </c>
      <c r="L55" s="290">
        <v>2753660</v>
      </c>
      <c r="M55" s="357">
        <f>IF($B55 &gt; 0, (L55-$B55)/$B55, "")</f>
        <v>-0.1282575661643662</v>
      </c>
      <c r="N55" s="291">
        <v>0</v>
      </c>
      <c r="O55" s="290">
        <v>0</v>
      </c>
      <c r="P55" s="357" t="str">
        <f>IF($C55 &gt; 0, (O55-$C55)/$C55, "")</f>
        <v/>
      </c>
      <c r="Q55"/>
      <c r="R55"/>
      <c r="S55"/>
      <c r="T55"/>
    </row>
    <row r="56" spans="1:20" x14ac:dyDescent="0.25">
      <c r="A56" s="293" t="s">
        <v>245</v>
      </c>
      <c r="B56" s="359">
        <f>SUM(B54:B55)</f>
        <v>3158800</v>
      </c>
      <c r="C56" s="297">
        <f>SUM(C54:C55)</f>
        <v>0</v>
      </c>
      <c r="D56" s="298">
        <f>SUM(D54:D55)</f>
        <v>5753660</v>
      </c>
      <c r="E56" s="296">
        <f>SUM(E54:E55)</f>
        <v>2753660</v>
      </c>
      <c r="F56" s="360">
        <f>IF($B56 &gt; 0, (E56-$B56)/$B56, "")</f>
        <v>-0.1282575661643662</v>
      </c>
      <c r="G56" s="298">
        <f>SUM(G54:G55)</f>
        <v>0</v>
      </c>
      <c r="H56" s="296">
        <f>SUM(H54:H55)</f>
        <v>0</v>
      </c>
      <c r="I56" s="360" t="str">
        <f>IF($C56 &gt; 0, (H56-$C56)/$C56, "")</f>
        <v/>
      </c>
      <c r="J56" s="49"/>
      <c r="K56" s="298">
        <f>SUM(K54:K55)</f>
        <v>5753660</v>
      </c>
      <c r="L56" s="296">
        <f>SUM(L54:L55)</f>
        <v>2753660</v>
      </c>
      <c r="M56" s="360">
        <f>IF($B56 &gt; 0, (L56-$B56)/$B56, "")</f>
        <v>-0.1282575661643662</v>
      </c>
      <c r="N56" s="298">
        <f>SUM(N54:N55)</f>
        <v>0</v>
      </c>
      <c r="O56" s="296">
        <f>SUM(O54:O55)</f>
        <v>0</v>
      </c>
      <c r="P56" s="360" t="str">
        <f>IF($C56 &gt; 0, (O56-$C56)/$C56, "")</f>
        <v/>
      </c>
    </row>
    <row r="57" spans="1:20" x14ac:dyDescent="0.25">
      <c r="A57" s="275" t="s">
        <v>246</v>
      </c>
      <c r="B57" s="351"/>
      <c r="C57" s="277"/>
      <c r="D57" s="278"/>
      <c r="E57" s="276"/>
      <c r="F57" s="277"/>
      <c r="G57" s="278"/>
      <c r="H57" s="276"/>
      <c r="I57" s="277"/>
      <c r="J57" s="352"/>
      <c r="K57" s="278"/>
      <c r="L57" s="276"/>
      <c r="M57" s="277"/>
      <c r="N57" s="278"/>
      <c r="O57" s="276"/>
      <c r="P57" s="277"/>
    </row>
    <row r="58" spans="1:20" ht="20.100000000000001" customHeight="1" x14ac:dyDescent="0.25">
      <c r="A58" s="353" t="s">
        <v>313</v>
      </c>
      <c r="B58" s="354">
        <v>6583450</v>
      </c>
      <c r="C58" s="283">
        <v>0</v>
      </c>
      <c r="D58" s="284">
        <v>9092405</v>
      </c>
      <c r="E58" s="282">
        <v>9092405</v>
      </c>
      <c r="F58" s="25">
        <f t="shared" ref="F58:F63" si="12">IF($B58 &gt; 0, (E58-$B58)/$B58, "")</f>
        <v>0.38110033493077339</v>
      </c>
      <c r="G58" s="284">
        <v>0</v>
      </c>
      <c r="H58" s="282">
        <v>0</v>
      </c>
      <c r="I58" s="25" t="str">
        <f t="shared" ref="I58:I63" si="13">IF($C58 &gt; 0, (H58-$C58)/$C58, "")</f>
        <v/>
      </c>
      <c r="J58" s="26"/>
      <c r="K58" s="284">
        <v>9092405</v>
      </c>
      <c r="L58" s="282">
        <v>9092405</v>
      </c>
      <c r="M58" s="25">
        <f t="shared" ref="M58:M63" si="14">IF($B58 &gt; 0, (L58-$B58)/$B58, "")</f>
        <v>0.38110033493077339</v>
      </c>
      <c r="N58" s="284">
        <v>0</v>
      </c>
      <c r="O58" s="282">
        <v>0</v>
      </c>
      <c r="P58" s="25" t="str">
        <f t="shared" ref="P58:P63" si="15">IF($C58 &gt; 0, (O58-$C58)/$C58, "")</f>
        <v/>
      </c>
      <c r="Q58"/>
      <c r="R58"/>
      <c r="S58"/>
      <c r="T58"/>
    </row>
    <row r="59" spans="1:20" ht="20.100000000000001" customHeight="1" x14ac:dyDescent="0.25">
      <c r="A59" s="355" t="s">
        <v>314</v>
      </c>
      <c r="B59" s="356">
        <v>1000000</v>
      </c>
      <c r="C59" s="286">
        <v>0</v>
      </c>
      <c r="D59" s="291">
        <v>1000000</v>
      </c>
      <c r="E59" s="290">
        <v>1000000</v>
      </c>
      <c r="F59" s="357">
        <f t="shared" si="12"/>
        <v>0</v>
      </c>
      <c r="G59" s="291">
        <v>0</v>
      </c>
      <c r="H59" s="290">
        <v>0</v>
      </c>
      <c r="I59" s="357" t="str">
        <f t="shared" si="13"/>
        <v/>
      </c>
      <c r="J59" s="358"/>
      <c r="K59" s="291">
        <v>1000000</v>
      </c>
      <c r="L59" s="290">
        <v>1000000</v>
      </c>
      <c r="M59" s="357">
        <f t="shared" si="14"/>
        <v>0</v>
      </c>
      <c r="N59" s="291">
        <v>0</v>
      </c>
      <c r="O59" s="290">
        <v>0</v>
      </c>
      <c r="P59" s="357" t="str">
        <f t="shared" si="15"/>
        <v/>
      </c>
      <c r="Q59"/>
      <c r="R59"/>
      <c r="S59"/>
      <c r="T59"/>
    </row>
    <row r="60" spans="1:20" ht="20.100000000000001" customHeight="1" x14ac:dyDescent="0.25">
      <c r="A60" s="355" t="s">
        <v>315</v>
      </c>
      <c r="B60" s="356">
        <v>0</v>
      </c>
      <c r="C60" s="286">
        <v>1057738</v>
      </c>
      <c r="D60" s="291">
        <v>0</v>
      </c>
      <c r="E60" s="290">
        <v>0</v>
      </c>
      <c r="F60" s="357" t="str">
        <f t="shared" si="12"/>
        <v/>
      </c>
      <c r="G60" s="291">
        <v>1089470</v>
      </c>
      <c r="H60" s="290">
        <v>1057738</v>
      </c>
      <c r="I60" s="357">
        <f t="shared" si="13"/>
        <v>0</v>
      </c>
      <c r="J60" s="358"/>
      <c r="K60" s="291">
        <v>0</v>
      </c>
      <c r="L60" s="290">
        <v>0</v>
      </c>
      <c r="M60" s="357" t="str">
        <f t="shared" si="14"/>
        <v/>
      </c>
      <c r="N60" s="291">
        <v>1089470</v>
      </c>
      <c r="O60" s="290">
        <v>1057738</v>
      </c>
      <c r="P60" s="357">
        <f t="shared" si="15"/>
        <v>0</v>
      </c>
      <c r="Q60"/>
      <c r="R60"/>
      <c r="S60"/>
      <c r="T60"/>
    </row>
    <row r="61" spans="1:20" ht="20.100000000000001" customHeight="1" thickBot="1" x14ac:dyDescent="0.3">
      <c r="A61" s="355" t="s">
        <v>316</v>
      </c>
      <c r="B61" s="356">
        <v>85411</v>
      </c>
      <c r="C61" s="286">
        <v>0</v>
      </c>
      <c r="D61" s="291">
        <v>85411</v>
      </c>
      <c r="E61" s="290">
        <v>85411</v>
      </c>
      <c r="F61" s="357">
        <f t="shared" si="12"/>
        <v>0</v>
      </c>
      <c r="G61" s="291">
        <v>0</v>
      </c>
      <c r="H61" s="290">
        <v>0</v>
      </c>
      <c r="I61" s="357" t="str">
        <f t="shared" si="13"/>
        <v/>
      </c>
      <c r="J61" s="358"/>
      <c r="K61" s="291">
        <v>85411</v>
      </c>
      <c r="L61" s="290">
        <v>85411</v>
      </c>
      <c r="M61" s="357">
        <f t="shared" si="14"/>
        <v>0</v>
      </c>
      <c r="N61" s="291">
        <v>0</v>
      </c>
      <c r="O61" s="290">
        <v>0</v>
      </c>
      <c r="P61" s="357" t="str">
        <f t="shared" si="15"/>
        <v/>
      </c>
      <c r="Q61"/>
      <c r="R61"/>
      <c r="S61"/>
      <c r="T61"/>
    </row>
    <row r="62" spans="1:20" ht="20.100000000000001" customHeight="1" thickTop="1" thickBot="1" x14ac:dyDescent="0.3">
      <c r="A62" s="355" t="s">
        <v>317</v>
      </c>
      <c r="B62" s="356">
        <v>0</v>
      </c>
      <c r="C62" s="286">
        <v>710810</v>
      </c>
      <c r="D62" s="291">
        <v>0</v>
      </c>
      <c r="E62" s="290">
        <v>0</v>
      </c>
      <c r="F62" s="357" t="str">
        <f t="shared" si="12"/>
        <v/>
      </c>
      <c r="G62" s="291">
        <v>710810</v>
      </c>
      <c r="H62" s="290">
        <v>710810</v>
      </c>
      <c r="I62" s="357">
        <f t="shared" si="13"/>
        <v>0</v>
      </c>
      <c r="J62" s="358"/>
      <c r="K62" s="291">
        <v>0</v>
      </c>
      <c r="L62" s="290">
        <v>0</v>
      </c>
      <c r="M62" s="357" t="str">
        <f t="shared" si="14"/>
        <v/>
      </c>
      <c r="N62" s="291">
        <v>710810</v>
      </c>
      <c r="O62" s="290">
        <v>710810</v>
      </c>
      <c r="P62" s="357">
        <f t="shared" si="15"/>
        <v>0</v>
      </c>
      <c r="Q62"/>
      <c r="R62"/>
      <c r="S62"/>
      <c r="T62"/>
    </row>
    <row r="63" spans="1:20" x14ac:dyDescent="0.25">
      <c r="A63" s="293" t="s">
        <v>257</v>
      </c>
      <c r="B63" s="359">
        <f>SUM(B58:B62)</f>
        <v>7668861</v>
      </c>
      <c r="C63" s="297">
        <f>SUM(C58:C62)</f>
        <v>1768548</v>
      </c>
      <c r="D63" s="298">
        <f>SUM(D58:D62)</f>
        <v>10177816</v>
      </c>
      <c r="E63" s="296">
        <f>SUM(E58:E62)</f>
        <v>10177816</v>
      </c>
      <c r="F63" s="360">
        <f t="shared" si="12"/>
        <v>0.32716136072879665</v>
      </c>
      <c r="G63" s="298">
        <f>SUM(G58:G62)</f>
        <v>1800280</v>
      </c>
      <c r="H63" s="296">
        <f>SUM(H58:H62)</f>
        <v>1768548</v>
      </c>
      <c r="I63" s="360">
        <f t="shared" si="13"/>
        <v>0</v>
      </c>
      <c r="J63" s="49"/>
      <c r="K63" s="298">
        <f>SUM(K58:K62)</f>
        <v>10177816</v>
      </c>
      <c r="L63" s="296">
        <f>SUM(L58:L62)</f>
        <v>10177816</v>
      </c>
      <c r="M63" s="360">
        <f t="shared" si="14"/>
        <v>0.32716136072879665</v>
      </c>
      <c r="N63" s="298">
        <f>SUM(N58:N62)</f>
        <v>1800280</v>
      </c>
      <c r="O63" s="296">
        <f>SUM(O58:O62)</f>
        <v>1768548</v>
      </c>
      <c r="P63" s="360">
        <f t="shared" si="15"/>
        <v>0</v>
      </c>
    </row>
    <row r="64" spans="1:20" x14ac:dyDescent="0.25">
      <c r="A64" s="275" t="s">
        <v>318</v>
      </c>
      <c r="B64" s="351"/>
      <c r="C64" s="277"/>
      <c r="D64" s="278"/>
      <c r="E64" s="276"/>
      <c r="F64" s="277"/>
      <c r="G64" s="278"/>
      <c r="H64" s="276"/>
      <c r="I64" s="277"/>
      <c r="J64" s="352"/>
      <c r="K64" s="278"/>
      <c r="L64" s="276"/>
      <c r="M64" s="277"/>
      <c r="N64" s="278"/>
      <c r="O64" s="276"/>
      <c r="P64" s="277"/>
    </row>
    <row r="65" spans="1:20" ht="20.100000000000001" customHeight="1" x14ac:dyDescent="0.25">
      <c r="A65" s="353" t="s">
        <v>319</v>
      </c>
      <c r="B65" s="354">
        <v>5202000</v>
      </c>
      <c r="C65" s="283">
        <v>0</v>
      </c>
      <c r="D65" s="284">
        <v>5202000</v>
      </c>
      <c r="E65" s="282">
        <v>5312000</v>
      </c>
      <c r="F65" s="25">
        <f>IF($B65 &gt; 0, (E65-$B65)/$B65, "")</f>
        <v>2.1145713187235678E-2</v>
      </c>
      <c r="G65" s="284">
        <v>0</v>
      </c>
      <c r="H65" s="282">
        <v>0</v>
      </c>
      <c r="I65" s="25" t="str">
        <f>IF($C65 &gt; 0, (H65-$C65)/$C65, "")</f>
        <v/>
      </c>
      <c r="J65" s="26"/>
      <c r="K65" s="284">
        <v>5202000</v>
      </c>
      <c r="L65" s="282">
        <v>5421000</v>
      </c>
      <c r="M65" s="25">
        <f>IF($B65 &gt; 0, (L65-$B65)/$B65, "")</f>
        <v>4.2099192618223757E-2</v>
      </c>
      <c r="N65" s="284">
        <v>0</v>
      </c>
      <c r="O65" s="282">
        <v>0</v>
      </c>
      <c r="P65" s="25" t="str">
        <f>IF($C65 &gt; 0, (O65-$C65)/$C65, "")</f>
        <v/>
      </c>
      <c r="Q65"/>
      <c r="R65"/>
      <c r="S65"/>
      <c r="T65"/>
    </row>
    <row r="66" spans="1:20" x14ac:dyDescent="0.25">
      <c r="A66" s="293" t="s">
        <v>320</v>
      </c>
      <c r="B66" s="359">
        <f>SUM(B65:B65)</f>
        <v>5202000</v>
      </c>
      <c r="C66" s="297">
        <f>SUM(C65:C65)</f>
        <v>0</v>
      </c>
      <c r="D66" s="298">
        <f>SUM(D65:D65)</f>
        <v>5202000</v>
      </c>
      <c r="E66" s="296">
        <f>SUM(E65:E65)</f>
        <v>5312000</v>
      </c>
      <c r="F66" s="360">
        <f>IF($B66 &gt; 0, (E66-$B66)/$B66, "")</f>
        <v>2.1145713187235678E-2</v>
      </c>
      <c r="G66" s="298">
        <f>SUM(G65:G65)</f>
        <v>0</v>
      </c>
      <c r="H66" s="296">
        <f>SUM(H65:H65)</f>
        <v>0</v>
      </c>
      <c r="I66" s="360" t="str">
        <f>IF($C66 &gt; 0, (H66-$C66)/$C66, "")</f>
        <v/>
      </c>
      <c r="J66" s="49"/>
      <c r="K66" s="298">
        <f>SUM(K65:K65)</f>
        <v>5202000</v>
      </c>
      <c r="L66" s="296">
        <f>SUM(L65:L65)</f>
        <v>5421000</v>
      </c>
      <c r="M66" s="360">
        <f>IF($B66 &gt; 0, (L66-$B66)/$B66, "")</f>
        <v>4.2099192618223757E-2</v>
      </c>
      <c r="N66" s="298">
        <f>SUM(N65:N65)</f>
        <v>0</v>
      </c>
      <c r="O66" s="296">
        <f>SUM(O65:O65)</f>
        <v>0</v>
      </c>
      <c r="P66" s="360" t="str">
        <f>IF($C66 &gt; 0, (O66-$C66)/$C66, "")</f>
        <v/>
      </c>
    </row>
    <row r="67" spans="1:20" x14ac:dyDescent="0.25">
      <c r="A67" s="275" t="s">
        <v>321</v>
      </c>
      <c r="B67" s="351"/>
      <c r="C67" s="277"/>
      <c r="D67" s="278"/>
      <c r="E67" s="276"/>
      <c r="F67" s="277"/>
      <c r="G67" s="278"/>
      <c r="H67" s="276"/>
      <c r="I67" s="277"/>
      <c r="J67" s="352"/>
      <c r="K67" s="278"/>
      <c r="L67" s="276"/>
      <c r="M67" s="277"/>
      <c r="N67" s="278"/>
      <c r="O67" s="276"/>
      <c r="P67" s="277"/>
    </row>
    <row r="68" spans="1:20" ht="20.100000000000001" customHeight="1" x14ac:dyDescent="0.25">
      <c r="A68" s="353" t="s">
        <v>321</v>
      </c>
      <c r="B68" s="354">
        <v>0</v>
      </c>
      <c r="C68" s="283">
        <v>1852698</v>
      </c>
      <c r="D68" s="284">
        <v>0</v>
      </c>
      <c r="E68" s="282">
        <v>0</v>
      </c>
      <c r="F68" s="25" t="str">
        <f>IF($B68 &gt; 0, (E68-$B68)/$B68, "")</f>
        <v/>
      </c>
      <c r="G68" s="284">
        <v>1852698</v>
      </c>
      <c r="H68" s="282">
        <v>1852698</v>
      </c>
      <c r="I68" s="25">
        <f>IF($C68 &gt; 0, (H68-$C68)/$C68, "")</f>
        <v>0</v>
      </c>
      <c r="J68" s="26"/>
      <c r="K68" s="284">
        <v>0</v>
      </c>
      <c r="L68" s="282">
        <v>0</v>
      </c>
      <c r="M68" s="25" t="str">
        <f>IF($B68 &gt; 0, (L68-$B68)/$B68, "")</f>
        <v/>
      </c>
      <c r="N68" s="284">
        <v>1852698</v>
      </c>
      <c r="O68" s="282">
        <v>1852698</v>
      </c>
      <c r="P68" s="25">
        <f>IF($C68 &gt; 0, (O68-$C68)/$C68, "")</f>
        <v>0</v>
      </c>
      <c r="Q68"/>
      <c r="R68"/>
      <c r="S68"/>
      <c r="T68"/>
    </row>
    <row r="69" spans="1:20" x14ac:dyDescent="0.25">
      <c r="A69" s="293" t="s">
        <v>322</v>
      </c>
      <c r="B69" s="359">
        <f>SUM(B68:B68)</f>
        <v>0</v>
      </c>
      <c r="C69" s="297">
        <f>SUM(C68:C68)</f>
        <v>1852698</v>
      </c>
      <c r="D69" s="298">
        <f>SUM(D68:D68)</f>
        <v>0</v>
      </c>
      <c r="E69" s="296">
        <f>SUM(E68:E68)</f>
        <v>0</v>
      </c>
      <c r="F69" s="360" t="str">
        <f>IF($B69 &gt; 0, (E69-$B69)/$B69, "")</f>
        <v/>
      </c>
      <c r="G69" s="298">
        <f>SUM(G68:G68)</f>
        <v>1852698</v>
      </c>
      <c r="H69" s="296">
        <f>SUM(H68:H68)</f>
        <v>1852698</v>
      </c>
      <c r="I69" s="360">
        <f>IF($C69 &gt; 0, (H69-$C69)/$C69, "")</f>
        <v>0</v>
      </c>
      <c r="J69" s="49"/>
      <c r="K69" s="298">
        <f>SUM(K68:K68)</f>
        <v>0</v>
      </c>
      <c r="L69" s="296">
        <f>SUM(L68:L68)</f>
        <v>0</v>
      </c>
      <c r="M69" s="360" t="str">
        <f>IF($B69 &gt; 0, (L69-$B69)/$B69, "")</f>
        <v/>
      </c>
      <c r="N69" s="298">
        <f>SUM(N68:N68)</f>
        <v>1852698</v>
      </c>
      <c r="O69" s="296">
        <f>SUM(O68:O68)</f>
        <v>1852698</v>
      </c>
      <c r="P69" s="360">
        <f>IF($C69 &gt; 0, (O69-$C69)/$C69, "")</f>
        <v>0</v>
      </c>
    </row>
    <row r="70" spans="1:20" x14ac:dyDescent="0.25">
      <c r="A70" s="275" t="s">
        <v>323</v>
      </c>
      <c r="B70" s="351"/>
      <c r="C70" s="277"/>
      <c r="D70" s="278"/>
      <c r="E70" s="276"/>
      <c r="F70" s="277"/>
      <c r="G70" s="278"/>
      <c r="H70" s="276"/>
      <c r="I70" s="277"/>
      <c r="J70" s="352"/>
      <c r="K70" s="278"/>
      <c r="L70" s="276"/>
      <c r="M70" s="277"/>
      <c r="N70" s="278"/>
      <c r="O70" s="276"/>
      <c r="P70" s="277"/>
    </row>
    <row r="71" spans="1:20" ht="20.100000000000001" customHeight="1" x14ac:dyDescent="0.25">
      <c r="A71" s="353" t="s">
        <v>324</v>
      </c>
      <c r="B71" s="354">
        <v>1842862</v>
      </c>
      <c r="C71" s="283">
        <v>0</v>
      </c>
      <c r="D71" s="284">
        <v>1842862</v>
      </c>
      <c r="E71" s="282">
        <v>1842862</v>
      </c>
      <c r="F71" s="25">
        <f t="shared" ref="F71:F86" si="16">IF($B71 &gt; 0, (E71-$B71)/$B71, "")</f>
        <v>0</v>
      </c>
      <c r="G71" s="284">
        <v>0</v>
      </c>
      <c r="H71" s="282">
        <v>0</v>
      </c>
      <c r="I71" s="25" t="str">
        <f t="shared" ref="I71:I86" si="17">IF($C71 &gt; 0, (H71-$C71)/$C71, "")</f>
        <v/>
      </c>
      <c r="J71" s="26"/>
      <c r="K71" s="284">
        <v>1842862</v>
      </c>
      <c r="L71" s="282">
        <v>1842862</v>
      </c>
      <c r="M71" s="25">
        <f t="shared" ref="M71:M86" si="18">IF($B71 &gt; 0, (L71-$B71)/$B71, "")</f>
        <v>0</v>
      </c>
      <c r="N71" s="284">
        <v>0</v>
      </c>
      <c r="O71" s="282">
        <v>0</v>
      </c>
      <c r="P71" s="25" t="str">
        <f t="shared" ref="P71:P86" si="19">IF($C71 &gt; 0, (O71-$C71)/$C71, "")</f>
        <v/>
      </c>
      <c r="Q71"/>
      <c r="R71"/>
      <c r="S71"/>
      <c r="T71"/>
    </row>
    <row r="72" spans="1:20" ht="20.100000000000001" customHeight="1" x14ac:dyDescent="0.25">
      <c r="A72" s="355" t="s">
        <v>325</v>
      </c>
      <c r="B72" s="356">
        <v>159886008</v>
      </c>
      <c r="C72" s="286">
        <v>0</v>
      </c>
      <c r="D72" s="291">
        <v>159676117</v>
      </c>
      <c r="E72" s="290">
        <v>159676117</v>
      </c>
      <c r="F72" s="357">
        <f t="shared" si="16"/>
        <v>-1.3127540216026907E-3</v>
      </c>
      <c r="G72" s="291">
        <v>0</v>
      </c>
      <c r="H72" s="290">
        <v>0</v>
      </c>
      <c r="I72" s="357" t="str">
        <f t="shared" si="17"/>
        <v/>
      </c>
      <c r="J72" s="358"/>
      <c r="K72" s="291">
        <v>144501004</v>
      </c>
      <c r="L72" s="290">
        <v>144501004</v>
      </c>
      <c r="M72" s="357">
        <f t="shared" si="18"/>
        <v>-9.6224830380404525E-2</v>
      </c>
      <c r="N72" s="291">
        <v>0</v>
      </c>
      <c r="O72" s="290">
        <v>0</v>
      </c>
      <c r="P72" s="357" t="str">
        <f t="shared" si="19"/>
        <v/>
      </c>
      <c r="Q72"/>
      <c r="R72"/>
      <c r="S72"/>
      <c r="T72"/>
    </row>
    <row r="73" spans="1:20" ht="20.100000000000001" customHeight="1" x14ac:dyDescent="0.25">
      <c r="A73" s="355" t="s">
        <v>326</v>
      </c>
      <c r="B73" s="356">
        <v>606099</v>
      </c>
      <c r="C73" s="286">
        <v>0</v>
      </c>
      <c r="D73" s="291">
        <v>606099</v>
      </c>
      <c r="E73" s="290">
        <v>606099</v>
      </c>
      <c r="F73" s="357">
        <f t="shared" si="16"/>
        <v>0</v>
      </c>
      <c r="G73" s="291">
        <v>0</v>
      </c>
      <c r="H73" s="290">
        <v>0</v>
      </c>
      <c r="I73" s="357" t="str">
        <f t="shared" si="17"/>
        <v/>
      </c>
      <c r="J73" s="358"/>
      <c r="K73" s="291">
        <v>606099</v>
      </c>
      <c r="L73" s="290">
        <v>606099</v>
      </c>
      <c r="M73" s="357">
        <f t="shared" si="18"/>
        <v>0</v>
      </c>
      <c r="N73" s="291">
        <v>0</v>
      </c>
      <c r="O73" s="290">
        <v>0</v>
      </c>
      <c r="P73" s="357" t="str">
        <f t="shared" si="19"/>
        <v/>
      </c>
      <c r="Q73"/>
      <c r="R73"/>
      <c r="S73"/>
      <c r="T73"/>
    </row>
    <row r="74" spans="1:20" ht="20.100000000000001" customHeight="1" x14ac:dyDescent="0.25">
      <c r="A74" s="355" t="s">
        <v>327</v>
      </c>
      <c r="B74" s="356">
        <v>39954462</v>
      </c>
      <c r="C74" s="286">
        <v>0</v>
      </c>
      <c r="D74" s="291">
        <v>52388418</v>
      </c>
      <c r="E74" s="290">
        <v>52388418</v>
      </c>
      <c r="F74" s="357">
        <f t="shared" si="16"/>
        <v>0.31120318927082535</v>
      </c>
      <c r="G74" s="291">
        <v>0</v>
      </c>
      <c r="H74" s="290">
        <v>0</v>
      </c>
      <c r="I74" s="357" t="str">
        <f t="shared" si="17"/>
        <v/>
      </c>
      <c r="J74" s="358"/>
      <c r="K74" s="291">
        <v>52388418</v>
      </c>
      <c r="L74" s="290">
        <v>52388418</v>
      </c>
      <c r="M74" s="357">
        <f t="shared" si="18"/>
        <v>0.31120318927082535</v>
      </c>
      <c r="N74" s="291">
        <v>0</v>
      </c>
      <c r="O74" s="290">
        <v>0</v>
      </c>
      <c r="P74" s="357" t="str">
        <f t="shared" si="19"/>
        <v/>
      </c>
      <c r="Q74"/>
      <c r="R74"/>
      <c r="S74"/>
      <c r="T74"/>
    </row>
    <row r="75" spans="1:20" ht="20.100000000000001" customHeight="1" x14ac:dyDescent="0.25">
      <c r="A75" s="355" t="s">
        <v>328</v>
      </c>
      <c r="B75" s="356">
        <v>450000</v>
      </c>
      <c r="C75" s="286">
        <v>0</v>
      </c>
      <c r="D75" s="291">
        <v>450000</v>
      </c>
      <c r="E75" s="290">
        <v>450000</v>
      </c>
      <c r="F75" s="357">
        <f t="shared" si="16"/>
        <v>0</v>
      </c>
      <c r="G75" s="291">
        <v>0</v>
      </c>
      <c r="H75" s="290">
        <v>0</v>
      </c>
      <c r="I75" s="357" t="str">
        <f t="shared" si="17"/>
        <v/>
      </c>
      <c r="J75" s="358"/>
      <c r="K75" s="291">
        <v>450000</v>
      </c>
      <c r="L75" s="290">
        <v>450000</v>
      </c>
      <c r="M75" s="357">
        <f t="shared" si="18"/>
        <v>0</v>
      </c>
      <c r="N75" s="291">
        <v>0</v>
      </c>
      <c r="O75" s="290">
        <v>0</v>
      </c>
      <c r="P75" s="357" t="str">
        <f t="shared" si="19"/>
        <v/>
      </c>
      <c r="Q75"/>
      <c r="R75"/>
      <c r="S75"/>
      <c r="T75"/>
    </row>
    <row r="76" spans="1:20" ht="20.100000000000001" customHeight="1" x14ac:dyDescent="0.25">
      <c r="A76" s="355" t="s">
        <v>329</v>
      </c>
      <c r="B76" s="356">
        <v>105785538</v>
      </c>
      <c r="C76" s="286">
        <v>0</v>
      </c>
      <c r="D76" s="291">
        <v>93351582</v>
      </c>
      <c r="E76" s="290">
        <v>93351582</v>
      </c>
      <c r="F76" s="357">
        <f t="shared" si="16"/>
        <v>-0.11753928027477631</v>
      </c>
      <c r="G76" s="291">
        <v>0</v>
      </c>
      <c r="H76" s="290">
        <v>0</v>
      </c>
      <c r="I76" s="357" t="str">
        <f t="shared" si="17"/>
        <v/>
      </c>
      <c r="J76" s="358"/>
      <c r="K76" s="291">
        <v>93351582</v>
      </c>
      <c r="L76" s="290">
        <v>93351582</v>
      </c>
      <c r="M76" s="357">
        <f t="shared" si="18"/>
        <v>-0.11753928027477631</v>
      </c>
      <c r="N76" s="291">
        <v>0</v>
      </c>
      <c r="O76" s="290">
        <v>0</v>
      </c>
      <c r="P76" s="357" t="str">
        <f t="shared" si="19"/>
        <v/>
      </c>
      <c r="Q76"/>
      <c r="R76"/>
      <c r="S76"/>
      <c r="T76"/>
    </row>
    <row r="77" spans="1:20" ht="20.100000000000001" customHeight="1" x14ac:dyDescent="0.25">
      <c r="A77" s="355" t="s">
        <v>330</v>
      </c>
      <c r="B77" s="356">
        <v>250000</v>
      </c>
      <c r="C77" s="286">
        <v>0</v>
      </c>
      <c r="D77" s="291">
        <v>250000</v>
      </c>
      <c r="E77" s="290">
        <v>250000</v>
      </c>
      <c r="F77" s="357">
        <f t="shared" si="16"/>
        <v>0</v>
      </c>
      <c r="G77" s="291">
        <v>0</v>
      </c>
      <c r="H77" s="290">
        <v>0</v>
      </c>
      <c r="I77" s="357" t="str">
        <f t="shared" si="17"/>
        <v/>
      </c>
      <c r="J77" s="358"/>
      <c r="K77" s="291">
        <v>250000</v>
      </c>
      <c r="L77" s="290">
        <v>250000</v>
      </c>
      <c r="M77" s="357">
        <f t="shared" si="18"/>
        <v>0</v>
      </c>
      <c r="N77" s="291">
        <v>0</v>
      </c>
      <c r="O77" s="290">
        <v>0</v>
      </c>
      <c r="P77" s="357" t="str">
        <f t="shared" si="19"/>
        <v/>
      </c>
      <c r="Q77"/>
      <c r="R77"/>
      <c r="S77"/>
      <c r="T77"/>
    </row>
    <row r="78" spans="1:20" ht="20.100000000000001" customHeight="1" x14ac:dyDescent="0.25">
      <c r="A78" s="355" t="s">
        <v>331</v>
      </c>
      <c r="B78" s="356">
        <v>50000</v>
      </c>
      <c r="C78" s="286">
        <v>0</v>
      </c>
      <c r="D78" s="291">
        <v>50000</v>
      </c>
      <c r="E78" s="290">
        <v>50000</v>
      </c>
      <c r="F78" s="357">
        <f t="shared" si="16"/>
        <v>0</v>
      </c>
      <c r="G78" s="291">
        <v>0</v>
      </c>
      <c r="H78" s="290">
        <v>0</v>
      </c>
      <c r="I78" s="357" t="str">
        <f t="shared" si="17"/>
        <v/>
      </c>
      <c r="J78" s="358"/>
      <c r="K78" s="291">
        <v>50000</v>
      </c>
      <c r="L78" s="290">
        <v>50000</v>
      </c>
      <c r="M78" s="357">
        <f t="shared" si="18"/>
        <v>0</v>
      </c>
      <c r="N78" s="291">
        <v>0</v>
      </c>
      <c r="O78" s="290">
        <v>0</v>
      </c>
      <c r="P78" s="357" t="str">
        <f t="shared" si="19"/>
        <v/>
      </c>
      <c r="Q78"/>
      <c r="R78"/>
      <c r="S78"/>
      <c r="T78"/>
    </row>
    <row r="79" spans="1:20" ht="20.100000000000001" customHeight="1" x14ac:dyDescent="0.25">
      <c r="A79" s="355" t="s">
        <v>332</v>
      </c>
      <c r="B79" s="356">
        <v>400000</v>
      </c>
      <c r="C79" s="286">
        <v>0</v>
      </c>
      <c r="D79" s="291">
        <v>400000</v>
      </c>
      <c r="E79" s="290">
        <v>400000</v>
      </c>
      <c r="F79" s="357">
        <f t="shared" si="16"/>
        <v>0</v>
      </c>
      <c r="G79" s="291">
        <v>0</v>
      </c>
      <c r="H79" s="290">
        <v>0</v>
      </c>
      <c r="I79" s="357" t="str">
        <f t="shared" si="17"/>
        <v/>
      </c>
      <c r="J79" s="358"/>
      <c r="K79" s="291">
        <v>400000</v>
      </c>
      <c r="L79" s="290">
        <v>400000</v>
      </c>
      <c r="M79" s="357">
        <f t="shared" si="18"/>
        <v>0</v>
      </c>
      <c r="N79" s="291">
        <v>0</v>
      </c>
      <c r="O79" s="290">
        <v>0</v>
      </c>
      <c r="P79" s="357" t="str">
        <f t="shared" si="19"/>
        <v/>
      </c>
      <c r="Q79"/>
      <c r="R79"/>
      <c r="S79"/>
      <c r="T79"/>
    </row>
    <row r="80" spans="1:20" ht="20.100000000000001" customHeight="1" x14ac:dyDescent="0.25">
      <c r="A80" s="355" t="s">
        <v>333</v>
      </c>
      <c r="B80" s="356">
        <v>3676240</v>
      </c>
      <c r="C80" s="286">
        <v>0</v>
      </c>
      <c r="D80" s="291">
        <v>3676240</v>
      </c>
      <c r="E80" s="290">
        <v>3676240</v>
      </c>
      <c r="F80" s="357">
        <f t="shared" si="16"/>
        <v>0</v>
      </c>
      <c r="G80" s="291">
        <v>0</v>
      </c>
      <c r="H80" s="290">
        <v>0</v>
      </c>
      <c r="I80" s="357" t="str">
        <f t="shared" si="17"/>
        <v/>
      </c>
      <c r="J80" s="358"/>
      <c r="K80" s="291">
        <v>3676240</v>
      </c>
      <c r="L80" s="290">
        <v>3676240</v>
      </c>
      <c r="M80" s="357">
        <f t="shared" si="18"/>
        <v>0</v>
      </c>
      <c r="N80" s="291">
        <v>0</v>
      </c>
      <c r="O80" s="290">
        <v>0</v>
      </c>
      <c r="P80" s="357" t="str">
        <f t="shared" si="19"/>
        <v/>
      </c>
      <c r="Q80"/>
      <c r="R80"/>
      <c r="S80"/>
      <c r="T80"/>
    </row>
    <row r="81" spans="1:20" ht="20.100000000000001" customHeight="1" x14ac:dyDescent="0.25">
      <c r="A81" s="355" t="s">
        <v>334</v>
      </c>
      <c r="B81" s="356">
        <v>7579858</v>
      </c>
      <c r="C81" s="286">
        <v>0</v>
      </c>
      <c r="D81" s="291">
        <v>7579858</v>
      </c>
      <c r="E81" s="290">
        <v>7579858</v>
      </c>
      <c r="F81" s="357">
        <f t="shared" si="16"/>
        <v>0</v>
      </c>
      <c r="G81" s="291">
        <v>0</v>
      </c>
      <c r="H81" s="290">
        <v>0</v>
      </c>
      <c r="I81" s="357" t="str">
        <f t="shared" si="17"/>
        <v/>
      </c>
      <c r="J81" s="358"/>
      <c r="K81" s="291">
        <v>7579858</v>
      </c>
      <c r="L81" s="290">
        <v>7579858</v>
      </c>
      <c r="M81" s="357">
        <f t="shared" si="18"/>
        <v>0</v>
      </c>
      <c r="N81" s="291">
        <v>0</v>
      </c>
      <c r="O81" s="290">
        <v>0</v>
      </c>
      <c r="P81" s="357" t="str">
        <f t="shared" si="19"/>
        <v/>
      </c>
      <c r="Q81"/>
      <c r="R81"/>
      <c r="S81"/>
      <c r="T81"/>
    </row>
    <row r="82" spans="1:20" ht="20.100000000000001" customHeight="1" x14ac:dyDescent="0.25">
      <c r="A82" s="355" t="s">
        <v>335</v>
      </c>
      <c r="B82" s="356">
        <v>2000000</v>
      </c>
      <c r="C82" s="286">
        <v>0</v>
      </c>
      <c r="D82" s="291">
        <v>0</v>
      </c>
      <c r="E82" s="290">
        <v>0</v>
      </c>
      <c r="F82" s="357">
        <f t="shared" si="16"/>
        <v>-1</v>
      </c>
      <c r="G82" s="291">
        <v>2000000</v>
      </c>
      <c r="H82" s="290">
        <v>2000000</v>
      </c>
      <c r="I82" s="357" t="str">
        <f t="shared" si="17"/>
        <v/>
      </c>
      <c r="J82" s="358"/>
      <c r="K82" s="291">
        <v>0</v>
      </c>
      <c r="L82" s="290">
        <v>0</v>
      </c>
      <c r="M82" s="357">
        <f t="shared" si="18"/>
        <v>-1</v>
      </c>
      <c r="N82" s="291">
        <v>2000000</v>
      </c>
      <c r="O82" s="290">
        <v>2000000</v>
      </c>
      <c r="P82" s="357" t="str">
        <f t="shared" si="19"/>
        <v/>
      </c>
      <c r="Q82"/>
      <c r="R82"/>
      <c r="S82"/>
      <c r="T82"/>
    </row>
    <row r="83" spans="1:20" ht="20.100000000000001" customHeight="1" x14ac:dyDescent="0.25">
      <c r="A83" s="355" t="s">
        <v>336</v>
      </c>
      <c r="B83" s="356">
        <v>28701041</v>
      </c>
      <c r="C83" s="286">
        <v>0</v>
      </c>
      <c r="D83" s="291">
        <v>28701041</v>
      </c>
      <c r="E83" s="290">
        <v>28701041</v>
      </c>
      <c r="F83" s="357">
        <f t="shared" si="16"/>
        <v>0</v>
      </c>
      <c r="G83" s="291">
        <v>0</v>
      </c>
      <c r="H83" s="290">
        <v>0</v>
      </c>
      <c r="I83" s="357" t="str">
        <f t="shared" si="17"/>
        <v/>
      </c>
      <c r="J83" s="358"/>
      <c r="K83" s="291">
        <v>28701041</v>
      </c>
      <c r="L83" s="290">
        <v>28701041</v>
      </c>
      <c r="M83" s="357">
        <f t="shared" si="18"/>
        <v>0</v>
      </c>
      <c r="N83" s="291">
        <v>0</v>
      </c>
      <c r="O83" s="290">
        <v>0</v>
      </c>
      <c r="P83" s="357" t="str">
        <f t="shared" si="19"/>
        <v/>
      </c>
      <c r="Q83"/>
      <c r="R83"/>
      <c r="S83"/>
      <c r="T83"/>
    </row>
    <row r="84" spans="1:20" ht="20.100000000000001" customHeight="1" x14ac:dyDescent="0.25">
      <c r="A84" s="355" t="s">
        <v>337</v>
      </c>
      <c r="B84" s="356">
        <v>0</v>
      </c>
      <c r="C84" s="286">
        <v>0</v>
      </c>
      <c r="D84" s="291">
        <v>2000000</v>
      </c>
      <c r="E84" s="290">
        <v>2000000</v>
      </c>
      <c r="F84" s="357" t="str">
        <f t="shared" si="16"/>
        <v/>
      </c>
      <c r="G84" s="291">
        <v>0</v>
      </c>
      <c r="H84" s="290">
        <v>0</v>
      </c>
      <c r="I84" s="357" t="str">
        <f t="shared" si="17"/>
        <v/>
      </c>
      <c r="J84" s="358"/>
      <c r="K84" s="291">
        <v>2000000</v>
      </c>
      <c r="L84" s="290">
        <v>2000000</v>
      </c>
      <c r="M84" s="357" t="str">
        <f t="shared" si="18"/>
        <v/>
      </c>
      <c r="N84" s="291">
        <v>0</v>
      </c>
      <c r="O84" s="290">
        <v>0</v>
      </c>
      <c r="P84" s="357" t="str">
        <f t="shared" si="19"/>
        <v/>
      </c>
      <c r="Q84"/>
      <c r="R84"/>
      <c r="S84"/>
      <c r="T84"/>
    </row>
    <row r="85" spans="1:20" ht="20.100000000000001" customHeight="1" x14ac:dyDescent="0.25">
      <c r="A85" s="355" t="s">
        <v>338</v>
      </c>
      <c r="B85" s="356">
        <v>0</v>
      </c>
      <c r="C85" s="286">
        <v>0</v>
      </c>
      <c r="D85" s="291">
        <v>0</v>
      </c>
      <c r="E85" s="290">
        <v>0</v>
      </c>
      <c r="F85" s="357" t="str">
        <f t="shared" si="16"/>
        <v/>
      </c>
      <c r="G85" s="291">
        <v>1582400</v>
      </c>
      <c r="H85" s="290">
        <v>1582400</v>
      </c>
      <c r="I85" s="357" t="str">
        <f t="shared" si="17"/>
        <v/>
      </c>
      <c r="J85" s="358"/>
      <c r="K85" s="291">
        <v>0</v>
      </c>
      <c r="L85" s="290">
        <v>0</v>
      </c>
      <c r="M85" s="357" t="str">
        <f t="shared" si="18"/>
        <v/>
      </c>
      <c r="N85" s="291">
        <v>3082400</v>
      </c>
      <c r="O85" s="290">
        <v>3082400</v>
      </c>
      <c r="P85" s="357" t="str">
        <f t="shared" si="19"/>
        <v/>
      </c>
      <c r="Q85"/>
      <c r="R85"/>
      <c r="S85"/>
      <c r="T85"/>
    </row>
    <row r="86" spans="1:20" x14ac:dyDescent="0.25">
      <c r="A86" s="293" t="s">
        <v>339</v>
      </c>
      <c r="B86" s="359">
        <f>SUM(B71:B85)</f>
        <v>351182108</v>
      </c>
      <c r="C86" s="297">
        <f>SUM(C71:C85)</f>
        <v>0</v>
      </c>
      <c r="D86" s="298">
        <f>SUM(D71:D85)</f>
        <v>350972217</v>
      </c>
      <c r="E86" s="296">
        <f>SUM(E71:E85)</f>
        <v>350972217</v>
      </c>
      <c r="F86" s="360">
        <f t="shared" si="16"/>
        <v>-5.9766997013412765E-4</v>
      </c>
      <c r="G86" s="298">
        <f>SUM(G71:G85)</f>
        <v>3582400</v>
      </c>
      <c r="H86" s="296">
        <f>SUM(H71:H85)</f>
        <v>3582400</v>
      </c>
      <c r="I86" s="360" t="str">
        <f t="shared" si="17"/>
        <v/>
      </c>
      <c r="J86" s="49"/>
      <c r="K86" s="298">
        <f>SUM(K71:K85)</f>
        <v>335797104</v>
      </c>
      <c r="L86" s="296">
        <f>SUM(L71:L85)</f>
        <v>335797104</v>
      </c>
      <c r="M86" s="360">
        <f t="shared" si="18"/>
        <v>-4.3809190871421044E-2</v>
      </c>
      <c r="N86" s="298">
        <f>SUM(N71:N85)</f>
        <v>5082400</v>
      </c>
      <c r="O86" s="296">
        <f>SUM(O71:O85)</f>
        <v>5082400</v>
      </c>
      <c r="P86" s="360" t="str">
        <f t="shared" si="19"/>
        <v/>
      </c>
    </row>
    <row r="87" spans="1:20" x14ac:dyDescent="0.25">
      <c r="A87" s="275" t="s">
        <v>340</v>
      </c>
      <c r="B87" s="351"/>
      <c r="C87" s="277"/>
      <c r="D87" s="278"/>
      <c r="E87" s="276"/>
      <c r="F87" s="277"/>
      <c r="G87" s="278"/>
      <c r="H87" s="276"/>
      <c r="I87" s="277"/>
      <c r="J87" s="352"/>
      <c r="K87" s="278"/>
      <c r="L87" s="276"/>
      <c r="M87" s="277"/>
      <c r="N87" s="278"/>
      <c r="O87" s="276"/>
      <c r="P87" s="277"/>
    </row>
    <row r="88" spans="1:20" ht="20.100000000000001" customHeight="1" thickBot="1" x14ac:dyDescent="0.3">
      <c r="A88" s="353" t="s">
        <v>340</v>
      </c>
      <c r="B88" s="354">
        <v>3061771</v>
      </c>
      <c r="C88" s="283">
        <v>0</v>
      </c>
      <c r="D88" s="284">
        <v>3061771</v>
      </c>
      <c r="E88" s="282">
        <v>3061771</v>
      </c>
      <c r="F88" s="25">
        <f t="shared" ref="F88:F97" si="20">IF($B88 &gt; 0, (E88-$B88)/$B88, "")</f>
        <v>0</v>
      </c>
      <c r="G88" s="284">
        <v>0</v>
      </c>
      <c r="H88" s="282">
        <v>0</v>
      </c>
      <c r="I88" s="25" t="str">
        <f t="shared" ref="I88:I97" si="21">IF($C88 &gt; 0, (H88-$C88)/$C88, "")</f>
        <v/>
      </c>
      <c r="J88" s="26"/>
      <c r="K88" s="284">
        <v>3061771</v>
      </c>
      <c r="L88" s="282">
        <v>3061771</v>
      </c>
      <c r="M88" s="25">
        <f t="shared" ref="M88:M97" si="22">IF($B88 &gt; 0, (L88-$B88)/$B88, "")</f>
        <v>0</v>
      </c>
      <c r="N88" s="284">
        <v>0</v>
      </c>
      <c r="O88" s="282">
        <v>0</v>
      </c>
      <c r="P88" s="25" t="str">
        <f t="shared" ref="P88:P97" si="23">IF($C88 &gt; 0, (O88-$C88)/$C88, "")</f>
        <v/>
      </c>
      <c r="Q88"/>
      <c r="R88"/>
      <c r="S88"/>
      <c r="T88"/>
    </row>
    <row r="89" spans="1:20" ht="20.100000000000001" customHeight="1" thickTop="1" thickBot="1" x14ac:dyDescent="0.3">
      <c r="A89" s="355" t="s">
        <v>341</v>
      </c>
      <c r="B89" s="356">
        <v>0</v>
      </c>
      <c r="C89" s="286">
        <v>3000000</v>
      </c>
      <c r="D89" s="291">
        <v>0</v>
      </c>
      <c r="E89" s="290">
        <v>0</v>
      </c>
      <c r="F89" s="357" t="str">
        <f t="shared" si="20"/>
        <v/>
      </c>
      <c r="G89" s="291">
        <v>3000000</v>
      </c>
      <c r="H89" s="290">
        <v>3000000</v>
      </c>
      <c r="I89" s="357">
        <f t="shared" si="21"/>
        <v>0</v>
      </c>
      <c r="J89" s="358"/>
      <c r="K89" s="291">
        <v>0</v>
      </c>
      <c r="L89" s="290">
        <v>0</v>
      </c>
      <c r="M89" s="357" t="str">
        <f t="shared" si="22"/>
        <v/>
      </c>
      <c r="N89" s="291">
        <v>3000000</v>
      </c>
      <c r="O89" s="290">
        <v>3000000</v>
      </c>
      <c r="P89" s="357">
        <f t="shared" si="23"/>
        <v>0</v>
      </c>
      <c r="Q89"/>
      <c r="R89"/>
      <c r="S89"/>
      <c r="T89"/>
    </row>
    <row r="90" spans="1:20" ht="20.100000000000001" customHeight="1" x14ac:dyDescent="0.25">
      <c r="A90" s="355" t="s">
        <v>342</v>
      </c>
      <c r="B90" s="356">
        <v>703250</v>
      </c>
      <c r="C90" s="286">
        <v>0</v>
      </c>
      <c r="D90" s="291">
        <v>703250</v>
      </c>
      <c r="E90" s="290">
        <v>703250</v>
      </c>
      <c r="F90" s="357">
        <f t="shared" si="20"/>
        <v>0</v>
      </c>
      <c r="G90" s="291">
        <v>0</v>
      </c>
      <c r="H90" s="290">
        <v>0</v>
      </c>
      <c r="I90" s="357" t="str">
        <f t="shared" si="21"/>
        <v/>
      </c>
      <c r="J90" s="358"/>
      <c r="K90" s="291">
        <v>703250</v>
      </c>
      <c r="L90" s="290">
        <v>703250</v>
      </c>
      <c r="M90" s="357">
        <f t="shared" si="22"/>
        <v>0</v>
      </c>
      <c r="N90" s="291">
        <v>0</v>
      </c>
      <c r="O90" s="290">
        <v>0</v>
      </c>
      <c r="P90" s="357" t="str">
        <f t="shared" si="23"/>
        <v/>
      </c>
      <c r="Q90"/>
      <c r="R90"/>
      <c r="S90"/>
      <c r="T90"/>
    </row>
    <row r="91" spans="1:20" ht="20.100000000000001" customHeight="1" x14ac:dyDescent="0.25">
      <c r="A91" s="355" t="s">
        <v>343</v>
      </c>
      <c r="B91" s="356">
        <v>0</v>
      </c>
      <c r="C91" s="286">
        <v>115000</v>
      </c>
      <c r="D91" s="291">
        <v>0</v>
      </c>
      <c r="E91" s="290">
        <v>0</v>
      </c>
      <c r="F91" s="357" t="str">
        <f t="shared" si="20"/>
        <v/>
      </c>
      <c r="G91" s="291">
        <v>115000</v>
      </c>
      <c r="H91" s="290">
        <v>115000</v>
      </c>
      <c r="I91" s="357">
        <f t="shared" si="21"/>
        <v>0</v>
      </c>
      <c r="J91" s="358"/>
      <c r="K91" s="291">
        <v>0</v>
      </c>
      <c r="L91" s="290">
        <v>0</v>
      </c>
      <c r="M91" s="357" t="str">
        <f t="shared" si="22"/>
        <v/>
      </c>
      <c r="N91" s="291">
        <v>115000</v>
      </c>
      <c r="O91" s="290">
        <v>115000</v>
      </c>
      <c r="P91" s="357">
        <f t="shared" si="23"/>
        <v>0</v>
      </c>
      <c r="Q91"/>
      <c r="R91"/>
      <c r="S91"/>
      <c r="T91"/>
    </row>
    <row r="92" spans="1:20" ht="20.100000000000001" customHeight="1" x14ac:dyDescent="0.25">
      <c r="A92" s="355" t="s">
        <v>344</v>
      </c>
      <c r="B92" s="356">
        <v>1051787</v>
      </c>
      <c r="C92" s="286">
        <v>0</v>
      </c>
      <c r="D92" s="291">
        <v>1051787</v>
      </c>
      <c r="E92" s="290">
        <v>1051787</v>
      </c>
      <c r="F92" s="357">
        <f t="shared" si="20"/>
        <v>0</v>
      </c>
      <c r="G92" s="291">
        <v>0</v>
      </c>
      <c r="H92" s="290">
        <v>0</v>
      </c>
      <c r="I92" s="357" t="str">
        <f t="shared" si="21"/>
        <v/>
      </c>
      <c r="J92" s="358"/>
      <c r="K92" s="291">
        <v>1051787</v>
      </c>
      <c r="L92" s="290">
        <v>1051787</v>
      </c>
      <c r="M92" s="357">
        <f t="shared" si="22"/>
        <v>0</v>
      </c>
      <c r="N92" s="291">
        <v>0</v>
      </c>
      <c r="O92" s="290">
        <v>0</v>
      </c>
      <c r="P92" s="357" t="str">
        <f t="shared" si="23"/>
        <v/>
      </c>
      <c r="Q92"/>
      <c r="R92"/>
      <c r="S92"/>
      <c r="T92"/>
    </row>
    <row r="93" spans="1:20" ht="20.100000000000001" customHeight="1" x14ac:dyDescent="0.25">
      <c r="A93" s="355" t="s">
        <v>345</v>
      </c>
      <c r="B93" s="356">
        <v>5000000</v>
      </c>
      <c r="C93" s="286">
        <v>0</v>
      </c>
      <c r="D93" s="291">
        <v>5000000</v>
      </c>
      <c r="E93" s="290">
        <v>5000000</v>
      </c>
      <c r="F93" s="357">
        <f t="shared" si="20"/>
        <v>0</v>
      </c>
      <c r="G93" s="291">
        <v>0</v>
      </c>
      <c r="H93" s="290">
        <v>0</v>
      </c>
      <c r="I93" s="357" t="str">
        <f t="shared" si="21"/>
        <v/>
      </c>
      <c r="J93" s="358"/>
      <c r="K93" s="291">
        <v>5000000</v>
      </c>
      <c r="L93" s="290">
        <v>5000000</v>
      </c>
      <c r="M93" s="357">
        <f t="shared" si="22"/>
        <v>0</v>
      </c>
      <c r="N93" s="291">
        <v>0</v>
      </c>
      <c r="O93" s="290">
        <v>0</v>
      </c>
      <c r="P93" s="357" t="str">
        <f t="shared" si="23"/>
        <v/>
      </c>
      <c r="Q93"/>
      <c r="R93"/>
      <c r="S93"/>
      <c r="T93"/>
    </row>
    <row r="94" spans="1:20" x14ac:dyDescent="0.25">
      <c r="A94" s="293" t="s">
        <v>346</v>
      </c>
      <c r="B94" s="359">
        <f>SUM(B88:B93)</f>
        <v>9816808</v>
      </c>
      <c r="C94" s="297">
        <f>SUM(C88:C93)</f>
        <v>3115000</v>
      </c>
      <c r="D94" s="298">
        <f>SUM(D88:D93)</f>
        <v>9816808</v>
      </c>
      <c r="E94" s="296">
        <f>SUM(E88:E93)</f>
        <v>9816808</v>
      </c>
      <c r="F94" s="360">
        <f t="shared" si="20"/>
        <v>0</v>
      </c>
      <c r="G94" s="298">
        <f>SUM(G88:G93)</f>
        <v>3115000</v>
      </c>
      <c r="H94" s="296">
        <f>SUM(H88:H93)</f>
        <v>3115000</v>
      </c>
      <c r="I94" s="360">
        <f t="shared" si="21"/>
        <v>0</v>
      </c>
      <c r="J94" s="49"/>
      <c r="K94" s="298">
        <f>SUM(K88:K93)</f>
        <v>9816808</v>
      </c>
      <c r="L94" s="296">
        <f>SUM(L88:L93)</f>
        <v>9816808</v>
      </c>
      <c r="M94" s="360">
        <f t="shared" si="22"/>
        <v>0</v>
      </c>
      <c r="N94" s="298">
        <f>SUM(N88:N93)</f>
        <v>3115000</v>
      </c>
      <c r="O94" s="296">
        <f>SUM(O88:O93)</f>
        <v>3115000</v>
      </c>
      <c r="P94" s="360">
        <f t="shared" si="23"/>
        <v>0</v>
      </c>
    </row>
    <row r="95" spans="1:20" x14ac:dyDescent="0.25">
      <c r="A95" s="373" t="s">
        <v>347</v>
      </c>
      <c r="B95" s="374">
        <f>SUM(B20,B34,B39,B46,B52,B56,B63)</f>
        <v>63979106</v>
      </c>
      <c r="C95" s="375">
        <f>SUM(C20,C34,C39,C46,C52,C56,C63)</f>
        <v>4396176</v>
      </c>
      <c r="D95" s="378">
        <f>SUM(D20,D34,D39,D46,D52,D56,D63)</f>
        <v>88020898</v>
      </c>
      <c r="E95" s="380">
        <f>SUM(E20,E34,E39,E46,E52,E56,E63)</f>
        <v>77126561</v>
      </c>
      <c r="F95" s="379">
        <f t="shared" si="20"/>
        <v>0.20549607242089316</v>
      </c>
      <c r="G95" s="378">
        <f>SUM(G20,G34,G39,G46,G52,G56,G63)</f>
        <v>4493600</v>
      </c>
      <c r="H95" s="377">
        <f>SUM(H20,H34,H39,H46,H52,H56,H63)</f>
        <v>4396176</v>
      </c>
      <c r="I95" s="376">
        <f t="shared" si="21"/>
        <v>0</v>
      </c>
      <c r="J95" s="61"/>
      <c r="K95" s="378">
        <f>SUM(K20,K34,K39,K46,K52,K56,K63)</f>
        <v>81374570</v>
      </c>
      <c r="L95" s="377">
        <f>SUM(L20,L34,L39,L46,L52,L56,L63)</f>
        <v>75096561</v>
      </c>
      <c r="M95" s="376">
        <f t="shared" si="22"/>
        <v>0.17376696385848217</v>
      </c>
      <c r="N95" s="378">
        <f>SUM(N20,N34,N39,N46,N52,N56,N63)</f>
        <v>4549490</v>
      </c>
      <c r="O95" s="377">
        <f>SUM(O20,O34,O39,O46,O52,O56,O63)</f>
        <v>4396176</v>
      </c>
      <c r="P95" s="376">
        <f t="shared" si="23"/>
        <v>0</v>
      </c>
    </row>
    <row r="96" spans="1:20" x14ac:dyDescent="0.25">
      <c r="A96" s="367" t="s">
        <v>348</v>
      </c>
      <c r="B96" s="368">
        <f>SUM(B66,B69,B86,B94)</f>
        <v>366200916</v>
      </c>
      <c r="C96" s="368">
        <f>SUM(C66,C69,C86,C94)</f>
        <v>4967698</v>
      </c>
      <c r="D96" s="371">
        <f>SUM(D66,D69,D86,D94)</f>
        <v>365991025</v>
      </c>
      <c r="E96" s="370">
        <f>SUM(E66,E69,E86,E94)</f>
        <v>366101025</v>
      </c>
      <c r="F96" s="369">
        <f t="shared" si="20"/>
        <v>-2.7277648863117536E-4</v>
      </c>
      <c r="G96" s="371">
        <f>SUM(G66,G69,G86,G94)</f>
        <v>8550098</v>
      </c>
      <c r="H96" s="370">
        <f>SUM(H66,H69,H86,H94)</f>
        <v>8550098</v>
      </c>
      <c r="I96" s="369">
        <f t="shared" si="21"/>
        <v>0.72113884539680151</v>
      </c>
      <c r="J96" s="372"/>
      <c r="K96" s="371">
        <f>SUM(K66,K69,K86,K94)</f>
        <v>350815912</v>
      </c>
      <c r="L96" s="370">
        <f>SUM(L66,L69,L86,L94)</f>
        <v>351034912</v>
      </c>
      <c r="M96" s="369">
        <f t="shared" si="22"/>
        <v>-4.1414434910916495E-2</v>
      </c>
      <c r="N96" s="371">
        <f>SUM(N66,N69,N86,N94)</f>
        <v>10050098</v>
      </c>
      <c r="O96" s="370">
        <f>SUM(O66,O69,O86,O94)</f>
        <v>10050098</v>
      </c>
      <c r="P96" s="369">
        <f t="shared" si="23"/>
        <v>1.0230895678441001</v>
      </c>
    </row>
    <row r="97" spans="1:16" x14ac:dyDescent="0.25">
      <c r="A97" s="362" t="s">
        <v>349</v>
      </c>
      <c r="B97" s="363">
        <f>SUM(B95:B96)</f>
        <v>430180022</v>
      </c>
      <c r="C97" s="363">
        <f>SUM(C95:C96)</f>
        <v>9363874</v>
      </c>
      <c r="D97" s="366">
        <f>SUM(D95:D96)</f>
        <v>454011923</v>
      </c>
      <c r="E97" s="365">
        <f>SUM(E95:E96)</f>
        <v>443227586</v>
      </c>
      <c r="F97" s="364">
        <f t="shared" si="20"/>
        <v>3.0330474063716514E-2</v>
      </c>
      <c r="G97" s="366">
        <f>SUM(G95:G96)</f>
        <v>13043698</v>
      </c>
      <c r="H97" s="365">
        <f>SUM(H95:H96)</f>
        <v>12946274</v>
      </c>
      <c r="I97" s="364">
        <f t="shared" si="21"/>
        <v>0.38257669849038978</v>
      </c>
      <c r="J97" s="49"/>
      <c r="K97" s="366">
        <f>SUM(K95:K96)</f>
        <v>432190482</v>
      </c>
      <c r="L97" s="365">
        <f>SUM(L95:L96)</f>
        <v>426131473</v>
      </c>
      <c r="M97" s="364">
        <f t="shared" si="22"/>
        <v>-9.4112901412237125E-3</v>
      </c>
      <c r="N97" s="366">
        <f>SUM(N95:N96)</f>
        <v>14599588</v>
      </c>
      <c r="O97" s="365">
        <f>SUM(O95:O96)</f>
        <v>14446274</v>
      </c>
      <c r="P97" s="364">
        <f t="shared" si="23"/>
        <v>0.54276680784043019</v>
      </c>
    </row>
    <row r="99" spans="1:16" x14ac:dyDescent="0.25">
      <c r="A99" s="361" t="s">
        <v>350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K6:P6"/>
    <mergeCell ref="D7:F7"/>
    <mergeCell ref="G7:I7"/>
    <mergeCell ref="K7:M7"/>
    <mergeCell ref="N7:P7"/>
    <mergeCell ref="A6:A8"/>
    <mergeCell ref="B7:B8"/>
    <mergeCell ref="C7:C8"/>
    <mergeCell ref="B6:C6"/>
    <mergeCell ref="D6:I6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>
      <selection activeCell="I49" sqref="I49"/>
    </sheetView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3" t="s">
        <v>351</v>
      </c>
      <c r="B1"/>
      <c r="C1"/>
      <c r="D1"/>
      <c r="E1"/>
      <c r="F1"/>
      <c r="G1"/>
    </row>
    <row r="2" spans="1:8" ht="15.75" customHeight="1" x14ac:dyDescent="0.25">
      <c r="A2" s="14" t="s">
        <v>31</v>
      </c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352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26"/>
      <c r="B6" s="420" t="s">
        <v>353</v>
      </c>
      <c r="C6" s="592" t="s">
        <v>354</v>
      </c>
      <c r="D6" s="570" t="s">
        <v>3</v>
      </c>
      <c r="E6" s="429"/>
      <c r="F6" s="381"/>
      <c r="G6" s="570" t="s">
        <v>4</v>
      </c>
      <c r="H6" s="429"/>
    </row>
    <row r="7" spans="1:8" ht="24.95" customHeight="1" x14ac:dyDescent="0.25">
      <c r="A7" s="562"/>
      <c r="B7" s="425"/>
      <c r="C7" s="676"/>
      <c r="D7" s="382" t="s">
        <v>355</v>
      </c>
      <c r="E7" s="587" t="s">
        <v>136</v>
      </c>
      <c r="F7" s="383"/>
      <c r="G7" s="382" t="s">
        <v>355</v>
      </c>
      <c r="H7" s="587" t="s">
        <v>138</v>
      </c>
    </row>
    <row r="8" spans="1:8" ht="24.95" customHeight="1" thickBot="1" x14ac:dyDescent="0.3">
      <c r="A8" s="562"/>
      <c r="B8" s="421"/>
      <c r="C8" s="593"/>
      <c r="D8" s="384">
        <v>35</v>
      </c>
      <c r="E8" s="677"/>
      <c r="F8" s="385"/>
      <c r="G8" s="384">
        <v>35</v>
      </c>
      <c r="H8" s="677"/>
    </row>
    <row r="9" spans="1:8" x14ac:dyDescent="0.25">
      <c r="A9" s="223" t="s">
        <v>50</v>
      </c>
      <c r="B9" s="64">
        <v>1143800</v>
      </c>
      <c r="C9" s="149">
        <v>26571</v>
      </c>
      <c r="D9" s="67">
        <f t="shared" ref="D9:D15" si="0">ROUND($C9*D$8, 0)</f>
        <v>929985</v>
      </c>
      <c r="E9" s="151">
        <f t="shared" ref="E9:E16" si="1">IF($B9 &gt; 0, (D9-$B9)/$B9, "")</f>
        <v>-0.18693390452876377</v>
      </c>
      <c r="F9" s="261"/>
      <c r="G9" s="67">
        <f t="shared" ref="G9:G15" si="2">ROUND($C9*G$8, 0)</f>
        <v>929985</v>
      </c>
      <c r="H9" s="151">
        <f t="shared" ref="H9:H16" si="3">IF($B9 &gt; 0, (G9-$B9)/$B9, "")</f>
        <v>-0.18693390452876377</v>
      </c>
    </row>
    <row r="10" spans="1:8" x14ac:dyDescent="0.25">
      <c r="A10" s="227" t="s">
        <v>55</v>
      </c>
      <c r="B10" s="64">
        <v>221700</v>
      </c>
      <c r="C10" s="149">
        <v>4225</v>
      </c>
      <c r="D10" s="67">
        <f t="shared" si="0"/>
        <v>147875</v>
      </c>
      <c r="E10" s="151">
        <f t="shared" si="1"/>
        <v>-0.33299503834009925</v>
      </c>
      <c r="F10" s="261"/>
      <c r="G10" s="67">
        <f t="shared" si="2"/>
        <v>147875</v>
      </c>
      <c r="H10" s="151">
        <f t="shared" si="3"/>
        <v>-0.33299503834009925</v>
      </c>
    </row>
    <row r="11" spans="1:8" x14ac:dyDescent="0.25">
      <c r="A11" s="227" t="s">
        <v>56</v>
      </c>
      <c r="B11" s="64">
        <v>211650</v>
      </c>
      <c r="C11" s="149">
        <v>5719</v>
      </c>
      <c r="D11" s="67">
        <f t="shared" si="0"/>
        <v>200165</v>
      </c>
      <c r="E11" s="151">
        <f t="shared" si="1"/>
        <v>-5.4264115284668082E-2</v>
      </c>
      <c r="F11" s="261"/>
      <c r="G11" s="67">
        <f t="shared" si="2"/>
        <v>200165</v>
      </c>
      <c r="H11" s="151">
        <f t="shared" si="3"/>
        <v>-5.4264115284668082E-2</v>
      </c>
    </row>
    <row r="12" spans="1:8" x14ac:dyDescent="0.25">
      <c r="A12" s="227" t="s">
        <v>57</v>
      </c>
      <c r="B12" s="64">
        <v>51850</v>
      </c>
      <c r="C12" s="149">
        <v>4190</v>
      </c>
      <c r="D12" s="67">
        <f t="shared" si="0"/>
        <v>146650</v>
      </c>
      <c r="E12" s="151">
        <f t="shared" si="1"/>
        <v>1.8283510125361619</v>
      </c>
      <c r="F12" s="261"/>
      <c r="G12" s="67">
        <f t="shared" si="2"/>
        <v>146650</v>
      </c>
      <c r="H12" s="151">
        <f t="shared" si="3"/>
        <v>1.8283510125361619</v>
      </c>
    </row>
    <row r="13" spans="1:8" x14ac:dyDescent="0.25">
      <c r="A13" s="227" t="s">
        <v>58</v>
      </c>
      <c r="B13" s="64">
        <v>0</v>
      </c>
      <c r="C13" s="149">
        <v>0</v>
      </c>
      <c r="D13" s="67">
        <f t="shared" si="0"/>
        <v>0</v>
      </c>
      <c r="E13" s="151" t="str">
        <f t="shared" si="1"/>
        <v/>
      </c>
      <c r="F13" s="261"/>
      <c r="G13" s="67">
        <f t="shared" si="2"/>
        <v>0</v>
      </c>
      <c r="H13" s="151" t="str">
        <f t="shared" si="3"/>
        <v/>
      </c>
    </row>
    <row r="14" spans="1:8" x14ac:dyDescent="0.25">
      <c r="A14" s="227" t="s">
        <v>59</v>
      </c>
      <c r="B14" s="64">
        <v>502800</v>
      </c>
      <c r="C14" s="149">
        <v>10368</v>
      </c>
      <c r="D14" s="67">
        <f t="shared" si="0"/>
        <v>362880</v>
      </c>
      <c r="E14" s="151">
        <f t="shared" si="1"/>
        <v>-0.2782816229116945</v>
      </c>
      <c r="F14" s="261"/>
      <c r="G14" s="67">
        <f t="shared" si="2"/>
        <v>362880</v>
      </c>
      <c r="H14" s="151">
        <f t="shared" si="3"/>
        <v>-0.2782816229116945</v>
      </c>
    </row>
    <row r="15" spans="1:8" ht="15.75" customHeight="1" thickBot="1" x14ac:dyDescent="0.3">
      <c r="A15" s="227" t="s">
        <v>60</v>
      </c>
      <c r="B15" s="64">
        <v>70850</v>
      </c>
      <c r="C15" s="149">
        <v>1333</v>
      </c>
      <c r="D15" s="67">
        <f t="shared" si="0"/>
        <v>46655</v>
      </c>
      <c r="E15" s="151">
        <f t="shared" si="1"/>
        <v>-0.34149611856033874</v>
      </c>
      <c r="F15" s="261"/>
      <c r="G15" s="67">
        <f t="shared" si="2"/>
        <v>46655</v>
      </c>
      <c r="H15" s="151">
        <f t="shared" si="3"/>
        <v>-0.34149611856033874</v>
      </c>
    </row>
    <row r="16" spans="1:8" ht="15.75" customHeight="1" thickTop="1" x14ac:dyDescent="0.25">
      <c r="A16" s="228" t="s">
        <v>126</v>
      </c>
      <c r="B16" s="229">
        <f>SUM(B9:B15)</f>
        <v>2202650</v>
      </c>
      <c r="C16" s="386">
        <f>SUM(C9:C15)</f>
        <v>52406</v>
      </c>
      <c r="D16" s="230">
        <f>SUM(D9:D15)</f>
        <v>1834210</v>
      </c>
      <c r="E16" s="313">
        <f t="shared" si="1"/>
        <v>-0.16727124145915148</v>
      </c>
      <c r="F16" s="264"/>
      <c r="G16" s="230">
        <f>SUM(G9:G15)</f>
        <v>1834210</v>
      </c>
      <c r="H16" s="313">
        <f t="shared" si="3"/>
        <v>-0.16727124145915148</v>
      </c>
    </row>
    <row r="17" spans="1:9" x14ac:dyDescent="0.25">
      <c r="A17" s="235"/>
      <c r="B17" s="236"/>
      <c r="C17" s="387"/>
      <c r="D17" s="237"/>
      <c r="E17" s="266"/>
      <c r="F17" s="261"/>
      <c r="G17" s="237"/>
      <c r="H17" s="266"/>
    </row>
    <row r="18" spans="1:9" x14ac:dyDescent="0.25">
      <c r="A18" s="227" t="s">
        <v>66</v>
      </c>
      <c r="B18" s="64">
        <v>90900</v>
      </c>
      <c r="C18" s="149">
        <v>1884</v>
      </c>
      <c r="D18" s="67">
        <f>ROUND($C18*D$8, 0)</f>
        <v>65940</v>
      </c>
      <c r="E18" s="151">
        <f>IF($B18 &gt; 0, (D18-$B18)/$B18, "")</f>
        <v>-0.27458745874587459</v>
      </c>
      <c r="F18" s="261"/>
      <c r="G18" s="67">
        <f>ROUND($C18*G$8, 0)</f>
        <v>65940</v>
      </c>
      <c r="H18" s="151">
        <f>IF($B18 &gt; 0, (G18-$B18)/$B18, "")</f>
        <v>-0.27458745874587459</v>
      </c>
    </row>
    <row r="19" spans="1:9" x14ac:dyDescent="0.25">
      <c r="A19" s="227" t="s">
        <v>67</v>
      </c>
      <c r="B19" s="64">
        <v>1355900</v>
      </c>
      <c r="C19" s="149">
        <v>30558</v>
      </c>
      <c r="D19" s="67">
        <f>ROUND($C19*D$8, 0)</f>
        <v>1069530</v>
      </c>
      <c r="E19" s="151">
        <f>IF($B19 &gt; 0, (D19-$B19)/$B19, "")</f>
        <v>-0.21120289106866288</v>
      </c>
      <c r="F19" s="261"/>
      <c r="G19" s="67">
        <f>ROUND($C19*G$8, 0)</f>
        <v>1069530</v>
      </c>
      <c r="H19" s="151">
        <f>IF($B19 &gt; 0, (G19-$B19)/$B19, "")</f>
        <v>-0.21120289106866288</v>
      </c>
    </row>
    <row r="20" spans="1:9" ht="15.75" customHeight="1" thickBot="1" x14ac:dyDescent="0.3">
      <c r="A20" s="227" t="s">
        <v>68</v>
      </c>
      <c r="B20" s="64">
        <v>620200</v>
      </c>
      <c r="C20" s="149">
        <v>15810</v>
      </c>
      <c r="D20" s="67">
        <f>ROUND($C20*D$8, 0)</f>
        <v>553350</v>
      </c>
      <c r="E20" s="151">
        <f>IF($B20 &gt; 0, (D20-$B20)/$B20, "")</f>
        <v>-0.10778781038374718</v>
      </c>
      <c r="F20" s="261"/>
      <c r="G20" s="67">
        <f>ROUND($C20*G$8, 0)</f>
        <v>553350</v>
      </c>
      <c r="H20" s="151">
        <f>IF($B20 &gt; 0, (G20-$B20)/$B20, "")</f>
        <v>-0.10778781038374718</v>
      </c>
    </row>
    <row r="21" spans="1:9" ht="15.75" customHeight="1" thickTop="1" x14ac:dyDescent="0.25">
      <c r="A21" s="228" t="s">
        <v>127</v>
      </c>
      <c r="B21" s="229">
        <f>SUM(B18:B20)</f>
        <v>2067000</v>
      </c>
      <c r="C21" s="386">
        <f>SUM(C18:C20)</f>
        <v>48252</v>
      </c>
      <c r="D21" s="230">
        <f>SUM(D18:D20)</f>
        <v>1688820</v>
      </c>
      <c r="E21" s="313">
        <f>IF($B21 &gt; 0, (D21-$B21)/$B21, "")</f>
        <v>-0.18296081277213352</v>
      </c>
      <c r="F21" s="264"/>
      <c r="G21" s="230">
        <f>SUM(G18:G20)</f>
        <v>1688820</v>
      </c>
      <c r="H21" s="313">
        <f>IF($B21 &gt; 0, (G21-$B21)/$B21, "")</f>
        <v>-0.18296081277213352</v>
      </c>
    </row>
    <row r="22" spans="1:9" x14ac:dyDescent="0.25">
      <c r="A22" s="235"/>
      <c r="B22" s="236"/>
      <c r="C22" s="387"/>
      <c r="D22" s="237"/>
      <c r="E22" s="266"/>
      <c r="F22" s="261"/>
      <c r="G22" s="237"/>
      <c r="H22" s="266"/>
    </row>
    <row r="23" spans="1:9" x14ac:dyDescent="0.25">
      <c r="A23" s="227" t="s">
        <v>72</v>
      </c>
      <c r="B23" s="64">
        <v>174050</v>
      </c>
      <c r="C23" s="149">
        <v>4951</v>
      </c>
      <c r="D23" s="67">
        <f>ROUND($C23*D$8, 0)</f>
        <v>173285</v>
      </c>
      <c r="E23" s="151">
        <f t="shared" ref="E23:E28" si="4">IF($B23 &gt; 0, (D23-$B23)/$B23, "")</f>
        <v>-4.3952887101407646E-3</v>
      </c>
      <c r="F23" s="261"/>
      <c r="G23" s="67">
        <f>ROUND($C23*G$8, 0)</f>
        <v>173285</v>
      </c>
      <c r="H23" s="151">
        <f t="shared" ref="H23:H28" si="5">IF($B23 &gt; 0, (G23-$B23)/$B23, "")</f>
        <v>-4.3952887101407646E-3</v>
      </c>
    </row>
    <row r="24" spans="1:9" x14ac:dyDescent="0.25">
      <c r="A24" s="227" t="s">
        <v>73</v>
      </c>
      <c r="B24" s="64">
        <v>147950</v>
      </c>
      <c r="C24" s="149">
        <v>3615</v>
      </c>
      <c r="D24" s="67">
        <f>ROUND($C24*D$8, 0)</f>
        <v>126525</v>
      </c>
      <c r="E24" s="151">
        <f t="shared" si="4"/>
        <v>-0.14481243663399798</v>
      </c>
      <c r="F24" s="261"/>
      <c r="G24" s="67">
        <f>ROUND($C24*G$8, 0)</f>
        <v>126525</v>
      </c>
      <c r="H24" s="151">
        <f t="shared" si="5"/>
        <v>-0.14481243663399798</v>
      </c>
    </row>
    <row r="25" spans="1:9" x14ac:dyDescent="0.25">
      <c r="A25" s="227" t="s">
        <v>74</v>
      </c>
      <c r="B25" s="64">
        <v>320450</v>
      </c>
      <c r="C25" s="149">
        <v>6051</v>
      </c>
      <c r="D25" s="67">
        <f>ROUND($C25*D$8, 0)</f>
        <v>211785</v>
      </c>
      <c r="E25" s="151">
        <f t="shared" si="4"/>
        <v>-0.33910126384771416</v>
      </c>
      <c r="F25" s="261"/>
      <c r="G25" s="67">
        <f>ROUND($C25*G$8, 0)</f>
        <v>211785</v>
      </c>
      <c r="H25" s="151">
        <f t="shared" si="5"/>
        <v>-0.33910126384771416</v>
      </c>
    </row>
    <row r="26" spans="1:9" x14ac:dyDescent="0.25">
      <c r="A26" s="227" t="s">
        <v>75</v>
      </c>
      <c r="B26" s="64">
        <v>3158800</v>
      </c>
      <c r="C26" s="149">
        <v>78676</v>
      </c>
      <c r="D26" s="67">
        <f>ROUND($C26*D$8, 0)</f>
        <v>2753660</v>
      </c>
      <c r="E26" s="151">
        <f t="shared" si="4"/>
        <v>-0.1282575661643662</v>
      </c>
      <c r="F26" s="261"/>
      <c r="G26" s="67">
        <f>ROUND($C26*G$8, 0)</f>
        <v>2753660</v>
      </c>
      <c r="H26" s="151">
        <f t="shared" si="5"/>
        <v>-0.1282575661643662</v>
      </c>
    </row>
    <row r="27" spans="1:9" ht="15.75" customHeight="1" thickBot="1" x14ac:dyDescent="0.3">
      <c r="A27" s="227" t="s">
        <v>76</v>
      </c>
      <c r="B27" s="64">
        <v>6583450</v>
      </c>
      <c r="C27" s="149">
        <v>259783</v>
      </c>
      <c r="D27" s="67">
        <f>ROUND($C27*D$8, 0)</f>
        <v>9092405</v>
      </c>
      <c r="E27" s="151">
        <f t="shared" si="4"/>
        <v>0.38110033493077339</v>
      </c>
      <c r="F27" s="261"/>
      <c r="G27" s="67">
        <f>ROUND($C27*G$8, 0)</f>
        <v>9092405</v>
      </c>
      <c r="H27" s="151">
        <f t="shared" si="5"/>
        <v>0.38110033493077339</v>
      </c>
    </row>
    <row r="28" spans="1:9" ht="15.75" customHeight="1" thickBot="1" x14ac:dyDescent="0.3">
      <c r="A28" s="299" t="s">
        <v>47</v>
      </c>
      <c r="B28" s="246">
        <f>SUM(B16,B21,B23:B27)</f>
        <v>14654350</v>
      </c>
      <c r="C28" s="388">
        <f>SUM(C16,C21,C23:C27)</f>
        <v>453734</v>
      </c>
      <c r="D28" s="103">
        <f>SUM(D16,D21,D23:D27)</f>
        <v>15880690</v>
      </c>
      <c r="E28" s="268">
        <f t="shared" si="4"/>
        <v>8.3684366757993359E-2</v>
      </c>
      <c r="F28" s="269"/>
      <c r="G28" s="103">
        <f>SUM(G16,G21,G23:G27)</f>
        <v>15880690</v>
      </c>
      <c r="H28" s="268">
        <f t="shared" si="5"/>
        <v>8.3684366757993359E-2</v>
      </c>
    </row>
    <row r="31" spans="1:9" x14ac:dyDescent="0.25">
      <c r="A31" s="139" t="s">
        <v>108</v>
      </c>
    </row>
    <row r="32" spans="1:9" ht="31.5" customHeight="1" x14ac:dyDescent="0.25">
      <c r="A32" s="675" t="s">
        <v>356</v>
      </c>
      <c r="B32" s="675"/>
      <c r="C32" s="675"/>
      <c r="D32" s="675"/>
      <c r="E32" s="675"/>
      <c r="F32" s="675"/>
      <c r="G32" s="675"/>
      <c r="H32" s="675"/>
      <c r="I32" s="675"/>
    </row>
    <row r="33" spans="1:1" x14ac:dyDescent="0.25">
      <c r="A33" s="1" t="s">
        <v>357</v>
      </c>
    </row>
  </sheetData>
  <mergeCells count="8">
    <mergeCell ref="A32:I32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3" t="s">
        <v>358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359</v>
      </c>
    </row>
    <row r="6" spans="1:16" ht="15.75" customHeight="1" thickBot="1" x14ac:dyDescent="0.3">
      <c r="A6" s="426"/>
      <c r="B6" s="665" t="s">
        <v>162</v>
      </c>
      <c r="C6" s="666"/>
      <c r="D6" s="570" t="s">
        <v>3</v>
      </c>
      <c r="E6" s="667"/>
      <c r="F6" s="667"/>
      <c r="G6" s="668"/>
      <c r="H6" s="389"/>
      <c r="I6" s="570" t="s">
        <v>4</v>
      </c>
      <c r="J6" s="667"/>
      <c r="K6" s="667"/>
      <c r="L6" s="668"/>
      <c r="M6"/>
      <c r="N6"/>
      <c r="O6"/>
      <c r="P6"/>
    </row>
    <row r="7" spans="1:16" x14ac:dyDescent="0.25">
      <c r="A7" s="562"/>
      <c r="B7" s="661" t="s">
        <v>275</v>
      </c>
      <c r="C7" s="663" t="s">
        <v>45</v>
      </c>
      <c r="D7" s="669" t="s">
        <v>275</v>
      </c>
      <c r="E7" s="678"/>
      <c r="F7" s="673" t="s">
        <v>45</v>
      </c>
      <c r="G7" s="674"/>
      <c r="H7" s="390"/>
      <c r="I7" s="669" t="s">
        <v>275</v>
      </c>
      <c r="J7" s="678"/>
      <c r="K7" s="673" t="s">
        <v>45</v>
      </c>
      <c r="L7" s="674"/>
    </row>
    <row r="8" spans="1:16" ht="45.75" customHeight="1" thickBot="1" x14ac:dyDescent="0.3">
      <c r="A8" s="562"/>
      <c r="B8" s="662"/>
      <c r="C8" s="664"/>
      <c r="D8" s="349" t="s">
        <v>264</v>
      </c>
      <c r="E8" s="347" t="s">
        <v>136</v>
      </c>
      <c r="F8" s="391" t="s">
        <v>264</v>
      </c>
      <c r="G8" s="344" t="s">
        <v>136</v>
      </c>
      <c r="H8" s="392"/>
      <c r="I8" s="349" t="s">
        <v>264</v>
      </c>
      <c r="J8" s="347" t="s">
        <v>138</v>
      </c>
      <c r="K8" s="391" t="s">
        <v>264</v>
      </c>
      <c r="L8" s="344" t="s">
        <v>138</v>
      </c>
      <c r="M8"/>
      <c r="N8"/>
      <c r="O8"/>
      <c r="P8"/>
    </row>
    <row r="9" spans="1:16" x14ac:dyDescent="0.25">
      <c r="A9" s="223" t="s">
        <v>360</v>
      </c>
      <c r="B9" s="64">
        <v>11017546</v>
      </c>
      <c r="C9" s="226">
        <v>2181190</v>
      </c>
      <c r="D9" s="306">
        <v>10849106</v>
      </c>
      <c r="E9" s="151">
        <f t="shared" ref="E9:E16" si="0">IF($B9 &gt; 0, (D9-$B9)/$B9, "")</f>
        <v>-1.5288340979016561E-2</v>
      </c>
      <c r="F9" s="306">
        <v>2181190</v>
      </c>
      <c r="G9" s="151">
        <f t="shared" ref="G9:G16" si="1">IF($C9 &gt;0, (F9-$C9)/$C9, "")</f>
        <v>0</v>
      </c>
      <c r="H9" s="16"/>
      <c r="I9" s="306">
        <v>10849106</v>
      </c>
      <c r="J9" s="151">
        <f t="shared" ref="J9:J16" si="2">IF($B9 &gt; 0, (I9-$B9)/$B9, "")</f>
        <v>-1.5288340979016561E-2</v>
      </c>
      <c r="K9" s="306">
        <v>2181190</v>
      </c>
      <c r="L9" s="151">
        <f t="shared" ref="L9:L16" si="3">IF($C9 &gt;0, (K9-$C9)/$C9, "")</f>
        <v>0</v>
      </c>
    </row>
    <row r="10" spans="1:16" x14ac:dyDescent="0.25">
      <c r="A10" s="227" t="s">
        <v>361</v>
      </c>
      <c r="B10" s="64">
        <v>33315615</v>
      </c>
      <c r="C10" s="226">
        <v>0</v>
      </c>
      <c r="D10" s="67">
        <v>41558550</v>
      </c>
      <c r="E10" s="151">
        <f t="shared" si="0"/>
        <v>0.24741956587023833</v>
      </c>
      <c r="F10" s="67">
        <v>0</v>
      </c>
      <c r="G10" s="151" t="str">
        <f t="shared" si="1"/>
        <v/>
      </c>
      <c r="H10" s="20"/>
      <c r="I10" s="67">
        <v>39528550</v>
      </c>
      <c r="J10" s="151">
        <f t="shared" si="2"/>
        <v>0.18648717725907207</v>
      </c>
      <c r="K10" s="67">
        <v>0</v>
      </c>
      <c r="L10" s="151" t="str">
        <f t="shared" si="3"/>
        <v/>
      </c>
    </row>
    <row r="11" spans="1:16" x14ac:dyDescent="0.25">
      <c r="A11" s="227" t="s">
        <v>72</v>
      </c>
      <c r="B11" s="64">
        <v>7059006</v>
      </c>
      <c r="C11" s="226">
        <v>0</v>
      </c>
      <c r="D11" s="67">
        <v>7058241</v>
      </c>
      <c r="E11" s="151">
        <f t="shared" si="0"/>
        <v>-1.0837219857866675E-4</v>
      </c>
      <c r="F11" s="67">
        <v>0</v>
      </c>
      <c r="G11" s="151" t="str">
        <f t="shared" si="1"/>
        <v/>
      </c>
      <c r="H11" s="20"/>
      <c r="I11" s="67">
        <v>7058241</v>
      </c>
      <c r="J11" s="151">
        <f t="shared" si="2"/>
        <v>-1.0837219857866675E-4</v>
      </c>
      <c r="K11" s="67">
        <v>0</v>
      </c>
      <c r="L11" s="151" t="str">
        <f t="shared" si="3"/>
        <v/>
      </c>
    </row>
    <row r="12" spans="1:16" x14ac:dyDescent="0.25">
      <c r="A12" s="227" t="s">
        <v>73</v>
      </c>
      <c r="B12" s="64">
        <v>951950</v>
      </c>
      <c r="C12" s="226">
        <v>446438</v>
      </c>
      <c r="D12" s="67">
        <v>3280525</v>
      </c>
      <c r="E12" s="151">
        <f t="shared" si="0"/>
        <v>2.4461106150533118</v>
      </c>
      <c r="F12" s="67">
        <v>446438</v>
      </c>
      <c r="G12" s="151">
        <f t="shared" si="1"/>
        <v>0</v>
      </c>
      <c r="H12" s="20"/>
      <c r="I12" s="67">
        <v>3280525</v>
      </c>
      <c r="J12" s="151">
        <f t="shared" si="2"/>
        <v>2.4461106150533118</v>
      </c>
      <c r="K12" s="67">
        <v>446438</v>
      </c>
      <c r="L12" s="151">
        <f t="shared" si="3"/>
        <v>0</v>
      </c>
    </row>
    <row r="13" spans="1:16" x14ac:dyDescent="0.25">
      <c r="A13" s="227" t="s">
        <v>74</v>
      </c>
      <c r="B13" s="64">
        <v>807328</v>
      </c>
      <c r="C13" s="226">
        <v>0</v>
      </c>
      <c r="D13" s="67">
        <v>1448663</v>
      </c>
      <c r="E13" s="151">
        <f t="shared" si="0"/>
        <v>0.79439211819731259</v>
      </c>
      <c r="F13" s="67">
        <v>0</v>
      </c>
      <c r="G13" s="151" t="str">
        <f t="shared" si="1"/>
        <v/>
      </c>
      <c r="H13" s="20"/>
      <c r="I13" s="67">
        <v>1448663</v>
      </c>
      <c r="J13" s="151">
        <f t="shared" si="2"/>
        <v>0.79439211819731259</v>
      </c>
      <c r="K13" s="67">
        <v>0</v>
      </c>
      <c r="L13" s="151" t="str">
        <f t="shared" si="3"/>
        <v/>
      </c>
    </row>
    <row r="14" spans="1:16" x14ac:dyDescent="0.25">
      <c r="A14" s="227" t="s">
        <v>75</v>
      </c>
      <c r="B14" s="64">
        <v>3158800</v>
      </c>
      <c r="C14" s="226">
        <v>0</v>
      </c>
      <c r="D14" s="67">
        <v>2753660</v>
      </c>
      <c r="E14" s="151">
        <f t="shared" si="0"/>
        <v>-0.1282575661643662</v>
      </c>
      <c r="F14" s="67">
        <v>0</v>
      </c>
      <c r="G14" s="151" t="str">
        <f t="shared" si="1"/>
        <v/>
      </c>
      <c r="H14" s="20"/>
      <c r="I14" s="67">
        <v>2753660</v>
      </c>
      <c r="J14" s="151">
        <f t="shared" si="2"/>
        <v>-0.1282575661643662</v>
      </c>
      <c r="K14" s="67">
        <v>0</v>
      </c>
      <c r="L14" s="151" t="str">
        <f t="shared" si="3"/>
        <v/>
      </c>
    </row>
    <row r="15" spans="1:16" ht="15.75" customHeight="1" thickBot="1" x14ac:dyDescent="0.3">
      <c r="A15" s="227" t="s">
        <v>76</v>
      </c>
      <c r="B15" s="64">
        <v>7668861</v>
      </c>
      <c r="C15" s="226">
        <v>1768548</v>
      </c>
      <c r="D15" s="67">
        <v>10177816</v>
      </c>
      <c r="E15" s="151">
        <f t="shared" si="0"/>
        <v>0.32716136072879665</v>
      </c>
      <c r="F15" s="67">
        <v>1768548</v>
      </c>
      <c r="G15" s="151">
        <f t="shared" si="1"/>
        <v>0</v>
      </c>
      <c r="H15" s="20"/>
      <c r="I15" s="67">
        <v>10177816</v>
      </c>
      <c r="J15" s="151">
        <f t="shared" si="2"/>
        <v>0.32716136072879665</v>
      </c>
      <c r="K15" s="67">
        <v>1768548</v>
      </c>
      <c r="L15" s="151">
        <f t="shared" si="3"/>
        <v>0</v>
      </c>
      <c r="M15"/>
      <c r="N15"/>
      <c r="O15"/>
      <c r="P15"/>
    </row>
    <row r="16" spans="1:16" ht="15.75" customHeight="1" thickTop="1" x14ac:dyDescent="0.25">
      <c r="A16" s="228" t="s">
        <v>362</v>
      </c>
      <c r="B16" s="229">
        <f>SUM(B9:B15)</f>
        <v>63979106</v>
      </c>
      <c r="C16" s="231">
        <f>SUM(C9:C15)</f>
        <v>4396176</v>
      </c>
      <c r="D16" s="230">
        <f>SUM(D9:D15)</f>
        <v>77126561</v>
      </c>
      <c r="E16" s="313">
        <f t="shared" si="0"/>
        <v>0.20549607242089316</v>
      </c>
      <c r="F16" s="230">
        <f>SUM(F9:F15)</f>
        <v>4396176</v>
      </c>
      <c r="G16" s="313">
        <f t="shared" si="1"/>
        <v>0</v>
      </c>
      <c r="H16" s="20"/>
      <c r="I16" s="230">
        <f>SUM(I9:I15)</f>
        <v>75096561</v>
      </c>
      <c r="J16" s="313">
        <f t="shared" si="2"/>
        <v>0.17376696385848217</v>
      </c>
      <c r="K16" s="230">
        <f>SUM(K9:K15)</f>
        <v>4396176</v>
      </c>
      <c r="L16" s="313">
        <f t="shared" si="3"/>
        <v>0</v>
      </c>
      <c r="M16"/>
      <c r="N16"/>
      <c r="O16"/>
      <c r="P16"/>
    </row>
    <row r="17" spans="1:16" x14ac:dyDescent="0.25">
      <c r="A17" s="235"/>
      <c r="B17" s="236"/>
      <c r="C17" s="242"/>
      <c r="D17" s="237"/>
      <c r="E17" s="266"/>
      <c r="F17" s="237"/>
      <c r="G17" s="266"/>
      <c r="H17" s="20"/>
      <c r="I17" s="237"/>
      <c r="J17" s="266"/>
      <c r="K17" s="237"/>
      <c r="L17" s="266"/>
    </row>
    <row r="18" spans="1:16" x14ac:dyDescent="0.25">
      <c r="A18" s="227" t="s">
        <v>78</v>
      </c>
      <c r="B18" s="64">
        <v>5202000</v>
      </c>
      <c r="C18" s="226">
        <v>0</v>
      </c>
      <c r="D18" s="67">
        <v>5312000</v>
      </c>
      <c r="E18" s="151">
        <f t="shared" ref="E18:E23" si="4">IF($B18 &gt; 0, (D18-$B18)/$B18, "")</f>
        <v>2.1145713187235678E-2</v>
      </c>
      <c r="F18" s="67">
        <v>0</v>
      </c>
      <c r="G18" s="151" t="str">
        <f t="shared" ref="G18:G23" si="5">IF($C18 &gt;0, (F18-$C18)/$C18, "")</f>
        <v/>
      </c>
      <c r="H18" s="20"/>
      <c r="I18" s="67">
        <v>5421000</v>
      </c>
      <c r="J18" s="151">
        <f t="shared" ref="J18:J23" si="6">IF($B18 &gt; 0, (I18-$B18)/$B18, "")</f>
        <v>4.2099192618223757E-2</v>
      </c>
      <c r="K18" s="67">
        <v>0</v>
      </c>
      <c r="L18" s="151" t="str">
        <f t="shared" ref="L18:L23" si="7">IF($C18 &gt;0, (K18-$C18)/$C18, "")</f>
        <v/>
      </c>
    </row>
    <row r="19" spans="1:16" x14ac:dyDescent="0.25">
      <c r="A19" s="227" t="s">
        <v>363</v>
      </c>
      <c r="B19" s="64">
        <v>0</v>
      </c>
      <c r="C19" s="226">
        <v>1852698</v>
      </c>
      <c r="D19" s="67">
        <v>0</v>
      </c>
      <c r="E19" s="151" t="str">
        <f t="shared" si="4"/>
        <v/>
      </c>
      <c r="F19" s="67">
        <v>1852698</v>
      </c>
      <c r="G19" s="151">
        <f t="shared" si="5"/>
        <v>0</v>
      </c>
      <c r="H19" s="20"/>
      <c r="I19" s="67">
        <v>0</v>
      </c>
      <c r="J19" s="151" t="str">
        <f t="shared" si="6"/>
        <v/>
      </c>
      <c r="K19" s="67">
        <v>1852698</v>
      </c>
      <c r="L19" s="151">
        <f t="shared" si="7"/>
        <v>0</v>
      </c>
    </row>
    <row r="20" spans="1:16" x14ac:dyDescent="0.25">
      <c r="A20" s="227" t="s">
        <v>80</v>
      </c>
      <c r="B20" s="64">
        <v>351182108</v>
      </c>
      <c r="C20" s="226">
        <v>0</v>
      </c>
      <c r="D20" s="67">
        <v>350972217</v>
      </c>
      <c r="E20" s="151">
        <f t="shared" si="4"/>
        <v>-5.9766997013412765E-4</v>
      </c>
      <c r="F20" s="67">
        <v>3582400</v>
      </c>
      <c r="G20" s="151" t="str">
        <f t="shared" si="5"/>
        <v/>
      </c>
      <c r="H20" s="20"/>
      <c r="I20" s="67">
        <v>335797104</v>
      </c>
      <c r="J20" s="151">
        <f t="shared" si="6"/>
        <v>-4.3809190871421044E-2</v>
      </c>
      <c r="K20" s="67">
        <v>5082400</v>
      </c>
      <c r="L20" s="151" t="str">
        <f t="shared" si="7"/>
        <v/>
      </c>
    </row>
    <row r="21" spans="1:16" ht="15.75" customHeight="1" thickBot="1" x14ac:dyDescent="0.3">
      <c r="A21" s="227" t="s">
        <v>81</v>
      </c>
      <c r="B21" s="64">
        <v>9816808</v>
      </c>
      <c r="C21" s="226">
        <v>3115000</v>
      </c>
      <c r="D21" s="67">
        <v>9816808</v>
      </c>
      <c r="E21" s="151">
        <f t="shared" si="4"/>
        <v>0</v>
      </c>
      <c r="F21" s="67">
        <v>3115000</v>
      </c>
      <c r="G21" s="151">
        <f t="shared" si="5"/>
        <v>0</v>
      </c>
      <c r="H21" s="20"/>
      <c r="I21" s="67">
        <v>9816808</v>
      </c>
      <c r="J21" s="151">
        <f t="shared" si="6"/>
        <v>0</v>
      </c>
      <c r="K21" s="67">
        <v>3115000</v>
      </c>
      <c r="L21" s="151">
        <f t="shared" si="7"/>
        <v>0</v>
      </c>
      <c r="M21"/>
      <c r="N21"/>
      <c r="O21"/>
      <c r="P21"/>
    </row>
    <row r="22" spans="1:16" ht="16.5" customHeight="1" thickTop="1" thickBot="1" x14ac:dyDescent="0.3">
      <c r="A22" s="393" t="s">
        <v>364</v>
      </c>
      <c r="B22" s="394">
        <f>SUM(B18:B21)</f>
        <v>366200916</v>
      </c>
      <c r="C22" s="395">
        <f>SUM(C18:C21)</f>
        <v>4967698</v>
      </c>
      <c r="D22" s="396">
        <f>SUM(D18:D21)</f>
        <v>366101025</v>
      </c>
      <c r="E22" s="156">
        <f t="shared" si="4"/>
        <v>-2.7277648863117536E-4</v>
      </c>
      <c r="F22" s="396">
        <f>SUM(F18:F21)</f>
        <v>8550098</v>
      </c>
      <c r="G22" s="156">
        <f t="shared" si="5"/>
        <v>0.72113884539680151</v>
      </c>
      <c r="H22" s="20"/>
      <c r="I22" s="396">
        <f>SUM(I18:I21)</f>
        <v>351034912</v>
      </c>
      <c r="J22" s="156">
        <f t="shared" si="6"/>
        <v>-4.1414434910916495E-2</v>
      </c>
      <c r="K22" s="396">
        <f>SUM(K18:K21)</f>
        <v>10050098</v>
      </c>
      <c r="L22" s="156">
        <f t="shared" si="7"/>
        <v>1.0230895678441001</v>
      </c>
      <c r="M22"/>
      <c r="N22"/>
      <c r="O22"/>
      <c r="P22"/>
    </row>
    <row r="23" spans="1:16" ht="15.75" customHeight="1" thickBot="1" x14ac:dyDescent="0.3">
      <c r="A23" s="299" t="s">
        <v>47</v>
      </c>
      <c r="B23" s="246">
        <f>SUM(B16,B22)</f>
        <v>430180022</v>
      </c>
      <c r="C23" s="247">
        <f>SUM(C16,C22)</f>
        <v>9363874</v>
      </c>
      <c r="D23" s="103">
        <f>SUM(D16,D22)</f>
        <v>443227586</v>
      </c>
      <c r="E23" s="268">
        <f t="shared" si="4"/>
        <v>3.0330474063716514E-2</v>
      </c>
      <c r="F23" s="103">
        <f>SUM(F16,F22)</f>
        <v>12946274</v>
      </c>
      <c r="G23" s="268">
        <f t="shared" si="5"/>
        <v>0.38257669849038978</v>
      </c>
      <c r="H23" s="94"/>
      <c r="I23" s="103">
        <f>SUM(I16,I22)</f>
        <v>426131473</v>
      </c>
      <c r="J23" s="268">
        <f t="shared" si="6"/>
        <v>-9.4112901412237125E-3</v>
      </c>
      <c r="K23" s="103">
        <f>SUM(K16,K22)</f>
        <v>14446274</v>
      </c>
      <c r="L23" s="268">
        <f t="shared" si="7"/>
        <v>0.54276680784043019</v>
      </c>
      <c r="M23"/>
      <c r="N23"/>
      <c r="O23"/>
      <c r="P23"/>
    </row>
  </sheetData>
  <mergeCells count="10">
    <mergeCell ref="I6:L6"/>
    <mergeCell ref="D7:E7"/>
    <mergeCell ref="F7:G7"/>
    <mergeCell ref="I7:J7"/>
    <mergeCell ref="K7:L7"/>
    <mergeCell ref="A6:A8"/>
    <mergeCell ref="B7:B8"/>
    <mergeCell ref="C7:C8"/>
    <mergeCell ref="B6:C6"/>
    <mergeCell ref="D6:G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8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3" t="s">
        <v>365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366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26"/>
      <c r="B6" s="420" t="s">
        <v>353</v>
      </c>
      <c r="C6" s="614" t="s">
        <v>367</v>
      </c>
      <c r="D6" s="616" t="s">
        <v>368</v>
      </c>
      <c r="E6" s="682" t="s">
        <v>181</v>
      </c>
      <c r="F6" s="683"/>
      <c r="G6" s="684"/>
      <c r="H6" s="570" t="s">
        <v>3</v>
      </c>
      <c r="I6" s="429"/>
      <c r="J6" s="16"/>
      <c r="K6" s="570" t="s">
        <v>4</v>
      </c>
      <c r="L6" s="429"/>
    </row>
    <row r="7" spans="1:12" ht="21.75" customHeight="1" x14ac:dyDescent="0.25">
      <c r="A7" s="562"/>
      <c r="B7" s="425"/>
      <c r="C7" s="679"/>
      <c r="D7" s="680"/>
      <c r="E7" s="397" t="s">
        <v>369</v>
      </c>
      <c r="F7" s="398" t="s">
        <v>370</v>
      </c>
      <c r="G7" s="685" t="s">
        <v>264</v>
      </c>
      <c r="H7" s="681" t="s">
        <v>264</v>
      </c>
      <c r="I7" s="587" t="s">
        <v>136</v>
      </c>
      <c r="J7" s="20"/>
      <c r="K7" s="681" t="s">
        <v>264</v>
      </c>
      <c r="L7" s="587" t="s">
        <v>138</v>
      </c>
    </row>
    <row r="8" spans="1:12" ht="27.75" customHeight="1" thickBot="1" x14ac:dyDescent="0.3">
      <c r="A8" s="427"/>
      <c r="B8" s="421"/>
      <c r="C8" s="615"/>
      <c r="D8" s="617"/>
      <c r="E8" s="399">
        <v>5.0000000000000001E-3</v>
      </c>
      <c r="F8" s="400">
        <v>5.0000000000000001E-3</v>
      </c>
      <c r="G8" s="686"/>
      <c r="H8" s="585"/>
      <c r="I8" s="588"/>
      <c r="J8" s="20"/>
      <c r="K8" s="585"/>
      <c r="L8" s="588"/>
    </row>
    <row r="9" spans="1:12" x14ac:dyDescent="0.25">
      <c r="A9" s="227" t="s">
        <v>50</v>
      </c>
      <c r="B9" s="64">
        <v>6030303</v>
      </c>
      <c r="C9" s="67">
        <v>2291456440</v>
      </c>
      <c r="D9" s="226">
        <v>284096658</v>
      </c>
      <c r="E9" s="67">
        <f t="shared" ref="E9:F15" si="0">ROUND(E$8*C9 / 2, 0) * 2</f>
        <v>11457282</v>
      </c>
      <c r="F9" s="150">
        <f t="shared" si="0"/>
        <v>1420484</v>
      </c>
      <c r="G9" s="225">
        <f t="shared" ref="G9:G15" si="1">SUM(E9,F9)</f>
        <v>12877766</v>
      </c>
      <c r="H9" s="67">
        <f t="shared" ref="H9:H15" si="2">$G9/2</f>
        <v>6438883</v>
      </c>
      <c r="I9" s="151">
        <f t="shared" ref="I9:I16" si="3">IF($B9 &gt; 0, (H9-$B9)/$B9, "")</f>
        <v>6.7754472702283783E-2</v>
      </c>
      <c r="J9" s="20"/>
      <c r="K9" s="67">
        <f t="shared" ref="K9:K15" si="4">$G9/2</f>
        <v>6438883</v>
      </c>
      <c r="L9" s="151">
        <f t="shared" ref="L9:L16" si="5">IF($B9 &gt; 0, (K9-$B9)/$B9, "")</f>
        <v>6.7754472702283783E-2</v>
      </c>
    </row>
    <row r="10" spans="1:12" x14ac:dyDescent="0.25">
      <c r="A10" s="227" t="s">
        <v>55</v>
      </c>
      <c r="B10" s="64">
        <v>194074</v>
      </c>
      <c r="C10" s="67">
        <v>70353197</v>
      </c>
      <c r="D10" s="226">
        <v>8092868</v>
      </c>
      <c r="E10" s="67">
        <f t="shared" si="0"/>
        <v>351766</v>
      </c>
      <c r="F10" s="150">
        <f t="shared" si="0"/>
        <v>40464</v>
      </c>
      <c r="G10" s="225">
        <f t="shared" si="1"/>
        <v>392230</v>
      </c>
      <c r="H10" s="67">
        <f t="shared" si="2"/>
        <v>196115</v>
      </c>
      <c r="I10" s="151">
        <f t="shared" si="3"/>
        <v>1.0516607067407278E-2</v>
      </c>
      <c r="J10" s="20"/>
      <c r="K10" s="67">
        <f t="shared" si="4"/>
        <v>196115</v>
      </c>
      <c r="L10" s="151">
        <f t="shared" si="5"/>
        <v>1.0516607067407278E-2</v>
      </c>
    </row>
    <row r="11" spans="1:12" x14ac:dyDescent="0.25">
      <c r="A11" s="227" t="s">
        <v>56</v>
      </c>
      <c r="B11" s="64">
        <v>255926</v>
      </c>
      <c r="C11" s="67">
        <v>97484130</v>
      </c>
      <c r="D11" s="226">
        <v>6019288</v>
      </c>
      <c r="E11" s="67">
        <f t="shared" si="0"/>
        <v>487420</v>
      </c>
      <c r="F11" s="150">
        <f t="shared" si="0"/>
        <v>30096</v>
      </c>
      <c r="G11" s="225">
        <f t="shared" si="1"/>
        <v>517516</v>
      </c>
      <c r="H11" s="67">
        <f t="shared" si="2"/>
        <v>258758</v>
      </c>
      <c r="I11" s="151">
        <f t="shared" si="3"/>
        <v>1.1065698678524262E-2</v>
      </c>
      <c r="J11" s="20"/>
      <c r="K11" s="67">
        <f t="shared" si="4"/>
        <v>258758</v>
      </c>
      <c r="L11" s="151">
        <f t="shared" si="5"/>
        <v>1.1065698678524262E-2</v>
      </c>
    </row>
    <row r="12" spans="1:12" x14ac:dyDescent="0.25">
      <c r="A12" s="227" t="s">
        <v>57</v>
      </c>
      <c r="B12" s="64">
        <v>416656</v>
      </c>
      <c r="C12" s="67">
        <v>158563871</v>
      </c>
      <c r="D12" s="226">
        <v>12482996</v>
      </c>
      <c r="E12" s="67">
        <f t="shared" si="0"/>
        <v>792820</v>
      </c>
      <c r="F12" s="150">
        <f t="shared" si="0"/>
        <v>62414</v>
      </c>
      <c r="G12" s="225">
        <f t="shared" si="1"/>
        <v>855234</v>
      </c>
      <c r="H12" s="67">
        <f t="shared" si="2"/>
        <v>427617</v>
      </c>
      <c r="I12" s="151">
        <f t="shared" si="3"/>
        <v>2.6307073461080605E-2</v>
      </c>
      <c r="J12" s="20"/>
      <c r="K12" s="67">
        <f t="shared" si="4"/>
        <v>427617</v>
      </c>
      <c r="L12" s="151">
        <f t="shared" si="5"/>
        <v>2.6307073461080605E-2</v>
      </c>
    </row>
    <row r="13" spans="1:12" x14ac:dyDescent="0.25">
      <c r="A13" s="227" t="s">
        <v>58</v>
      </c>
      <c r="B13" s="64">
        <v>4479848</v>
      </c>
      <c r="C13" s="67">
        <v>1864442033</v>
      </c>
      <c r="D13" s="226">
        <v>66791249</v>
      </c>
      <c r="E13" s="67">
        <f t="shared" si="0"/>
        <v>9322210</v>
      </c>
      <c r="F13" s="150">
        <f t="shared" si="0"/>
        <v>333956</v>
      </c>
      <c r="G13" s="225">
        <f t="shared" si="1"/>
        <v>9656166</v>
      </c>
      <c r="H13" s="67">
        <f t="shared" si="2"/>
        <v>4828083</v>
      </c>
      <c r="I13" s="151">
        <f t="shared" si="3"/>
        <v>7.7733664177891751E-2</v>
      </c>
      <c r="J13" s="20"/>
      <c r="K13" s="67">
        <f t="shared" si="4"/>
        <v>4828083</v>
      </c>
      <c r="L13" s="151">
        <f t="shared" si="5"/>
        <v>7.7733664177891751E-2</v>
      </c>
    </row>
    <row r="14" spans="1:12" x14ac:dyDescent="0.25">
      <c r="A14" s="227" t="s">
        <v>59</v>
      </c>
      <c r="B14" s="64">
        <v>502820</v>
      </c>
      <c r="C14" s="67">
        <v>190469930</v>
      </c>
      <c r="D14" s="226">
        <v>12459566</v>
      </c>
      <c r="E14" s="67">
        <f t="shared" si="0"/>
        <v>952350</v>
      </c>
      <c r="F14" s="150">
        <f t="shared" si="0"/>
        <v>62298</v>
      </c>
      <c r="G14" s="225">
        <f t="shared" si="1"/>
        <v>1014648</v>
      </c>
      <c r="H14" s="67">
        <f t="shared" si="2"/>
        <v>507324</v>
      </c>
      <c r="I14" s="151">
        <f t="shared" si="3"/>
        <v>8.9574798138498859E-3</v>
      </c>
      <c r="J14" s="20"/>
      <c r="K14" s="67">
        <f t="shared" si="4"/>
        <v>507324</v>
      </c>
      <c r="L14" s="151">
        <f t="shared" si="5"/>
        <v>8.9574798138498859E-3</v>
      </c>
    </row>
    <row r="15" spans="1:12" ht="15.75" customHeight="1" thickBot="1" x14ac:dyDescent="0.3">
      <c r="A15" s="227" t="s">
        <v>60</v>
      </c>
      <c r="B15" s="64">
        <v>464028</v>
      </c>
      <c r="C15" s="67">
        <v>169522361</v>
      </c>
      <c r="D15" s="226">
        <v>19246736</v>
      </c>
      <c r="E15" s="67">
        <f t="shared" si="0"/>
        <v>847612</v>
      </c>
      <c r="F15" s="150">
        <f t="shared" si="0"/>
        <v>96234</v>
      </c>
      <c r="G15" s="225">
        <f t="shared" si="1"/>
        <v>943846</v>
      </c>
      <c r="H15" s="67">
        <f t="shared" si="2"/>
        <v>471923</v>
      </c>
      <c r="I15" s="151">
        <f t="shared" si="3"/>
        <v>1.70140594964097E-2</v>
      </c>
      <c r="J15" s="20"/>
      <c r="K15" s="67">
        <f t="shared" si="4"/>
        <v>471923</v>
      </c>
      <c r="L15" s="151">
        <f t="shared" si="5"/>
        <v>1.70140594964097E-2</v>
      </c>
    </row>
    <row r="16" spans="1:12" ht="15.75" customHeight="1" thickTop="1" x14ac:dyDescent="0.25">
      <c r="A16" s="228" t="s">
        <v>126</v>
      </c>
      <c r="B16" s="229">
        <f t="shared" ref="B16:H16" si="6">SUM(B9:B15)</f>
        <v>12343655</v>
      </c>
      <c r="C16" s="230">
        <f t="shared" si="6"/>
        <v>4842291962</v>
      </c>
      <c r="D16" s="231">
        <f t="shared" si="6"/>
        <v>409189361</v>
      </c>
      <c r="E16" s="230">
        <f t="shared" si="6"/>
        <v>24211460</v>
      </c>
      <c r="F16" s="232">
        <f t="shared" si="6"/>
        <v>2045946</v>
      </c>
      <c r="G16" s="401">
        <f t="shared" si="6"/>
        <v>26257406</v>
      </c>
      <c r="H16" s="230">
        <f t="shared" si="6"/>
        <v>13128703</v>
      </c>
      <c r="I16" s="313">
        <f t="shared" si="3"/>
        <v>6.3599314789663186E-2</v>
      </c>
      <c r="J16" s="20"/>
      <c r="K16" s="230">
        <f>SUM(K9:K15)</f>
        <v>13128703</v>
      </c>
      <c r="L16" s="313">
        <f t="shared" si="5"/>
        <v>6.3599314789663186E-2</v>
      </c>
    </row>
    <row r="17" spans="1:12" x14ac:dyDescent="0.25">
      <c r="A17" s="235"/>
      <c r="B17" s="236"/>
      <c r="C17" s="237"/>
      <c r="D17" s="242"/>
      <c r="E17" s="237"/>
      <c r="F17" s="239"/>
      <c r="G17" s="238"/>
      <c r="H17" s="237"/>
      <c r="I17" s="266"/>
      <c r="J17" s="20"/>
      <c r="K17" s="237"/>
      <c r="L17" s="266"/>
    </row>
    <row r="18" spans="1:12" x14ac:dyDescent="0.25">
      <c r="A18" s="227" t="s">
        <v>66</v>
      </c>
      <c r="B18" s="64">
        <v>8612203</v>
      </c>
      <c r="C18" s="67">
        <v>3114370793</v>
      </c>
      <c r="D18" s="226">
        <v>568940386</v>
      </c>
      <c r="E18" s="67">
        <f t="shared" ref="E18:F20" si="7">ROUND(E$8*C18 / 2, 0) * 2</f>
        <v>15571854</v>
      </c>
      <c r="F18" s="150">
        <f t="shared" si="7"/>
        <v>2844702</v>
      </c>
      <c r="G18" s="225">
        <f>SUM(E18,F18)</f>
        <v>18416556</v>
      </c>
      <c r="H18" s="67">
        <f>$G18/2</f>
        <v>9208278</v>
      </c>
      <c r="I18" s="151">
        <f>IF($B18 &gt; 0, (H18-$B18)/$B18, "")</f>
        <v>6.9212836715530274E-2</v>
      </c>
      <c r="J18" s="20"/>
      <c r="K18" s="67">
        <f>$G18/2</f>
        <v>9208278</v>
      </c>
      <c r="L18" s="151">
        <f>IF($B18 &gt; 0, (K18-$B18)/$B18, "")</f>
        <v>6.9212836715530274E-2</v>
      </c>
    </row>
    <row r="19" spans="1:12" x14ac:dyDescent="0.25">
      <c r="A19" s="227" t="s">
        <v>67</v>
      </c>
      <c r="B19" s="64">
        <v>971946</v>
      </c>
      <c r="C19" s="67">
        <v>321737490</v>
      </c>
      <c r="D19" s="226">
        <v>49353572</v>
      </c>
      <c r="E19" s="67">
        <f t="shared" si="7"/>
        <v>1608688</v>
      </c>
      <c r="F19" s="150">
        <f t="shared" si="7"/>
        <v>246768</v>
      </c>
      <c r="G19" s="225">
        <f>SUM(E19,F19)</f>
        <v>1855456</v>
      </c>
      <c r="H19" s="67">
        <f>$G19/2</f>
        <v>927728</v>
      </c>
      <c r="I19" s="151">
        <f>IF($B19 &gt; 0, (H19-$B19)/$B19, "")</f>
        <v>-4.5494297008270006E-2</v>
      </c>
      <c r="J19" s="20"/>
      <c r="K19" s="67">
        <f>$G19/2</f>
        <v>927728</v>
      </c>
      <c r="L19" s="151">
        <f>IF($B19 &gt; 0, (K19-$B19)/$B19, "")</f>
        <v>-4.5494297008270006E-2</v>
      </c>
    </row>
    <row r="20" spans="1:12" ht="15.75" customHeight="1" thickBot="1" x14ac:dyDescent="0.3">
      <c r="A20" s="227" t="s">
        <v>68</v>
      </c>
      <c r="B20" s="64">
        <v>983291</v>
      </c>
      <c r="C20" s="67">
        <v>399901472</v>
      </c>
      <c r="D20" s="226">
        <v>46207334</v>
      </c>
      <c r="E20" s="67">
        <f t="shared" si="7"/>
        <v>1999508</v>
      </c>
      <c r="F20" s="150">
        <f t="shared" si="7"/>
        <v>231036</v>
      </c>
      <c r="G20" s="225">
        <f>SUM(E20,F20)</f>
        <v>2230544</v>
      </c>
      <c r="H20" s="67">
        <f>$G20/2</f>
        <v>1115272</v>
      </c>
      <c r="I20" s="151">
        <f>IF($B20 &gt; 0, (H20-$B20)/$B20, "")</f>
        <v>0.13422374454764663</v>
      </c>
      <c r="J20" s="20"/>
      <c r="K20" s="67">
        <f>$G20/2</f>
        <v>1115272</v>
      </c>
      <c r="L20" s="151">
        <f>IF($B20 &gt; 0, (K20-$B20)/$B20, "")</f>
        <v>0.13422374454764663</v>
      </c>
    </row>
    <row r="21" spans="1:12" ht="15.75" customHeight="1" thickTop="1" x14ac:dyDescent="0.25">
      <c r="A21" s="228" t="s">
        <v>127</v>
      </c>
      <c r="B21" s="229">
        <f t="shared" ref="B21:H21" si="8">SUM(B18:B20)</f>
        <v>10567440</v>
      </c>
      <c r="C21" s="230">
        <f t="shared" si="8"/>
        <v>3836009755</v>
      </c>
      <c r="D21" s="231">
        <f t="shared" si="8"/>
        <v>664501292</v>
      </c>
      <c r="E21" s="230">
        <f t="shared" si="8"/>
        <v>19180050</v>
      </c>
      <c r="F21" s="232">
        <f t="shared" si="8"/>
        <v>3322506</v>
      </c>
      <c r="G21" s="401">
        <f t="shared" si="8"/>
        <v>22502556</v>
      </c>
      <c r="H21" s="230">
        <f t="shared" si="8"/>
        <v>11251278</v>
      </c>
      <c r="I21" s="313">
        <f>IF($B21 &gt; 0, (H21-$B21)/$B21, "")</f>
        <v>6.4711793963344005E-2</v>
      </c>
      <c r="J21" s="20"/>
      <c r="K21" s="230">
        <f>SUM(K18:K20)</f>
        <v>11251278</v>
      </c>
      <c r="L21" s="313">
        <f>IF($B21 &gt; 0, (K21-$B21)/$B21, "")</f>
        <v>6.4711793963344005E-2</v>
      </c>
    </row>
    <row r="22" spans="1:12" x14ac:dyDescent="0.25">
      <c r="A22" s="235"/>
      <c r="B22" s="236"/>
      <c r="C22" s="237"/>
      <c r="D22" s="242"/>
      <c r="E22" s="237"/>
      <c r="F22" s="239"/>
      <c r="G22" s="238"/>
      <c r="H22" s="237"/>
      <c r="I22" s="266"/>
      <c r="J22" s="20"/>
      <c r="K22" s="237"/>
      <c r="L22" s="266"/>
    </row>
    <row r="23" spans="1:12" x14ac:dyDescent="0.25">
      <c r="A23" s="227" t="s">
        <v>72</v>
      </c>
      <c r="B23" s="64">
        <v>2647493</v>
      </c>
      <c r="C23" s="67">
        <v>828603843</v>
      </c>
      <c r="D23" s="226">
        <v>257590440</v>
      </c>
      <c r="E23" s="67">
        <f t="shared" ref="E23:F27" si="9">ROUND(E$8*C23 / 2, 0) * 2</f>
        <v>4143020</v>
      </c>
      <c r="F23" s="150">
        <f t="shared" si="9"/>
        <v>1287952</v>
      </c>
      <c r="G23" s="225">
        <f>SUM(E23,F23)</f>
        <v>5430972</v>
      </c>
      <c r="H23" s="67">
        <f>$G23/2</f>
        <v>2715486</v>
      </c>
      <c r="I23" s="151">
        <f t="shared" ref="I23:I28" si="10">IF($B23 &gt; 0, (H23-$B23)/$B23, "")</f>
        <v>2.5682032020481263E-2</v>
      </c>
      <c r="J23" s="20"/>
      <c r="K23" s="67">
        <f>$G23/2</f>
        <v>2715486</v>
      </c>
      <c r="L23" s="151">
        <f t="shared" ref="L23:L28" si="11">IF($B23 &gt; 0, (K23-$B23)/$B23, "")</f>
        <v>2.5682032020481263E-2</v>
      </c>
    </row>
    <row r="24" spans="1:12" x14ac:dyDescent="0.25">
      <c r="A24" s="227" t="s">
        <v>73</v>
      </c>
      <c r="B24" s="64">
        <v>1383082</v>
      </c>
      <c r="C24" s="67">
        <v>463806539</v>
      </c>
      <c r="D24" s="226">
        <v>92707211</v>
      </c>
      <c r="E24" s="67">
        <f t="shared" si="9"/>
        <v>2319032</v>
      </c>
      <c r="F24" s="150">
        <f t="shared" si="9"/>
        <v>463536</v>
      </c>
      <c r="G24" s="225">
        <f>SUM(E24,F24)</f>
        <v>2782568</v>
      </c>
      <c r="H24" s="67">
        <f>$G24/2</f>
        <v>1391284</v>
      </c>
      <c r="I24" s="151">
        <f t="shared" si="10"/>
        <v>5.9302340714433421E-3</v>
      </c>
      <c r="J24" s="20"/>
      <c r="K24" s="67">
        <f>$G24/2</f>
        <v>1391284</v>
      </c>
      <c r="L24" s="151">
        <f t="shared" si="11"/>
        <v>5.9302340714433421E-3</v>
      </c>
    </row>
    <row r="25" spans="1:12" x14ac:dyDescent="0.25">
      <c r="A25" s="227" t="s">
        <v>74</v>
      </c>
      <c r="B25" s="64">
        <v>998750</v>
      </c>
      <c r="C25" s="67">
        <v>323372339</v>
      </c>
      <c r="D25" s="226">
        <v>49161942</v>
      </c>
      <c r="E25" s="67">
        <f t="shared" si="9"/>
        <v>1616862</v>
      </c>
      <c r="F25" s="150">
        <f t="shared" si="9"/>
        <v>245810</v>
      </c>
      <c r="G25" s="225">
        <f>SUM(E25,F25)</f>
        <v>1862672</v>
      </c>
      <c r="H25" s="67">
        <f>$G25/2</f>
        <v>931336</v>
      </c>
      <c r="I25" s="151">
        <f t="shared" si="10"/>
        <v>-6.7498372966207754E-2</v>
      </c>
      <c r="J25" s="20"/>
      <c r="K25" s="67">
        <f>$G25/2</f>
        <v>931336</v>
      </c>
      <c r="L25" s="151">
        <f t="shared" si="11"/>
        <v>-6.7498372966207754E-2</v>
      </c>
    </row>
    <row r="26" spans="1:12" x14ac:dyDescent="0.25">
      <c r="A26" s="227" t="s">
        <v>75</v>
      </c>
      <c r="B26" s="64">
        <v>882547</v>
      </c>
      <c r="C26" s="67">
        <v>331048890</v>
      </c>
      <c r="D26" s="226">
        <v>31591992</v>
      </c>
      <c r="E26" s="67">
        <f t="shared" si="9"/>
        <v>1655244</v>
      </c>
      <c r="F26" s="150">
        <f t="shared" si="9"/>
        <v>157960</v>
      </c>
      <c r="G26" s="225">
        <f>SUM(E26,F26)</f>
        <v>1813204</v>
      </c>
      <c r="H26" s="67">
        <f>$G26/2</f>
        <v>906602</v>
      </c>
      <c r="I26" s="151">
        <f t="shared" si="10"/>
        <v>2.7256338755896288E-2</v>
      </c>
      <c r="J26" s="20"/>
      <c r="K26" s="67">
        <f>$G26/2</f>
        <v>906602</v>
      </c>
      <c r="L26" s="151">
        <f t="shared" si="11"/>
        <v>2.7256338755896288E-2</v>
      </c>
    </row>
    <row r="27" spans="1:12" ht="15.75" customHeight="1" thickBot="1" x14ac:dyDescent="0.3">
      <c r="A27" s="227" t="s">
        <v>76</v>
      </c>
      <c r="B27" s="64">
        <v>3047198</v>
      </c>
      <c r="C27" s="67">
        <v>1213036588</v>
      </c>
      <c r="D27" s="226">
        <v>114424662</v>
      </c>
      <c r="E27" s="67">
        <f t="shared" si="9"/>
        <v>6065182</v>
      </c>
      <c r="F27" s="150">
        <f t="shared" si="9"/>
        <v>572124</v>
      </c>
      <c r="G27" s="225">
        <f>SUM(E27,F27)</f>
        <v>6637306</v>
      </c>
      <c r="H27" s="67">
        <f>$G27/2</f>
        <v>3318653</v>
      </c>
      <c r="I27" s="151">
        <f t="shared" si="10"/>
        <v>8.9083479314439037E-2</v>
      </c>
      <c r="J27" s="20"/>
      <c r="K27" s="67">
        <f>$G27/2</f>
        <v>3318653</v>
      </c>
      <c r="L27" s="151">
        <f t="shared" si="11"/>
        <v>8.9083479314439037E-2</v>
      </c>
    </row>
    <row r="28" spans="1:12" ht="15.75" customHeight="1" thickBot="1" x14ac:dyDescent="0.3">
      <c r="A28" s="299" t="s">
        <v>47</v>
      </c>
      <c r="B28" s="246">
        <f t="shared" ref="B28:H28" si="12">SUM(B16,B21,B23:B27)</f>
        <v>31870165</v>
      </c>
      <c r="C28" s="103">
        <f t="shared" si="12"/>
        <v>11838169916</v>
      </c>
      <c r="D28" s="247">
        <f t="shared" si="12"/>
        <v>1619166900</v>
      </c>
      <c r="E28" s="103">
        <f t="shared" si="12"/>
        <v>59190850</v>
      </c>
      <c r="F28" s="248">
        <f t="shared" si="12"/>
        <v>8095834</v>
      </c>
      <c r="G28" s="402">
        <f t="shared" si="12"/>
        <v>67286684</v>
      </c>
      <c r="H28" s="103">
        <f t="shared" si="12"/>
        <v>33643342</v>
      </c>
      <c r="I28" s="268">
        <f t="shared" si="10"/>
        <v>5.5637521801346179E-2</v>
      </c>
      <c r="J28" s="72"/>
      <c r="K28" s="103">
        <f>SUM(K16,K21,K23:K27)</f>
        <v>33643342</v>
      </c>
      <c r="L28" s="268">
        <f t="shared" si="11"/>
        <v>5.5637521801346179E-2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/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32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18"/>
      <c r="B6" s="420" t="s">
        <v>33</v>
      </c>
      <c r="C6" s="422" t="s">
        <v>3</v>
      </c>
      <c r="D6" s="423"/>
      <c r="E6" s="424"/>
      <c r="F6" s="16"/>
      <c r="G6" s="422" t="s">
        <v>4</v>
      </c>
      <c r="H6" s="423"/>
      <c r="I6" s="424"/>
    </row>
    <row r="7" spans="1:9" ht="30.75" customHeight="1" thickBot="1" x14ac:dyDescent="0.3">
      <c r="A7" s="419"/>
      <c r="B7" s="421"/>
      <c r="C7" s="17" t="s">
        <v>34</v>
      </c>
      <c r="D7" s="18" t="s">
        <v>35</v>
      </c>
      <c r="E7" s="19" t="s">
        <v>36</v>
      </c>
      <c r="F7" s="20"/>
      <c r="G7" s="17" t="s">
        <v>34</v>
      </c>
      <c r="H7" s="18" t="s">
        <v>35</v>
      </c>
      <c r="I7" s="19" t="s">
        <v>36</v>
      </c>
    </row>
    <row r="8" spans="1:9" ht="20.100000000000001" customHeight="1" x14ac:dyDescent="0.25">
      <c r="A8" s="21" t="s">
        <v>37</v>
      </c>
      <c r="B8" s="22">
        <v>1316785856</v>
      </c>
      <c r="C8" s="23">
        <v>1336537065</v>
      </c>
      <c r="D8" s="24">
        <f t="shared" ref="D8:D14" si="0">C8-$B8</f>
        <v>19751209</v>
      </c>
      <c r="E8" s="25">
        <f t="shared" ref="E8:E15" si="1">IF($B8&gt;0,D8/$B8, "")</f>
        <v>1.4999560414476384E-2</v>
      </c>
      <c r="F8" s="26"/>
      <c r="G8" s="23">
        <v>1356351499</v>
      </c>
      <c r="H8" s="24">
        <f t="shared" ref="H8:H14" si="2">G8-$B8</f>
        <v>39565643</v>
      </c>
      <c r="I8" s="25">
        <f t="shared" ref="I8:I15" si="3">IF($B8&gt;0,H8/$B8, "")</f>
        <v>3.004713546983907E-2</v>
      </c>
    </row>
    <row r="9" spans="1:9" ht="20.100000000000001" customHeight="1" x14ac:dyDescent="0.25">
      <c r="A9" s="27" t="s">
        <v>38</v>
      </c>
      <c r="B9" s="22">
        <v>154779712</v>
      </c>
      <c r="C9" s="23">
        <v>152549465</v>
      </c>
      <c r="D9" s="24">
        <f t="shared" si="0"/>
        <v>-2230247</v>
      </c>
      <c r="E9" s="25">
        <f t="shared" si="1"/>
        <v>-1.4409168819231296E-2</v>
      </c>
      <c r="F9" s="26"/>
      <c r="G9" s="23">
        <v>171856932</v>
      </c>
      <c r="H9" s="24">
        <f t="shared" si="2"/>
        <v>17077220</v>
      </c>
      <c r="I9" s="25">
        <f t="shared" si="3"/>
        <v>0.11033241876041222</v>
      </c>
    </row>
    <row r="10" spans="1:9" ht="20.100000000000001" customHeight="1" x14ac:dyDescent="0.25">
      <c r="A10" s="27" t="s">
        <v>39</v>
      </c>
      <c r="B10" s="22">
        <v>31870165</v>
      </c>
      <c r="C10" s="23">
        <v>33643342</v>
      </c>
      <c r="D10" s="24">
        <f t="shared" si="0"/>
        <v>1773177</v>
      </c>
      <c r="E10" s="25">
        <f t="shared" si="1"/>
        <v>5.5637521801346179E-2</v>
      </c>
      <c r="F10" s="26"/>
      <c r="G10" s="23">
        <v>33643342</v>
      </c>
      <c r="H10" s="24">
        <f t="shared" si="2"/>
        <v>1773177</v>
      </c>
      <c r="I10" s="25">
        <f t="shared" si="3"/>
        <v>5.5637521801346179E-2</v>
      </c>
    </row>
    <row r="11" spans="1:9" ht="20.100000000000001" customHeight="1" x14ac:dyDescent="0.25">
      <c r="A11" s="27" t="s">
        <v>40</v>
      </c>
      <c r="B11" s="22">
        <v>63979106</v>
      </c>
      <c r="C11" s="23">
        <v>77126561</v>
      </c>
      <c r="D11" s="24">
        <f t="shared" si="0"/>
        <v>13147455</v>
      </c>
      <c r="E11" s="25">
        <f t="shared" si="1"/>
        <v>0.20549607242089316</v>
      </c>
      <c r="F11" s="26"/>
      <c r="G11" s="23">
        <v>75096561</v>
      </c>
      <c r="H11" s="24">
        <f t="shared" si="2"/>
        <v>11117455</v>
      </c>
      <c r="I11" s="25">
        <f t="shared" si="3"/>
        <v>0.17376696385848217</v>
      </c>
    </row>
    <row r="12" spans="1:9" ht="20.100000000000001" customHeight="1" x14ac:dyDescent="0.25">
      <c r="A12" s="27" t="s">
        <v>41</v>
      </c>
      <c r="B12" s="22">
        <v>351182108</v>
      </c>
      <c r="C12" s="23">
        <v>350972217</v>
      </c>
      <c r="D12" s="24">
        <f t="shared" si="0"/>
        <v>-209891</v>
      </c>
      <c r="E12" s="25">
        <f t="shared" si="1"/>
        <v>-5.9766997013412765E-4</v>
      </c>
      <c r="F12" s="26"/>
      <c r="G12" s="23">
        <v>335797104</v>
      </c>
      <c r="H12" s="24">
        <f t="shared" si="2"/>
        <v>-15385004</v>
      </c>
      <c r="I12" s="25">
        <f t="shared" si="3"/>
        <v>-4.3809190871421044E-2</v>
      </c>
    </row>
    <row r="13" spans="1:9" ht="20.100000000000001" customHeight="1" x14ac:dyDescent="0.25">
      <c r="A13" s="27" t="s">
        <v>42</v>
      </c>
      <c r="B13" s="22">
        <v>15018808</v>
      </c>
      <c r="C13" s="23">
        <v>15128808</v>
      </c>
      <c r="D13" s="24">
        <f t="shared" si="0"/>
        <v>110000</v>
      </c>
      <c r="E13" s="25">
        <f t="shared" si="1"/>
        <v>7.3241498260048334E-3</v>
      </c>
      <c r="F13" s="26"/>
      <c r="G13" s="23">
        <v>15237808</v>
      </c>
      <c r="H13" s="24">
        <f t="shared" si="2"/>
        <v>219000</v>
      </c>
      <c r="I13" s="25">
        <f t="shared" si="3"/>
        <v>1.4581716471773259E-2</v>
      </c>
    </row>
    <row r="14" spans="1:9" ht="20.100000000000001" customHeight="1" thickBot="1" x14ac:dyDescent="0.3">
      <c r="A14" s="27" t="s">
        <v>43</v>
      </c>
      <c r="B14" s="22">
        <v>28050000</v>
      </c>
      <c r="C14" s="23">
        <v>23250000</v>
      </c>
      <c r="D14" s="24">
        <f t="shared" si="0"/>
        <v>-4800000</v>
      </c>
      <c r="E14" s="25">
        <f t="shared" si="1"/>
        <v>-0.17112299465240641</v>
      </c>
      <c r="F14" s="26"/>
      <c r="G14" s="23">
        <v>35500000</v>
      </c>
      <c r="H14" s="24">
        <f t="shared" si="2"/>
        <v>7450000</v>
      </c>
      <c r="I14" s="25">
        <f t="shared" si="3"/>
        <v>0.26559714795008915</v>
      </c>
    </row>
    <row r="15" spans="1:9" ht="20.100000000000001" customHeight="1" thickTop="1" x14ac:dyDescent="0.25">
      <c r="A15" s="28" t="s">
        <v>44</v>
      </c>
      <c r="B15" s="29">
        <f>SUM(B8:B14)</f>
        <v>1961665755</v>
      </c>
      <c r="C15" s="30">
        <f>SUM(C8:C14)</f>
        <v>1989207458</v>
      </c>
      <c r="D15" s="31">
        <f>SUM(D8:D14)</f>
        <v>27541703</v>
      </c>
      <c r="E15" s="32">
        <f t="shared" si="1"/>
        <v>1.4039957077193306E-2</v>
      </c>
      <c r="F15" s="33"/>
      <c r="G15" s="30">
        <f>SUM(G8:G14)</f>
        <v>2023483246</v>
      </c>
      <c r="H15" s="31">
        <f>SUM(H8:H14)</f>
        <v>61817491</v>
      </c>
      <c r="I15" s="32">
        <f t="shared" si="3"/>
        <v>3.151275432241004E-2</v>
      </c>
    </row>
    <row r="16" spans="1:9" ht="15" customHeight="1" x14ac:dyDescent="0.25">
      <c r="A16" s="34"/>
      <c r="B16" s="26"/>
      <c r="C16" s="35"/>
      <c r="D16" s="36"/>
      <c r="E16" s="37"/>
      <c r="F16" s="26"/>
      <c r="G16" s="35"/>
      <c r="H16" s="36"/>
      <c r="I16" s="37"/>
    </row>
    <row r="17" spans="1:9" ht="20.100000000000001" customHeight="1" x14ac:dyDescent="0.25">
      <c r="A17" s="27" t="s">
        <v>45</v>
      </c>
      <c r="B17" s="22">
        <v>9363874</v>
      </c>
      <c r="C17" s="23">
        <v>12946274</v>
      </c>
      <c r="D17" s="24">
        <f>C17-$B17</f>
        <v>3582400</v>
      </c>
      <c r="E17" s="25">
        <f>IF($B17&gt;0,D17/$B17, "")</f>
        <v>0.38257669849038978</v>
      </c>
      <c r="F17" s="26"/>
      <c r="G17" s="23">
        <v>14446274</v>
      </c>
      <c r="H17" s="24">
        <f>G17-$B17</f>
        <v>5082400</v>
      </c>
      <c r="I17" s="25">
        <f>IF($B17&gt;0,H17/$B17, "")</f>
        <v>0.54276680784043019</v>
      </c>
    </row>
    <row r="18" spans="1:9" ht="20.100000000000001" customHeight="1" thickBot="1" x14ac:dyDescent="0.3">
      <c r="A18" s="44" t="s">
        <v>46</v>
      </c>
      <c r="B18" s="45">
        <f>SUM(B17:B17)</f>
        <v>9363874</v>
      </c>
      <c r="C18" s="46">
        <f>SUM(C17:C17)</f>
        <v>12946274</v>
      </c>
      <c r="D18" s="47">
        <f>SUM(D17:D17)</f>
        <v>3582400</v>
      </c>
      <c r="E18" s="48">
        <f>IF($B18&gt;0,D18/$B18, "")</f>
        <v>0.38257669849038978</v>
      </c>
      <c r="F18" s="49"/>
      <c r="G18" s="46">
        <f>SUM(G17:G17)</f>
        <v>14446274</v>
      </c>
      <c r="H18" s="47">
        <f>SUM(H17:H17)</f>
        <v>5082400</v>
      </c>
      <c r="I18" s="48">
        <f>IF($B18&gt;0,H18/$B18, "")</f>
        <v>0.54276680784043019</v>
      </c>
    </row>
    <row r="19" spans="1:9" ht="20.100000000000001" customHeight="1" thickTop="1" thickBot="1" x14ac:dyDescent="0.3">
      <c r="A19" s="38" t="s">
        <v>47</v>
      </c>
      <c r="B19" s="39">
        <f>SUM(B15,B18)</f>
        <v>1971029629</v>
      </c>
      <c r="C19" s="40">
        <f>SUM(C15,C18)</f>
        <v>2002153732</v>
      </c>
      <c r="D19" s="41">
        <f>SUM(D15,D18)</f>
        <v>31124103</v>
      </c>
      <c r="E19" s="42">
        <f>IF($B19&gt;0,D19/$B19, "")</f>
        <v>1.5790783934481384E-2</v>
      </c>
      <c r="F19" s="43"/>
      <c r="G19" s="40">
        <f>SUM(G15,G18)</f>
        <v>2037929520</v>
      </c>
      <c r="H19" s="41">
        <f>SUM(H15,H18)</f>
        <v>66899891</v>
      </c>
      <c r="I19" s="42">
        <f>IF($B19&gt;0,H19/$B19, "")</f>
        <v>3.3941595811495535E-2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48</v>
      </c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26"/>
      <c r="B6" s="420" t="s">
        <v>33</v>
      </c>
      <c r="C6" s="428" t="s">
        <v>3</v>
      </c>
      <c r="D6" s="428"/>
      <c r="E6" s="429"/>
      <c r="F6" s="16"/>
      <c r="G6" s="423" t="s">
        <v>4</v>
      </c>
      <c r="H6" s="423"/>
      <c r="I6" s="424"/>
    </row>
    <row r="7" spans="1:9" ht="30.75" customHeight="1" thickBot="1" x14ac:dyDescent="0.3">
      <c r="A7" s="427"/>
      <c r="B7" s="425"/>
      <c r="C7" s="50" t="s">
        <v>34</v>
      </c>
      <c r="D7" s="51" t="s">
        <v>35</v>
      </c>
      <c r="E7" s="52" t="s">
        <v>36</v>
      </c>
      <c r="F7" s="20"/>
      <c r="G7" s="53" t="s">
        <v>34</v>
      </c>
      <c r="H7" s="54" t="s">
        <v>35</v>
      </c>
      <c r="I7" s="55" t="s">
        <v>36</v>
      </c>
    </row>
    <row r="8" spans="1:9" x14ac:dyDescent="0.25">
      <c r="A8" s="56" t="s">
        <v>50</v>
      </c>
      <c r="B8" s="57">
        <f>SUM(B9:B12)</f>
        <v>221214030</v>
      </c>
      <c r="C8" s="58">
        <f>SUM(C9:C12)</f>
        <v>225627130</v>
      </c>
      <c r="D8" s="59">
        <f t="shared" ref="D8:D39" si="0">C8-$B8</f>
        <v>4413100</v>
      </c>
      <c r="E8" s="60">
        <f t="shared" ref="E8:E39" si="1">IF($B8&gt;0,D8/$B8, "")</f>
        <v>1.9949457997759004E-2</v>
      </c>
      <c r="F8" s="61"/>
      <c r="G8" s="62">
        <f>SUM(G9:G12)</f>
        <v>231374837</v>
      </c>
      <c r="H8" s="59">
        <f t="shared" ref="H8:H39" si="2">G8-$B8</f>
        <v>10160807</v>
      </c>
      <c r="I8" s="60">
        <f t="shared" ref="I8:I39" si="3">IF($B8&gt;0,H8/$B8, "")</f>
        <v>4.5932018868785132E-2</v>
      </c>
    </row>
    <row r="9" spans="1:9" x14ac:dyDescent="0.25">
      <c r="A9" s="63" t="s">
        <v>51</v>
      </c>
      <c r="B9" s="64">
        <v>195914559</v>
      </c>
      <c r="C9" s="65">
        <v>198932858</v>
      </c>
      <c r="D9" s="24">
        <f t="shared" si="0"/>
        <v>3018299</v>
      </c>
      <c r="E9" s="66">
        <f t="shared" si="1"/>
        <v>1.5406200618301164E-2</v>
      </c>
      <c r="F9" s="20"/>
      <c r="G9" s="67">
        <v>201160381</v>
      </c>
      <c r="H9" s="24">
        <f t="shared" si="2"/>
        <v>5245822</v>
      </c>
      <c r="I9" s="66">
        <f t="shared" si="3"/>
        <v>2.6776070276635235E-2</v>
      </c>
    </row>
    <row r="10" spans="1:9" x14ac:dyDescent="0.25">
      <c r="A10" s="63" t="s">
        <v>52</v>
      </c>
      <c r="B10" s="64">
        <v>19269168</v>
      </c>
      <c r="C10" s="65">
        <v>20255389</v>
      </c>
      <c r="D10" s="24">
        <f t="shared" si="0"/>
        <v>986221</v>
      </c>
      <c r="E10" s="66">
        <f t="shared" si="1"/>
        <v>5.1181296462826001E-2</v>
      </c>
      <c r="F10" s="20"/>
      <c r="G10" s="67">
        <v>23775573</v>
      </c>
      <c r="H10" s="24">
        <f t="shared" si="2"/>
        <v>4506405</v>
      </c>
      <c r="I10" s="25">
        <f t="shared" si="3"/>
        <v>0.23386609115660831</v>
      </c>
    </row>
    <row r="11" spans="1:9" x14ac:dyDescent="0.25">
      <c r="A11" s="63" t="s">
        <v>53</v>
      </c>
      <c r="B11" s="64">
        <v>6030303</v>
      </c>
      <c r="C11" s="65">
        <v>6438883</v>
      </c>
      <c r="D11" s="24">
        <f t="shared" si="0"/>
        <v>408580</v>
      </c>
      <c r="E11" s="66">
        <f t="shared" si="1"/>
        <v>6.7754472702283783E-2</v>
      </c>
      <c r="F11" s="20"/>
      <c r="G11" s="67">
        <v>6438883</v>
      </c>
      <c r="H11" s="24">
        <f t="shared" si="2"/>
        <v>408580</v>
      </c>
      <c r="I11" s="66">
        <f t="shared" si="3"/>
        <v>6.7754472702283783E-2</v>
      </c>
    </row>
    <row r="12" spans="1:9" ht="15.75" customHeight="1" thickBot="1" x14ac:dyDescent="0.3">
      <c r="A12" s="68" t="s">
        <v>54</v>
      </c>
      <c r="B12" s="69">
        <v>0</v>
      </c>
      <c r="C12" s="70">
        <v>0</v>
      </c>
      <c r="D12" s="71">
        <f t="shared" si="0"/>
        <v>0</v>
      </c>
      <c r="E12" s="25" t="str">
        <f t="shared" si="1"/>
        <v/>
      </c>
      <c r="F12" s="72"/>
      <c r="G12" s="73">
        <v>0</v>
      </c>
      <c r="H12" s="24">
        <f t="shared" si="2"/>
        <v>0</v>
      </c>
      <c r="I12" s="25" t="str">
        <f t="shared" si="3"/>
        <v/>
      </c>
    </row>
    <row r="13" spans="1:9" x14ac:dyDescent="0.25">
      <c r="A13" s="56" t="s">
        <v>55</v>
      </c>
      <c r="B13" s="57">
        <f>SUM(B14:B17)</f>
        <v>11714122</v>
      </c>
      <c r="C13" s="58">
        <f>SUM(C14:C17)</f>
        <v>12807611</v>
      </c>
      <c r="D13" s="59">
        <f t="shared" si="0"/>
        <v>1093489</v>
      </c>
      <c r="E13" s="60">
        <f t="shared" si="1"/>
        <v>9.3347926545412449E-2</v>
      </c>
      <c r="F13" s="61"/>
      <c r="G13" s="62">
        <f>SUM(G14:G17)</f>
        <v>12464669</v>
      </c>
      <c r="H13" s="59">
        <f t="shared" si="2"/>
        <v>750547</v>
      </c>
      <c r="I13" s="60">
        <f t="shared" si="3"/>
        <v>6.4071980810853774E-2</v>
      </c>
    </row>
    <row r="14" spans="1:9" x14ac:dyDescent="0.25">
      <c r="A14" s="63" t="s">
        <v>51</v>
      </c>
      <c r="B14" s="64">
        <v>10294119</v>
      </c>
      <c r="C14" s="65">
        <v>11582851</v>
      </c>
      <c r="D14" s="24">
        <f t="shared" si="0"/>
        <v>1288732</v>
      </c>
      <c r="E14" s="66">
        <f t="shared" si="1"/>
        <v>0.12519109211774218</v>
      </c>
      <c r="F14" s="20"/>
      <c r="G14" s="67">
        <v>11712584</v>
      </c>
      <c r="H14" s="24">
        <f t="shared" si="2"/>
        <v>1418465</v>
      </c>
      <c r="I14" s="66">
        <f t="shared" si="3"/>
        <v>0.13779372474711046</v>
      </c>
    </row>
    <row r="15" spans="1:9" x14ac:dyDescent="0.25">
      <c r="A15" s="63" t="s">
        <v>52</v>
      </c>
      <c r="B15" s="64">
        <v>1225929</v>
      </c>
      <c r="C15" s="65">
        <v>1028645</v>
      </c>
      <c r="D15" s="24">
        <f t="shared" si="0"/>
        <v>-197284</v>
      </c>
      <c r="E15" s="66">
        <f t="shared" si="1"/>
        <v>-0.16092612214899885</v>
      </c>
      <c r="F15" s="20"/>
      <c r="G15" s="67">
        <v>555970</v>
      </c>
      <c r="H15" s="24">
        <f t="shared" si="2"/>
        <v>-669959</v>
      </c>
      <c r="I15" s="25">
        <f t="shared" si="3"/>
        <v>-0.54649086529480906</v>
      </c>
    </row>
    <row r="16" spans="1:9" x14ac:dyDescent="0.25">
      <c r="A16" s="63" t="s">
        <v>53</v>
      </c>
      <c r="B16" s="64">
        <v>194074</v>
      </c>
      <c r="C16" s="65">
        <v>196115</v>
      </c>
      <c r="D16" s="24">
        <f t="shared" si="0"/>
        <v>2041</v>
      </c>
      <c r="E16" s="66">
        <f t="shared" si="1"/>
        <v>1.0516607067407278E-2</v>
      </c>
      <c r="F16" s="20"/>
      <c r="G16" s="67">
        <v>196115</v>
      </c>
      <c r="H16" s="24">
        <f t="shared" si="2"/>
        <v>2041</v>
      </c>
      <c r="I16" s="66">
        <f t="shared" si="3"/>
        <v>1.0516607067407278E-2</v>
      </c>
    </row>
    <row r="17" spans="1:9" ht="15.75" customHeight="1" thickBot="1" x14ac:dyDescent="0.3">
      <c r="A17" s="68" t="s">
        <v>54</v>
      </c>
      <c r="B17" s="69">
        <v>0</v>
      </c>
      <c r="C17" s="70">
        <v>0</v>
      </c>
      <c r="D17" s="71">
        <f t="shared" si="0"/>
        <v>0</v>
      </c>
      <c r="E17" s="25" t="str">
        <f t="shared" si="1"/>
        <v/>
      </c>
      <c r="F17" s="72"/>
      <c r="G17" s="73">
        <v>0</v>
      </c>
      <c r="H17" s="24">
        <f t="shared" si="2"/>
        <v>0</v>
      </c>
      <c r="I17" s="25" t="str">
        <f t="shared" si="3"/>
        <v/>
      </c>
    </row>
    <row r="18" spans="1:9" x14ac:dyDescent="0.25">
      <c r="A18" s="56" t="s">
        <v>56</v>
      </c>
      <c r="B18" s="57">
        <f>SUM(B19:B22)</f>
        <v>14456270</v>
      </c>
      <c r="C18" s="58">
        <f>SUM(C19:C22)</f>
        <v>15316826</v>
      </c>
      <c r="D18" s="59">
        <f t="shared" si="0"/>
        <v>860556</v>
      </c>
      <c r="E18" s="60">
        <f t="shared" si="1"/>
        <v>5.9528218551535075E-2</v>
      </c>
      <c r="F18" s="61"/>
      <c r="G18" s="62">
        <f>SUM(G19:G22)</f>
        <v>15974177</v>
      </c>
      <c r="H18" s="59">
        <f t="shared" si="2"/>
        <v>1517907</v>
      </c>
      <c r="I18" s="60">
        <f t="shared" si="3"/>
        <v>0.10499990661491519</v>
      </c>
    </row>
    <row r="19" spans="1:9" x14ac:dyDescent="0.25">
      <c r="A19" s="63" t="s">
        <v>51</v>
      </c>
      <c r="B19" s="64">
        <v>12652971</v>
      </c>
      <c r="C19" s="65">
        <v>13876602</v>
      </c>
      <c r="D19" s="24">
        <f t="shared" si="0"/>
        <v>1223631</v>
      </c>
      <c r="E19" s="66">
        <f t="shared" si="1"/>
        <v>9.6707010551118786E-2</v>
      </c>
      <c r="F19" s="20"/>
      <c r="G19" s="67">
        <v>14031986</v>
      </c>
      <c r="H19" s="24">
        <f t="shared" si="2"/>
        <v>1379015</v>
      </c>
      <c r="I19" s="66">
        <f t="shared" si="3"/>
        <v>0.10898744650564678</v>
      </c>
    </row>
    <row r="20" spans="1:9" x14ac:dyDescent="0.25">
      <c r="A20" s="63" t="s">
        <v>52</v>
      </c>
      <c r="B20" s="64">
        <v>1547373</v>
      </c>
      <c r="C20" s="65">
        <v>1181466</v>
      </c>
      <c r="D20" s="24">
        <f t="shared" si="0"/>
        <v>-365907</v>
      </c>
      <c r="E20" s="66">
        <f t="shared" si="1"/>
        <v>-0.2364698104464793</v>
      </c>
      <c r="F20" s="20"/>
      <c r="G20" s="67">
        <v>1683433</v>
      </c>
      <c r="H20" s="24">
        <f t="shared" si="2"/>
        <v>136060</v>
      </c>
      <c r="I20" s="25">
        <f t="shared" si="3"/>
        <v>8.7929671772739998E-2</v>
      </c>
    </row>
    <row r="21" spans="1:9" x14ac:dyDescent="0.25">
      <c r="A21" s="63" t="s">
        <v>53</v>
      </c>
      <c r="B21" s="64">
        <v>255926</v>
      </c>
      <c r="C21" s="65">
        <v>258758</v>
      </c>
      <c r="D21" s="24">
        <f t="shared" si="0"/>
        <v>2832</v>
      </c>
      <c r="E21" s="66">
        <f t="shared" si="1"/>
        <v>1.1065698678524262E-2</v>
      </c>
      <c r="F21" s="20"/>
      <c r="G21" s="67">
        <v>258758</v>
      </c>
      <c r="H21" s="24">
        <f t="shared" si="2"/>
        <v>2832</v>
      </c>
      <c r="I21" s="66">
        <f t="shared" si="3"/>
        <v>1.1065698678524262E-2</v>
      </c>
    </row>
    <row r="22" spans="1:9" ht="15.75" customHeight="1" thickBot="1" x14ac:dyDescent="0.3">
      <c r="A22" s="68" t="s">
        <v>54</v>
      </c>
      <c r="B22" s="69">
        <v>0</v>
      </c>
      <c r="C22" s="70">
        <v>0</v>
      </c>
      <c r="D22" s="71">
        <f t="shared" si="0"/>
        <v>0</v>
      </c>
      <c r="E22" s="25" t="str">
        <f t="shared" si="1"/>
        <v/>
      </c>
      <c r="F22" s="72"/>
      <c r="G22" s="73">
        <v>0</v>
      </c>
      <c r="H22" s="24">
        <f t="shared" si="2"/>
        <v>0</v>
      </c>
      <c r="I22" s="25" t="str">
        <f t="shared" si="3"/>
        <v/>
      </c>
    </row>
    <row r="23" spans="1:9" x14ac:dyDescent="0.25">
      <c r="A23" s="56" t="s">
        <v>57</v>
      </c>
      <c r="B23" s="57">
        <f>SUM(B24:B27)</f>
        <v>21094699</v>
      </c>
      <c r="C23" s="58">
        <f>SUM(C24:C27)</f>
        <v>23715675</v>
      </c>
      <c r="D23" s="59">
        <f t="shared" si="0"/>
        <v>2620976</v>
      </c>
      <c r="E23" s="60">
        <f t="shared" si="1"/>
        <v>0.12424808716161345</v>
      </c>
      <c r="F23" s="61"/>
      <c r="G23" s="62">
        <f>SUM(G24:G27)</f>
        <v>23244304</v>
      </c>
      <c r="H23" s="59">
        <f t="shared" si="2"/>
        <v>2149605</v>
      </c>
      <c r="I23" s="60">
        <f t="shared" si="3"/>
        <v>0.1019026154390731</v>
      </c>
    </row>
    <row r="24" spans="1:9" x14ac:dyDescent="0.25">
      <c r="A24" s="63" t="s">
        <v>51</v>
      </c>
      <c r="B24" s="64">
        <v>17519911</v>
      </c>
      <c r="C24" s="65">
        <v>17463366</v>
      </c>
      <c r="D24" s="24">
        <f t="shared" si="0"/>
        <v>-56545</v>
      </c>
      <c r="E24" s="66">
        <f t="shared" si="1"/>
        <v>-3.2274707331561218E-3</v>
      </c>
      <c r="F24" s="20"/>
      <c r="G24" s="67">
        <v>17658919</v>
      </c>
      <c r="H24" s="24">
        <f t="shared" si="2"/>
        <v>139008</v>
      </c>
      <c r="I24" s="66">
        <f t="shared" si="3"/>
        <v>7.9342868807952271E-3</v>
      </c>
    </row>
    <row r="25" spans="1:9" x14ac:dyDescent="0.25">
      <c r="A25" s="63" t="s">
        <v>52</v>
      </c>
      <c r="B25" s="64">
        <v>3158132</v>
      </c>
      <c r="C25" s="65">
        <v>5824692</v>
      </c>
      <c r="D25" s="24">
        <f t="shared" si="0"/>
        <v>2666560</v>
      </c>
      <c r="E25" s="66">
        <f t="shared" si="1"/>
        <v>0.8443472280449329</v>
      </c>
      <c r="F25" s="20"/>
      <c r="G25" s="67">
        <v>5157768</v>
      </c>
      <c r="H25" s="24">
        <f t="shared" si="2"/>
        <v>1999636</v>
      </c>
      <c r="I25" s="25">
        <f t="shared" si="3"/>
        <v>0.63317049445684981</v>
      </c>
    </row>
    <row r="26" spans="1:9" x14ac:dyDescent="0.25">
      <c r="A26" s="63" t="s">
        <v>53</v>
      </c>
      <c r="B26" s="64">
        <v>416656</v>
      </c>
      <c r="C26" s="65">
        <v>427617</v>
      </c>
      <c r="D26" s="24">
        <f t="shared" si="0"/>
        <v>10961</v>
      </c>
      <c r="E26" s="66">
        <f t="shared" si="1"/>
        <v>2.6307073461080605E-2</v>
      </c>
      <c r="F26" s="20"/>
      <c r="G26" s="67">
        <v>427617</v>
      </c>
      <c r="H26" s="24">
        <f t="shared" si="2"/>
        <v>10961</v>
      </c>
      <c r="I26" s="66">
        <f t="shared" si="3"/>
        <v>2.6307073461080605E-2</v>
      </c>
    </row>
    <row r="27" spans="1:9" ht="15.75" customHeight="1" thickBot="1" x14ac:dyDescent="0.3">
      <c r="A27" s="68" t="s">
        <v>54</v>
      </c>
      <c r="B27" s="69">
        <v>0</v>
      </c>
      <c r="C27" s="70">
        <v>0</v>
      </c>
      <c r="D27" s="71">
        <f t="shared" si="0"/>
        <v>0</v>
      </c>
      <c r="E27" s="25" t="str">
        <f t="shared" si="1"/>
        <v/>
      </c>
      <c r="F27" s="72"/>
      <c r="G27" s="73">
        <v>0</v>
      </c>
      <c r="H27" s="24">
        <f t="shared" si="2"/>
        <v>0</v>
      </c>
      <c r="I27" s="25" t="str">
        <f t="shared" si="3"/>
        <v/>
      </c>
    </row>
    <row r="28" spans="1:9" x14ac:dyDescent="0.25">
      <c r="A28" s="56" t="s">
        <v>58</v>
      </c>
      <c r="B28" s="57">
        <f>SUM(B29:B32)</f>
        <v>111794675</v>
      </c>
      <c r="C28" s="58">
        <f>SUM(C29:C32)</f>
        <v>116086872</v>
      </c>
      <c r="D28" s="59">
        <f t="shared" si="0"/>
        <v>4292197</v>
      </c>
      <c r="E28" s="60">
        <f t="shared" si="1"/>
        <v>3.8393572860245806E-2</v>
      </c>
      <c r="F28" s="61"/>
      <c r="G28" s="62">
        <f>SUM(G29:G32)</f>
        <v>116935542</v>
      </c>
      <c r="H28" s="59">
        <f t="shared" si="2"/>
        <v>5140867</v>
      </c>
      <c r="I28" s="60">
        <f t="shared" si="3"/>
        <v>4.598490044360342E-2</v>
      </c>
    </row>
    <row r="29" spans="1:9" x14ac:dyDescent="0.25">
      <c r="A29" s="63" t="s">
        <v>51</v>
      </c>
      <c r="B29" s="64">
        <v>102523274</v>
      </c>
      <c r="C29" s="65">
        <v>104836193</v>
      </c>
      <c r="D29" s="24">
        <f t="shared" si="0"/>
        <v>2312919</v>
      </c>
      <c r="E29" s="66">
        <f t="shared" si="1"/>
        <v>2.2559940877424575E-2</v>
      </c>
      <c r="F29" s="20"/>
      <c r="G29" s="67">
        <v>106010155</v>
      </c>
      <c r="H29" s="24">
        <f t="shared" si="2"/>
        <v>3486881</v>
      </c>
      <c r="I29" s="66">
        <f t="shared" si="3"/>
        <v>3.4010628650037067E-2</v>
      </c>
    </row>
    <row r="30" spans="1:9" x14ac:dyDescent="0.25">
      <c r="A30" s="63" t="s">
        <v>52</v>
      </c>
      <c r="B30" s="64">
        <v>4791553</v>
      </c>
      <c r="C30" s="65">
        <v>6422596</v>
      </c>
      <c r="D30" s="24">
        <f t="shared" si="0"/>
        <v>1631043</v>
      </c>
      <c r="E30" s="66">
        <f t="shared" si="1"/>
        <v>0.34039965748057049</v>
      </c>
      <c r="F30" s="20"/>
      <c r="G30" s="67">
        <v>6097304</v>
      </c>
      <c r="H30" s="24">
        <f t="shared" si="2"/>
        <v>1305751</v>
      </c>
      <c r="I30" s="25">
        <f t="shared" si="3"/>
        <v>0.27251102095708846</v>
      </c>
    </row>
    <row r="31" spans="1:9" x14ac:dyDescent="0.25">
      <c r="A31" s="63" t="s">
        <v>53</v>
      </c>
      <c r="B31" s="64">
        <v>4479848</v>
      </c>
      <c r="C31" s="65">
        <v>4828083</v>
      </c>
      <c r="D31" s="24">
        <f t="shared" si="0"/>
        <v>348235</v>
      </c>
      <c r="E31" s="66">
        <f t="shared" si="1"/>
        <v>7.7733664177891751E-2</v>
      </c>
      <c r="F31" s="20"/>
      <c r="G31" s="67">
        <v>4828083</v>
      </c>
      <c r="H31" s="24">
        <f t="shared" si="2"/>
        <v>348235</v>
      </c>
      <c r="I31" s="66">
        <f t="shared" si="3"/>
        <v>7.7733664177891751E-2</v>
      </c>
    </row>
    <row r="32" spans="1:9" ht="15.75" customHeight="1" thickBot="1" x14ac:dyDescent="0.3">
      <c r="A32" s="68" t="s">
        <v>54</v>
      </c>
      <c r="B32" s="69">
        <v>0</v>
      </c>
      <c r="C32" s="70">
        <v>0</v>
      </c>
      <c r="D32" s="71">
        <f t="shared" si="0"/>
        <v>0</v>
      </c>
      <c r="E32" s="25" t="str">
        <f t="shared" si="1"/>
        <v/>
      </c>
      <c r="F32" s="72"/>
      <c r="G32" s="73">
        <v>0</v>
      </c>
      <c r="H32" s="24">
        <f t="shared" si="2"/>
        <v>0</v>
      </c>
      <c r="I32" s="25" t="str">
        <f t="shared" si="3"/>
        <v/>
      </c>
    </row>
    <row r="33" spans="1:9" x14ac:dyDescent="0.25">
      <c r="A33" s="56" t="s">
        <v>59</v>
      </c>
      <c r="B33" s="57">
        <f>SUM(B34:B37)</f>
        <v>27316845</v>
      </c>
      <c r="C33" s="58">
        <f>SUM(C34:C37)</f>
        <v>27482724</v>
      </c>
      <c r="D33" s="59">
        <f t="shared" si="0"/>
        <v>165879</v>
      </c>
      <c r="E33" s="60">
        <f t="shared" si="1"/>
        <v>6.0724069708635829E-3</v>
      </c>
      <c r="F33" s="61"/>
      <c r="G33" s="62">
        <f>SUM(G34:G37)</f>
        <v>28608542</v>
      </c>
      <c r="H33" s="59">
        <f t="shared" si="2"/>
        <v>1291697</v>
      </c>
      <c r="I33" s="60">
        <f t="shared" si="3"/>
        <v>4.7285731569659671E-2</v>
      </c>
    </row>
    <row r="34" spans="1:9" x14ac:dyDescent="0.25">
      <c r="A34" s="63" t="s">
        <v>51</v>
      </c>
      <c r="B34" s="64">
        <v>23001758</v>
      </c>
      <c r="C34" s="65">
        <v>23748637</v>
      </c>
      <c r="D34" s="24">
        <f t="shared" si="0"/>
        <v>746879</v>
      </c>
      <c r="E34" s="66">
        <f t="shared" si="1"/>
        <v>3.2470518123006074E-2</v>
      </c>
      <c r="F34" s="20"/>
      <c r="G34" s="67">
        <v>24014598</v>
      </c>
      <c r="H34" s="24">
        <f t="shared" si="2"/>
        <v>1012840</v>
      </c>
      <c r="I34" s="66">
        <f t="shared" si="3"/>
        <v>4.4033156074418309E-2</v>
      </c>
    </row>
    <row r="35" spans="1:9" x14ac:dyDescent="0.25">
      <c r="A35" s="63" t="s">
        <v>52</v>
      </c>
      <c r="B35" s="64">
        <v>3812267</v>
      </c>
      <c r="C35" s="65">
        <v>3226763</v>
      </c>
      <c r="D35" s="24">
        <f t="shared" si="0"/>
        <v>-585504</v>
      </c>
      <c r="E35" s="66">
        <f t="shared" si="1"/>
        <v>-0.15358420593311015</v>
      </c>
      <c r="F35" s="20"/>
      <c r="G35" s="67">
        <v>4086620</v>
      </c>
      <c r="H35" s="24">
        <f t="shared" si="2"/>
        <v>274353</v>
      </c>
      <c r="I35" s="25">
        <f t="shared" si="3"/>
        <v>7.1965840797614644E-2</v>
      </c>
    </row>
    <row r="36" spans="1:9" x14ac:dyDescent="0.25">
      <c r="A36" s="63" t="s">
        <v>53</v>
      </c>
      <c r="B36" s="64">
        <v>502820</v>
      </c>
      <c r="C36" s="65">
        <v>507324</v>
      </c>
      <c r="D36" s="24">
        <f t="shared" si="0"/>
        <v>4504</v>
      </c>
      <c r="E36" s="66">
        <f t="shared" si="1"/>
        <v>8.9574798138498859E-3</v>
      </c>
      <c r="F36" s="20"/>
      <c r="G36" s="67">
        <v>507324</v>
      </c>
      <c r="H36" s="24">
        <f t="shared" si="2"/>
        <v>4504</v>
      </c>
      <c r="I36" s="66">
        <f t="shared" si="3"/>
        <v>8.9574798138498859E-3</v>
      </c>
    </row>
    <row r="37" spans="1:9" ht="15.75" customHeight="1" thickBot="1" x14ac:dyDescent="0.3">
      <c r="A37" s="68" t="s">
        <v>54</v>
      </c>
      <c r="B37" s="69">
        <v>0</v>
      </c>
      <c r="C37" s="70">
        <v>0</v>
      </c>
      <c r="D37" s="71">
        <f t="shared" si="0"/>
        <v>0</v>
      </c>
      <c r="E37" s="25" t="str">
        <f t="shared" si="1"/>
        <v/>
      </c>
      <c r="F37" s="72"/>
      <c r="G37" s="73">
        <v>0</v>
      </c>
      <c r="H37" s="24">
        <f t="shared" si="2"/>
        <v>0</v>
      </c>
      <c r="I37" s="25" t="str">
        <f t="shared" si="3"/>
        <v/>
      </c>
    </row>
    <row r="38" spans="1:9" x14ac:dyDescent="0.25">
      <c r="A38" s="56" t="s">
        <v>60</v>
      </c>
      <c r="B38" s="57">
        <f>SUM(B39:B42)</f>
        <v>22374089</v>
      </c>
      <c r="C38" s="58">
        <f>SUM(C39:C42)</f>
        <v>23195862</v>
      </c>
      <c r="D38" s="59">
        <f t="shared" si="0"/>
        <v>821773</v>
      </c>
      <c r="E38" s="60">
        <f t="shared" si="1"/>
        <v>3.6728780331570149E-2</v>
      </c>
      <c r="F38" s="61"/>
      <c r="G38" s="62">
        <f>SUM(G39:G42)</f>
        <v>23977936</v>
      </c>
      <c r="H38" s="59">
        <f t="shared" si="2"/>
        <v>1603847</v>
      </c>
      <c r="I38" s="60">
        <f t="shared" si="3"/>
        <v>7.1683231437936978E-2</v>
      </c>
    </row>
    <row r="39" spans="1:9" x14ac:dyDescent="0.25">
      <c r="A39" s="63" t="s">
        <v>51</v>
      </c>
      <c r="B39" s="64">
        <v>19450392</v>
      </c>
      <c r="C39" s="65">
        <v>19953286</v>
      </c>
      <c r="D39" s="24">
        <f t="shared" si="0"/>
        <v>502894</v>
      </c>
      <c r="E39" s="66">
        <f t="shared" si="1"/>
        <v>2.5855211555633428E-2</v>
      </c>
      <c r="F39" s="20"/>
      <c r="G39" s="67">
        <v>20176723</v>
      </c>
      <c r="H39" s="24">
        <f t="shared" si="2"/>
        <v>726331</v>
      </c>
      <c r="I39" s="66">
        <f t="shared" si="3"/>
        <v>3.7342743529282081E-2</v>
      </c>
    </row>
    <row r="40" spans="1:9" x14ac:dyDescent="0.25">
      <c r="A40" s="63" t="s">
        <v>52</v>
      </c>
      <c r="B40" s="64">
        <v>2459669</v>
      </c>
      <c r="C40" s="65">
        <v>2770653</v>
      </c>
      <c r="D40" s="24">
        <f t="shared" ref="D40:D61" si="4">C40-$B40</f>
        <v>310984</v>
      </c>
      <c r="E40" s="66">
        <f t="shared" ref="E40:E61" si="5">IF($B40&gt;0,D40/$B40, "")</f>
        <v>0.12643327211913472</v>
      </c>
      <c r="F40" s="20"/>
      <c r="G40" s="67">
        <v>3329290</v>
      </c>
      <c r="H40" s="24">
        <f t="shared" ref="H40:H61" si="6">G40-$B40</f>
        <v>869621</v>
      </c>
      <c r="I40" s="25">
        <f t="shared" ref="I40:I61" si="7">IF($B40&gt;0,H40/$B40, "")</f>
        <v>0.35355204297814058</v>
      </c>
    </row>
    <row r="41" spans="1:9" x14ac:dyDescent="0.25">
      <c r="A41" s="63" t="s">
        <v>53</v>
      </c>
      <c r="B41" s="64">
        <v>464028</v>
      </c>
      <c r="C41" s="65">
        <v>471923</v>
      </c>
      <c r="D41" s="24">
        <f t="shared" si="4"/>
        <v>7895</v>
      </c>
      <c r="E41" s="66">
        <f t="shared" si="5"/>
        <v>1.70140594964097E-2</v>
      </c>
      <c r="F41" s="20"/>
      <c r="G41" s="67">
        <v>471923</v>
      </c>
      <c r="H41" s="24">
        <f t="shared" si="6"/>
        <v>7895</v>
      </c>
      <c r="I41" s="66">
        <f t="shared" si="7"/>
        <v>1.70140594964097E-2</v>
      </c>
    </row>
    <row r="42" spans="1:9" ht="15.75" customHeight="1" thickBot="1" x14ac:dyDescent="0.3">
      <c r="A42" s="68" t="s">
        <v>54</v>
      </c>
      <c r="B42" s="69">
        <v>0</v>
      </c>
      <c r="C42" s="70">
        <v>0</v>
      </c>
      <c r="D42" s="71">
        <f t="shared" si="4"/>
        <v>0</v>
      </c>
      <c r="E42" s="25" t="str">
        <f t="shared" si="5"/>
        <v/>
      </c>
      <c r="F42" s="72"/>
      <c r="G42" s="73">
        <v>0</v>
      </c>
      <c r="H42" s="24">
        <f t="shared" si="6"/>
        <v>0</v>
      </c>
      <c r="I42" s="25" t="str">
        <f t="shared" si="7"/>
        <v/>
      </c>
    </row>
    <row r="43" spans="1:9" x14ac:dyDescent="0.25">
      <c r="A43" s="56" t="s">
        <v>61</v>
      </c>
      <c r="B43" s="57">
        <f>SUM(B44:B47)</f>
        <v>139905617</v>
      </c>
      <c r="C43" s="58">
        <f>SUM(C44:C47)</f>
        <v>130764563</v>
      </c>
      <c r="D43" s="59">
        <f t="shared" si="4"/>
        <v>-9141054</v>
      </c>
      <c r="E43" s="60">
        <f t="shared" si="5"/>
        <v>-6.5337290925209957E-2</v>
      </c>
      <c r="F43" s="61"/>
      <c r="G43" s="62">
        <f>SUM(G44:G47)</f>
        <v>129891416</v>
      </c>
      <c r="H43" s="59">
        <f t="shared" si="6"/>
        <v>-10014201</v>
      </c>
      <c r="I43" s="60">
        <f t="shared" si="7"/>
        <v>-7.1578262651170038E-2</v>
      </c>
    </row>
    <row r="44" spans="1:9" x14ac:dyDescent="0.25">
      <c r="A44" s="63" t="s">
        <v>51</v>
      </c>
      <c r="B44" s="64">
        <v>116348719</v>
      </c>
      <c r="C44" s="65">
        <v>118093950</v>
      </c>
      <c r="D44" s="24">
        <f t="shared" si="4"/>
        <v>1745231</v>
      </c>
      <c r="E44" s="66">
        <f t="shared" si="5"/>
        <v>1.5000001847893144E-2</v>
      </c>
      <c r="F44" s="20"/>
      <c r="G44" s="67">
        <v>119416137</v>
      </c>
      <c r="H44" s="24">
        <f t="shared" si="6"/>
        <v>3067418</v>
      </c>
      <c r="I44" s="66">
        <f t="shared" si="7"/>
        <v>2.6364003199725816E-2</v>
      </c>
    </row>
    <row r="45" spans="1:9" x14ac:dyDescent="0.25">
      <c r="A45" s="63" t="s">
        <v>52</v>
      </c>
      <c r="B45" s="64">
        <v>13956898</v>
      </c>
      <c r="C45" s="65">
        <v>12670613</v>
      </c>
      <c r="D45" s="24">
        <f t="shared" si="4"/>
        <v>-1286285</v>
      </c>
      <c r="E45" s="66">
        <f t="shared" si="5"/>
        <v>-9.2161238120390357E-2</v>
      </c>
      <c r="F45" s="20"/>
      <c r="G45" s="67">
        <v>10475279</v>
      </c>
      <c r="H45" s="24">
        <f t="shared" si="6"/>
        <v>-3481619</v>
      </c>
      <c r="I45" s="25">
        <f t="shared" si="7"/>
        <v>-0.2494550723233773</v>
      </c>
    </row>
    <row r="46" spans="1:9" x14ac:dyDescent="0.25">
      <c r="A46" s="63" t="s">
        <v>53</v>
      </c>
      <c r="B46" s="64">
        <v>0</v>
      </c>
      <c r="C46" s="65">
        <v>0</v>
      </c>
      <c r="D46" s="24">
        <f t="shared" si="4"/>
        <v>0</v>
      </c>
      <c r="E46" s="66" t="str">
        <f t="shared" si="5"/>
        <v/>
      </c>
      <c r="F46" s="20"/>
      <c r="G46" s="67">
        <v>0</v>
      </c>
      <c r="H46" s="24">
        <f t="shared" si="6"/>
        <v>0</v>
      </c>
      <c r="I46" s="66" t="str">
        <f t="shared" si="7"/>
        <v/>
      </c>
    </row>
    <row r="47" spans="1:9" ht="15.75" customHeight="1" thickBot="1" x14ac:dyDescent="0.3">
      <c r="A47" s="68" t="s">
        <v>54</v>
      </c>
      <c r="B47" s="69">
        <v>9600000</v>
      </c>
      <c r="C47" s="70">
        <v>0</v>
      </c>
      <c r="D47" s="71">
        <f t="shared" si="4"/>
        <v>-9600000</v>
      </c>
      <c r="E47" s="25">
        <f t="shared" si="5"/>
        <v>-1</v>
      </c>
      <c r="F47" s="72"/>
      <c r="G47" s="73">
        <v>0</v>
      </c>
      <c r="H47" s="24">
        <f t="shared" si="6"/>
        <v>-9600000</v>
      </c>
      <c r="I47" s="25">
        <f t="shared" si="7"/>
        <v>-1</v>
      </c>
    </row>
    <row r="48" spans="1:9" x14ac:dyDescent="0.25">
      <c r="A48" s="56" t="s">
        <v>62</v>
      </c>
      <c r="B48" s="57">
        <f>SUM(B49:B52)</f>
        <v>0</v>
      </c>
      <c r="C48" s="58">
        <f>SUM(C49:C52)</f>
        <v>0</v>
      </c>
      <c r="D48" s="59">
        <f t="shared" si="4"/>
        <v>0</v>
      </c>
      <c r="E48" s="60" t="str">
        <f t="shared" si="5"/>
        <v/>
      </c>
      <c r="F48" s="61"/>
      <c r="G48" s="62">
        <f>SUM(G49:G52)</f>
        <v>4850000</v>
      </c>
      <c r="H48" s="59">
        <f t="shared" si="6"/>
        <v>4850000</v>
      </c>
      <c r="I48" s="60" t="str">
        <f t="shared" si="7"/>
        <v/>
      </c>
    </row>
    <row r="49" spans="1:9" x14ac:dyDescent="0.25">
      <c r="A49" s="63" t="s">
        <v>51</v>
      </c>
      <c r="B49" s="64">
        <v>0</v>
      </c>
      <c r="C49" s="65">
        <v>0</v>
      </c>
      <c r="D49" s="24">
        <f t="shared" si="4"/>
        <v>0</v>
      </c>
      <c r="E49" s="66" t="str">
        <f t="shared" si="5"/>
        <v/>
      </c>
      <c r="F49" s="20"/>
      <c r="G49" s="67">
        <v>4850000</v>
      </c>
      <c r="H49" s="24">
        <f t="shared" si="6"/>
        <v>4850000</v>
      </c>
      <c r="I49" s="66" t="str">
        <f t="shared" si="7"/>
        <v/>
      </c>
    </row>
    <row r="50" spans="1:9" x14ac:dyDescent="0.25">
      <c r="A50" s="63" t="s">
        <v>52</v>
      </c>
      <c r="B50" s="64">
        <v>0</v>
      </c>
      <c r="C50" s="65">
        <v>0</v>
      </c>
      <c r="D50" s="24">
        <f t="shared" si="4"/>
        <v>0</v>
      </c>
      <c r="E50" s="66" t="str">
        <f t="shared" si="5"/>
        <v/>
      </c>
      <c r="F50" s="20"/>
      <c r="G50" s="67">
        <v>0</v>
      </c>
      <c r="H50" s="24">
        <f t="shared" si="6"/>
        <v>0</v>
      </c>
      <c r="I50" s="25" t="str">
        <f t="shared" si="7"/>
        <v/>
      </c>
    </row>
    <row r="51" spans="1:9" x14ac:dyDescent="0.25">
      <c r="A51" s="63" t="s">
        <v>53</v>
      </c>
      <c r="B51" s="64">
        <v>0</v>
      </c>
      <c r="C51" s="65">
        <v>0</v>
      </c>
      <c r="D51" s="24">
        <f t="shared" si="4"/>
        <v>0</v>
      </c>
      <c r="E51" s="66" t="str">
        <f t="shared" si="5"/>
        <v/>
      </c>
      <c r="F51" s="20"/>
      <c r="G51" s="67">
        <v>0</v>
      </c>
      <c r="H51" s="24">
        <f t="shared" si="6"/>
        <v>0</v>
      </c>
      <c r="I51" s="66" t="str">
        <f t="shared" si="7"/>
        <v/>
      </c>
    </row>
    <row r="52" spans="1:9" ht="15.75" customHeight="1" thickBot="1" x14ac:dyDescent="0.3">
      <c r="A52" s="68" t="s">
        <v>54</v>
      </c>
      <c r="B52" s="69">
        <v>0</v>
      </c>
      <c r="C52" s="70">
        <v>0</v>
      </c>
      <c r="D52" s="71">
        <f t="shared" si="4"/>
        <v>0</v>
      </c>
      <c r="E52" s="25" t="str">
        <f t="shared" si="5"/>
        <v/>
      </c>
      <c r="F52" s="72"/>
      <c r="G52" s="73">
        <v>0</v>
      </c>
      <c r="H52" s="24">
        <f t="shared" si="6"/>
        <v>0</v>
      </c>
      <c r="I52" s="25" t="str">
        <f t="shared" si="7"/>
        <v/>
      </c>
    </row>
    <row r="53" spans="1:9" x14ac:dyDescent="0.25">
      <c r="A53" s="56" t="s">
        <v>63</v>
      </c>
      <c r="B53" s="57">
        <f>SUM(B54:B55)</f>
        <v>6250000</v>
      </c>
      <c r="C53" s="58">
        <f>SUM(C54:C55)</f>
        <v>9000000</v>
      </c>
      <c r="D53" s="59">
        <f t="shared" si="4"/>
        <v>2750000</v>
      </c>
      <c r="E53" s="60">
        <f t="shared" si="5"/>
        <v>0.44</v>
      </c>
      <c r="F53" s="61"/>
      <c r="G53" s="62">
        <f>SUM(G54:G55)</f>
        <v>6000000</v>
      </c>
      <c r="H53" s="59">
        <f t="shared" si="6"/>
        <v>-250000</v>
      </c>
      <c r="I53" s="60">
        <f t="shared" si="7"/>
        <v>-0.04</v>
      </c>
    </row>
    <row r="54" spans="1:9" x14ac:dyDescent="0.25">
      <c r="A54" s="63" t="s">
        <v>52</v>
      </c>
      <c r="B54" s="64">
        <v>0</v>
      </c>
      <c r="C54" s="65">
        <v>0</v>
      </c>
      <c r="D54" s="24">
        <f t="shared" si="4"/>
        <v>0</v>
      </c>
      <c r="E54" s="66" t="str">
        <f t="shared" si="5"/>
        <v/>
      </c>
      <c r="F54" s="20"/>
      <c r="G54" s="67">
        <v>0</v>
      </c>
      <c r="H54" s="24">
        <f t="shared" si="6"/>
        <v>0</v>
      </c>
      <c r="I54" s="25" t="str">
        <f t="shared" si="7"/>
        <v/>
      </c>
    </row>
    <row r="55" spans="1:9" ht="15.75" customHeight="1" thickBot="1" x14ac:dyDescent="0.3">
      <c r="A55" s="63" t="s">
        <v>54</v>
      </c>
      <c r="B55" s="64">
        <v>6250000</v>
      </c>
      <c r="C55" s="65">
        <v>9000000</v>
      </c>
      <c r="D55" s="24">
        <f t="shared" si="4"/>
        <v>2750000</v>
      </c>
      <c r="E55" s="66">
        <f t="shared" si="5"/>
        <v>0.44</v>
      </c>
      <c r="F55" s="20"/>
      <c r="G55" s="67">
        <v>6000000</v>
      </c>
      <c r="H55" s="24">
        <f t="shared" si="6"/>
        <v>-250000</v>
      </c>
      <c r="I55" s="66">
        <f t="shared" si="7"/>
        <v>-0.04</v>
      </c>
    </row>
    <row r="56" spans="1:9" ht="15.75" customHeight="1" thickTop="1" x14ac:dyDescent="0.25">
      <c r="A56" s="74" t="s">
        <v>64</v>
      </c>
      <c r="B56" s="75">
        <f>SUM(B57:B61)</f>
        <v>587137893</v>
      </c>
      <c r="C56" s="76">
        <f>SUM(C57:C61)</f>
        <v>594846369</v>
      </c>
      <c r="D56" s="77">
        <f t="shared" si="4"/>
        <v>7708476</v>
      </c>
      <c r="E56" s="78">
        <f t="shared" si="5"/>
        <v>1.3128902242390272E-2</v>
      </c>
      <c r="F56" s="33"/>
      <c r="G56" s="79">
        <f>SUM(G57:G61)</f>
        <v>604170529</v>
      </c>
      <c r="H56" s="77">
        <f t="shared" si="6"/>
        <v>17032636</v>
      </c>
      <c r="I56" s="78">
        <f t="shared" si="7"/>
        <v>2.9009600986526687E-2</v>
      </c>
    </row>
    <row r="57" spans="1:9" x14ac:dyDescent="0.25">
      <c r="A57" s="80" t="s">
        <v>51</v>
      </c>
      <c r="B57" s="81">
        <f>SUM(B9,B14,B19,B24,B29,B34,B39,B44,B49)</f>
        <v>497705703</v>
      </c>
      <c r="C57" s="82">
        <f>SUM(C9,C14,C19,C24,C29,C34,C39,C44,C49)</f>
        <v>508487743</v>
      </c>
      <c r="D57" s="83">
        <f t="shared" si="4"/>
        <v>10782040</v>
      </c>
      <c r="E57" s="84">
        <f t="shared" si="5"/>
        <v>2.1663484937001012E-2</v>
      </c>
      <c r="F57" s="20"/>
      <c r="G57" s="82">
        <f>SUM(G9,G14,G19,G24,G29,G34,G39,G44,G49)</f>
        <v>519031483</v>
      </c>
      <c r="H57" s="83">
        <f t="shared" si="6"/>
        <v>21325780</v>
      </c>
      <c r="I57" s="84">
        <f t="shared" si="7"/>
        <v>4.284817286893737E-2</v>
      </c>
    </row>
    <row r="58" spans="1:9" x14ac:dyDescent="0.25">
      <c r="A58" s="80" t="s">
        <v>52</v>
      </c>
      <c r="B58" s="81">
        <f>SUM(B10,B15,B20,B25,B30,B35,B40,B45,B50,B54)</f>
        <v>50220989</v>
      </c>
      <c r="C58" s="82">
        <f>SUM(C10,C15,C20,C25,C30,C35,C40,C45,C50,C54)</f>
        <v>53380817</v>
      </c>
      <c r="D58" s="83">
        <f t="shared" si="4"/>
        <v>3159828</v>
      </c>
      <c r="E58" s="84">
        <f t="shared" si="5"/>
        <v>6.2918474186161491E-2</v>
      </c>
      <c r="F58" s="20"/>
      <c r="G58" s="82">
        <f>SUM(G10,G15,G20,G25,G30,G35,G40,G45,G50,G54)</f>
        <v>55161237</v>
      </c>
      <c r="H58" s="83">
        <f t="shared" si="6"/>
        <v>4940248</v>
      </c>
      <c r="I58" s="85">
        <f t="shared" si="7"/>
        <v>9.8370185421876102E-2</v>
      </c>
    </row>
    <row r="59" spans="1:9" x14ac:dyDescent="0.25">
      <c r="A59" s="80" t="s">
        <v>53</v>
      </c>
      <c r="B59" s="81">
        <f>SUM(B11,B16,B21,B26,B31,B36,B41,B46,B51)</f>
        <v>12343655</v>
      </c>
      <c r="C59" s="82">
        <f>SUM(C11,C16,C21,C26,C31,C36,C41,C46,C51)</f>
        <v>13128703</v>
      </c>
      <c r="D59" s="83">
        <f t="shared" si="4"/>
        <v>785048</v>
      </c>
      <c r="E59" s="84">
        <f t="shared" si="5"/>
        <v>6.3599314789663186E-2</v>
      </c>
      <c r="F59" s="20"/>
      <c r="G59" s="82">
        <f>SUM(G11,G16,G21,G26,G31,G36,G41,G46,G51)</f>
        <v>13128703</v>
      </c>
      <c r="H59" s="83">
        <f t="shared" si="6"/>
        <v>785048</v>
      </c>
      <c r="I59" s="84">
        <f t="shared" si="7"/>
        <v>6.3599314789663186E-2</v>
      </c>
    </row>
    <row r="60" spans="1:9" x14ac:dyDescent="0.25">
      <c r="A60" s="80" t="s">
        <v>65</v>
      </c>
      <c r="B60" s="81">
        <v>11017546</v>
      </c>
      <c r="C60" s="82">
        <v>10849106</v>
      </c>
      <c r="D60" s="83">
        <f t="shared" si="4"/>
        <v>-168440</v>
      </c>
      <c r="E60" s="84">
        <f t="shared" si="5"/>
        <v>-1.5288340979016561E-2</v>
      </c>
      <c r="F60" s="20"/>
      <c r="G60" s="82">
        <v>10849106</v>
      </c>
      <c r="H60" s="83">
        <f t="shared" si="6"/>
        <v>-168440</v>
      </c>
      <c r="I60" s="85">
        <f t="shared" si="7"/>
        <v>-1.5288340979016561E-2</v>
      </c>
    </row>
    <row r="61" spans="1:9" ht="15.75" customHeight="1" thickBot="1" x14ac:dyDescent="0.3">
      <c r="A61" s="86" t="s">
        <v>54</v>
      </c>
      <c r="B61" s="87">
        <f>SUM(B12,B17,B22,B27,B32,B37,B42,B47,B52,B55)</f>
        <v>15850000</v>
      </c>
      <c r="C61" s="88">
        <f>SUM(C12,C17,C22,C27,C32,C37,C42,C47,C52,C55)</f>
        <v>9000000</v>
      </c>
      <c r="D61" s="89">
        <f t="shared" si="4"/>
        <v>-6850000</v>
      </c>
      <c r="E61" s="90">
        <f t="shared" si="5"/>
        <v>-0.43217665615141954</v>
      </c>
      <c r="F61" s="72"/>
      <c r="G61" s="88">
        <f>SUM(G12,G17,G22,G27,G32,G37,G42,G47,G52,G55)</f>
        <v>6000000</v>
      </c>
      <c r="H61" s="91">
        <f t="shared" si="6"/>
        <v>-9850000</v>
      </c>
      <c r="I61" s="92">
        <f t="shared" si="7"/>
        <v>-0.62145110410094639</v>
      </c>
    </row>
    <row r="62" spans="1:9" ht="15.75" customHeight="1" thickBot="1" x14ac:dyDescent="0.3">
      <c r="A62" s="93"/>
      <c r="B62" s="94"/>
      <c r="C62" s="95"/>
      <c r="D62" s="95"/>
      <c r="E62" s="95"/>
      <c r="F62" s="95"/>
      <c r="G62" s="95"/>
      <c r="H62" s="95"/>
      <c r="I62" s="96"/>
    </row>
    <row r="63" spans="1:9" x14ac:dyDescent="0.25">
      <c r="A63" s="56" t="s">
        <v>66</v>
      </c>
      <c r="B63" s="57">
        <f>SUM(B64:B67)</f>
        <v>278701729</v>
      </c>
      <c r="C63" s="58">
        <f>SUM(C64:C67)</f>
        <v>263813768</v>
      </c>
      <c r="D63" s="59">
        <f t="shared" ref="D63:D91" si="8">C63-$B63</f>
        <v>-14887961</v>
      </c>
      <c r="E63" s="60">
        <f t="shared" ref="E63:E91" si="9">IF($B63&gt;0,D63/$B63, "")</f>
        <v>-5.3418976098278885E-2</v>
      </c>
      <c r="F63" s="61"/>
      <c r="G63" s="62">
        <f>SUM(G64:G67)</f>
        <v>271083278</v>
      </c>
      <c r="H63" s="59">
        <f t="shared" ref="H63:H91" si="10">G63-$B63</f>
        <v>-7618451</v>
      </c>
      <c r="I63" s="60">
        <f t="shared" ref="I63:I91" si="11">IF($B63&gt;0,H63/$B63, "")</f>
        <v>-2.733549959426337E-2</v>
      </c>
    </row>
    <row r="64" spans="1:9" x14ac:dyDescent="0.25">
      <c r="A64" s="63" t="s">
        <v>51</v>
      </c>
      <c r="B64" s="64">
        <v>242087025</v>
      </c>
      <c r="C64" s="65">
        <v>234698172</v>
      </c>
      <c r="D64" s="24">
        <f t="shared" si="8"/>
        <v>-7388853</v>
      </c>
      <c r="E64" s="66">
        <f t="shared" si="9"/>
        <v>-3.0521474663914763E-2</v>
      </c>
      <c r="F64" s="20"/>
      <c r="G64" s="67">
        <v>237325823</v>
      </c>
      <c r="H64" s="24">
        <f t="shared" si="10"/>
        <v>-4761202</v>
      </c>
      <c r="I64" s="66">
        <f t="shared" si="11"/>
        <v>-1.9667315916662615E-2</v>
      </c>
    </row>
    <row r="65" spans="1:9" x14ac:dyDescent="0.25">
      <c r="A65" s="63" t="s">
        <v>52</v>
      </c>
      <c r="B65" s="64">
        <v>21752501</v>
      </c>
      <c r="C65" s="65">
        <v>19907318</v>
      </c>
      <c r="D65" s="24">
        <f t="shared" si="8"/>
        <v>-1845183</v>
      </c>
      <c r="E65" s="66">
        <f t="shared" si="9"/>
        <v>-8.4826245956729301E-2</v>
      </c>
      <c r="F65" s="20"/>
      <c r="G65" s="67">
        <v>24549177</v>
      </c>
      <c r="H65" s="24">
        <f t="shared" si="10"/>
        <v>2796676</v>
      </c>
      <c r="I65" s="25">
        <f t="shared" si="11"/>
        <v>0.12856802075310789</v>
      </c>
    </row>
    <row r="66" spans="1:9" x14ac:dyDescent="0.25">
      <c r="A66" s="63" t="s">
        <v>53</v>
      </c>
      <c r="B66" s="64">
        <v>8612203</v>
      </c>
      <c r="C66" s="65">
        <v>9208278</v>
      </c>
      <c r="D66" s="24">
        <f t="shared" si="8"/>
        <v>596075</v>
      </c>
      <c r="E66" s="66">
        <f t="shared" si="9"/>
        <v>6.9212836715530274E-2</v>
      </c>
      <c r="F66" s="20"/>
      <c r="G66" s="67">
        <v>9208278</v>
      </c>
      <c r="H66" s="24">
        <f t="shared" si="10"/>
        <v>596075</v>
      </c>
      <c r="I66" s="66">
        <f t="shared" si="11"/>
        <v>6.9212836715530274E-2</v>
      </c>
    </row>
    <row r="67" spans="1:9" ht="15.75" customHeight="1" thickBot="1" x14ac:dyDescent="0.3">
      <c r="A67" s="68" t="s">
        <v>54</v>
      </c>
      <c r="B67" s="69">
        <v>6250000</v>
      </c>
      <c r="C67" s="70">
        <v>0</v>
      </c>
      <c r="D67" s="71">
        <f t="shared" si="8"/>
        <v>-6250000</v>
      </c>
      <c r="E67" s="25">
        <f t="shared" si="9"/>
        <v>-1</v>
      </c>
      <c r="F67" s="72"/>
      <c r="G67" s="73">
        <v>0</v>
      </c>
      <c r="H67" s="24">
        <f t="shared" si="10"/>
        <v>-6250000</v>
      </c>
      <c r="I67" s="25">
        <f t="shared" si="11"/>
        <v>-1</v>
      </c>
    </row>
    <row r="68" spans="1:9" x14ac:dyDescent="0.25">
      <c r="A68" s="56" t="s">
        <v>67</v>
      </c>
      <c r="B68" s="57">
        <f>SUM(B69:B72)</f>
        <v>46556221</v>
      </c>
      <c r="C68" s="58">
        <f>SUM(C69:C72)</f>
        <v>46287658</v>
      </c>
      <c r="D68" s="59">
        <f t="shared" si="8"/>
        <v>-268563</v>
      </c>
      <c r="E68" s="60">
        <f t="shared" si="9"/>
        <v>-5.7685738711481761E-3</v>
      </c>
      <c r="F68" s="61"/>
      <c r="G68" s="62">
        <f>SUM(G69:G72)</f>
        <v>46727943</v>
      </c>
      <c r="H68" s="59">
        <f t="shared" si="10"/>
        <v>171722</v>
      </c>
      <c r="I68" s="60">
        <f t="shared" si="11"/>
        <v>3.6884866578840237E-3</v>
      </c>
    </row>
    <row r="69" spans="1:9" x14ac:dyDescent="0.25">
      <c r="A69" s="63" t="s">
        <v>51</v>
      </c>
      <c r="B69" s="64">
        <v>42234228</v>
      </c>
      <c r="C69" s="65">
        <v>43723125</v>
      </c>
      <c r="D69" s="24">
        <f t="shared" si="8"/>
        <v>1488897</v>
      </c>
      <c r="E69" s="66">
        <f t="shared" si="9"/>
        <v>3.5253325809577955E-2</v>
      </c>
      <c r="F69" s="20"/>
      <c r="G69" s="67">
        <v>44212742</v>
      </c>
      <c r="H69" s="24">
        <f t="shared" si="10"/>
        <v>1978514</v>
      </c>
      <c r="I69" s="66">
        <f t="shared" si="11"/>
        <v>4.6846221505457614E-2</v>
      </c>
    </row>
    <row r="70" spans="1:9" x14ac:dyDescent="0.25">
      <c r="A70" s="63" t="s">
        <v>52</v>
      </c>
      <c r="B70" s="64">
        <v>2150047</v>
      </c>
      <c r="C70" s="65">
        <v>1636805</v>
      </c>
      <c r="D70" s="24">
        <f t="shared" si="8"/>
        <v>-513242</v>
      </c>
      <c r="E70" s="66">
        <f t="shared" si="9"/>
        <v>-0.23871199094717463</v>
      </c>
      <c r="F70" s="20"/>
      <c r="G70" s="67">
        <v>1587473</v>
      </c>
      <c r="H70" s="24">
        <f t="shared" si="10"/>
        <v>-562574</v>
      </c>
      <c r="I70" s="25">
        <f t="shared" si="11"/>
        <v>-0.26165660564629517</v>
      </c>
    </row>
    <row r="71" spans="1:9" x14ac:dyDescent="0.25">
      <c r="A71" s="63" t="s">
        <v>53</v>
      </c>
      <c r="B71" s="64">
        <v>971946</v>
      </c>
      <c r="C71" s="65">
        <v>927728</v>
      </c>
      <c r="D71" s="24">
        <f t="shared" si="8"/>
        <v>-44218</v>
      </c>
      <c r="E71" s="66">
        <f t="shared" si="9"/>
        <v>-4.5494297008270006E-2</v>
      </c>
      <c r="F71" s="20"/>
      <c r="G71" s="67">
        <v>927728</v>
      </c>
      <c r="H71" s="24">
        <f t="shared" si="10"/>
        <v>-44218</v>
      </c>
      <c r="I71" s="66">
        <f t="shared" si="11"/>
        <v>-4.5494297008270006E-2</v>
      </c>
    </row>
    <row r="72" spans="1:9" ht="15.75" customHeight="1" thickBot="1" x14ac:dyDescent="0.3">
      <c r="A72" s="68" t="s">
        <v>54</v>
      </c>
      <c r="B72" s="69">
        <v>1200000</v>
      </c>
      <c r="C72" s="70">
        <v>0</v>
      </c>
      <c r="D72" s="71">
        <f t="shared" si="8"/>
        <v>-1200000</v>
      </c>
      <c r="E72" s="25">
        <f t="shared" si="9"/>
        <v>-1</v>
      </c>
      <c r="F72" s="72"/>
      <c r="G72" s="73">
        <v>0</v>
      </c>
      <c r="H72" s="24">
        <f t="shared" si="10"/>
        <v>-1200000</v>
      </c>
      <c r="I72" s="25">
        <f t="shared" si="11"/>
        <v>-1</v>
      </c>
    </row>
    <row r="73" spans="1:9" x14ac:dyDescent="0.25">
      <c r="A73" s="56" t="s">
        <v>68</v>
      </c>
      <c r="B73" s="57">
        <f>SUM(B74:B77)</f>
        <v>47046231</v>
      </c>
      <c r="C73" s="58">
        <f>SUM(C74:C77)</f>
        <v>46904732</v>
      </c>
      <c r="D73" s="59">
        <f t="shared" si="8"/>
        <v>-141499</v>
      </c>
      <c r="E73" s="60">
        <f t="shared" si="9"/>
        <v>-3.0076585731171534E-3</v>
      </c>
      <c r="F73" s="61"/>
      <c r="G73" s="62">
        <f>SUM(G74:G77)</f>
        <v>47181063</v>
      </c>
      <c r="H73" s="59">
        <f t="shared" si="10"/>
        <v>134832</v>
      </c>
      <c r="I73" s="60">
        <f t="shared" si="11"/>
        <v>2.8659469023140237E-3</v>
      </c>
    </row>
    <row r="74" spans="1:9" x14ac:dyDescent="0.25">
      <c r="A74" s="63" t="s">
        <v>51</v>
      </c>
      <c r="B74" s="64">
        <v>41810093</v>
      </c>
      <c r="C74" s="65">
        <v>42206513</v>
      </c>
      <c r="D74" s="24">
        <f t="shared" si="8"/>
        <v>396420</v>
      </c>
      <c r="E74" s="66">
        <f t="shared" si="9"/>
        <v>9.4814426746192594E-3</v>
      </c>
      <c r="F74" s="20"/>
      <c r="G74" s="67">
        <v>42679133</v>
      </c>
      <c r="H74" s="24">
        <f t="shared" si="10"/>
        <v>869040</v>
      </c>
      <c r="I74" s="66">
        <f t="shared" si="11"/>
        <v>2.07854117904019E-2</v>
      </c>
    </row>
    <row r="75" spans="1:9" x14ac:dyDescent="0.25">
      <c r="A75" s="63" t="s">
        <v>52</v>
      </c>
      <c r="B75" s="64">
        <v>4252847</v>
      </c>
      <c r="C75" s="65">
        <v>3582947</v>
      </c>
      <c r="D75" s="24">
        <f t="shared" si="8"/>
        <v>-669900</v>
      </c>
      <c r="E75" s="66">
        <f t="shared" si="9"/>
        <v>-0.15751801087600847</v>
      </c>
      <c r="F75" s="20"/>
      <c r="G75" s="67">
        <v>3386658</v>
      </c>
      <c r="H75" s="24">
        <f t="shared" si="10"/>
        <v>-866189</v>
      </c>
      <c r="I75" s="25">
        <f t="shared" si="11"/>
        <v>-0.20367273969649038</v>
      </c>
    </row>
    <row r="76" spans="1:9" x14ac:dyDescent="0.25">
      <c r="A76" s="63" t="s">
        <v>53</v>
      </c>
      <c r="B76" s="64">
        <v>983291</v>
      </c>
      <c r="C76" s="65">
        <v>1115272</v>
      </c>
      <c r="D76" s="24">
        <f t="shared" si="8"/>
        <v>131981</v>
      </c>
      <c r="E76" s="66">
        <f t="shared" si="9"/>
        <v>0.13422374454764663</v>
      </c>
      <c r="F76" s="20"/>
      <c r="G76" s="67">
        <v>1115272</v>
      </c>
      <c r="H76" s="24">
        <f t="shared" si="10"/>
        <v>131981</v>
      </c>
      <c r="I76" s="66">
        <f t="shared" si="11"/>
        <v>0.13422374454764663</v>
      </c>
    </row>
    <row r="77" spans="1:9" ht="15.75" customHeight="1" thickBot="1" x14ac:dyDescent="0.3">
      <c r="A77" s="68" t="s">
        <v>54</v>
      </c>
      <c r="B77" s="69">
        <v>0</v>
      </c>
      <c r="C77" s="70">
        <v>0</v>
      </c>
      <c r="D77" s="71">
        <f t="shared" si="8"/>
        <v>0</v>
      </c>
      <c r="E77" s="25" t="str">
        <f t="shared" si="9"/>
        <v/>
      </c>
      <c r="F77" s="72"/>
      <c r="G77" s="73">
        <v>0</v>
      </c>
      <c r="H77" s="24">
        <f t="shared" si="10"/>
        <v>0</v>
      </c>
      <c r="I77" s="25" t="str">
        <f t="shared" si="11"/>
        <v/>
      </c>
    </row>
    <row r="78" spans="1:9" x14ac:dyDescent="0.25">
      <c r="A78" s="56" t="s">
        <v>69</v>
      </c>
      <c r="B78" s="57">
        <f>SUM(B79:B82)</f>
        <v>0</v>
      </c>
      <c r="C78" s="58">
        <f>SUM(C79:C82)</f>
        <v>0</v>
      </c>
      <c r="D78" s="59">
        <f t="shared" si="8"/>
        <v>0</v>
      </c>
      <c r="E78" s="60" t="str">
        <f t="shared" si="9"/>
        <v/>
      </c>
      <c r="F78" s="61"/>
      <c r="G78" s="62">
        <f>SUM(G79:G82)</f>
        <v>0</v>
      </c>
      <c r="H78" s="59">
        <f t="shared" si="10"/>
        <v>0</v>
      </c>
      <c r="I78" s="60" t="str">
        <f t="shared" si="11"/>
        <v/>
      </c>
    </row>
    <row r="79" spans="1:9" x14ac:dyDescent="0.25">
      <c r="A79" s="63" t="s">
        <v>51</v>
      </c>
      <c r="B79" s="64">
        <v>0</v>
      </c>
      <c r="C79" s="65">
        <v>0</v>
      </c>
      <c r="D79" s="24">
        <f t="shared" si="8"/>
        <v>0</v>
      </c>
      <c r="E79" s="66" t="str">
        <f t="shared" si="9"/>
        <v/>
      </c>
      <c r="F79" s="20"/>
      <c r="G79" s="67">
        <v>0</v>
      </c>
      <c r="H79" s="24">
        <f t="shared" si="10"/>
        <v>0</v>
      </c>
      <c r="I79" s="66" t="str">
        <f t="shared" si="11"/>
        <v/>
      </c>
    </row>
    <row r="80" spans="1:9" x14ac:dyDescent="0.25">
      <c r="A80" s="63" t="s">
        <v>52</v>
      </c>
      <c r="B80" s="64">
        <v>0</v>
      </c>
      <c r="C80" s="65">
        <v>0</v>
      </c>
      <c r="D80" s="24">
        <f t="shared" si="8"/>
        <v>0</v>
      </c>
      <c r="E80" s="66" t="str">
        <f t="shared" si="9"/>
        <v/>
      </c>
      <c r="F80" s="20"/>
      <c r="G80" s="67">
        <v>0</v>
      </c>
      <c r="H80" s="24">
        <f t="shared" si="10"/>
        <v>0</v>
      </c>
      <c r="I80" s="25" t="str">
        <f t="shared" si="11"/>
        <v/>
      </c>
    </row>
    <row r="81" spans="1:9" x14ac:dyDescent="0.25">
      <c r="A81" s="63" t="s">
        <v>53</v>
      </c>
      <c r="B81" s="64">
        <v>0</v>
      </c>
      <c r="C81" s="65">
        <v>0</v>
      </c>
      <c r="D81" s="24">
        <f t="shared" si="8"/>
        <v>0</v>
      </c>
      <c r="E81" s="66" t="str">
        <f t="shared" si="9"/>
        <v/>
      </c>
      <c r="F81" s="20"/>
      <c r="G81" s="67">
        <v>0</v>
      </c>
      <c r="H81" s="24">
        <f t="shared" si="10"/>
        <v>0</v>
      </c>
      <c r="I81" s="66" t="str">
        <f t="shared" si="11"/>
        <v/>
      </c>
    </row>
    <row r="82" spans="1:9" ht="15.75" customHeight="1" thickBot="1" x14ac:dyDescent="0.3">
      <c r="A82" s="68" t="s">
        <v>54</v>
      </c>
      <c r="B82" s="69">
        <v>0</v>
      </c>
      <c r="C82" s="70">
        <v>0</v>
      </c>
      <c r="D82" s="71">
        <f t="shared" si="8"/>
        <v>0</v>
      </c>
      <c r="E82" s="25" t="str">
        <f t="shared" si="9"/>
        <v/>
      </c>
      <c r="F82" s="72"/>
      <c r="G82" s="73">
        <v>0</v>
      </c>
      <c r="H82" s="24">
        <f t="shared" si="10"/>
        <v>0</v>
      </c>
      <c r="I82" s="25" t="str">
        <f t="shared" si="11"/>
        <v/>
      </c>
    </row>
    <row r="83" spans="1:9" x14ac:dyDescent="0.25">
      <c r="A83" s="56" t="s">
        <v>70</v>
      </c>
      <c r="B83" s="57">
        <f>SUM(B84:B85)</f>
        <v>0</v>
      </c>
      <c r="C83" s="58">
        <f>SUM(C84:C85)</f>
        <v>2000000</v>
      </c>
      <c r="D83" s="59">
        <f t="shared" si="8"/>
        <v>2000000</v>
      </c>
      <c r="E83" s="60" t="str">
        <f t="shared" si="9"/>
        <v/>
      </c>
      <c r="F83" s="61"/>
      <c r="G83" s="62">
        <f>SUM(G84:G85)</f>
        <v>2000000</v>
      </c>
      <c r="H83" s="59">
        <f t="shared" si="10"/>
        <v>2000000</v>
      </c>
      <c r="I83" s="60" t="str">
        <f t="shared" si="11"/>
        <v/>
      </c>
    </row>
    <row r="84" spans="1:9" x14ac:dyDescent="0.25">
      <c r="A84" s="63" t="s">
        <v>52</v>
      </c>
      <c r="B84" s="64">
        <v>0</v>
      </c>
      <c r="C84" s="65">
        <v>0</v>
      </c>
      <c r="D84" s="24">
        <f t="shared" si="8"/>
        <v>0</v>
      </c>
      <c r="E84" s="66" t="str">
        <f t="shared" si="9"/>
        <v/>
      </c>
      <c r="F84" s="20"/>
      <c r="G84" s="67">
        <v>0</v>
      </c>
      <c r="H84" s="24">
        <f t="shared" si="10"/>
        <v>0</v>
      </c>
      <c r="I84" s="25" t="str">
        <f t="shared" si="11"/>
        <v/>
      </c>
    </row>
    <row r="85" spans="1:9" ht="15.75" customHeight="1" thickBot="1" x14ac:dyDescent="0.3">
      <c r="A85" s="63" t="s">
        <v>54</v>
      </c>
      <c r="B85" s="64">
        <v>0</v>
      </c>
      <c r="C85" s="65">
        <v>2000000</v>
      </c>
      <c r="D85" s="24">
        <f t="shared" si="8"/>
        <v>2000000</v>
      </c>
      <c r="E85" s="66" t="str">
        <f t="shared" si="9"/>
        <v/>
      </c>
      <c r="F85" s="20"/>
      <c r="G85" s="67">
        <v>2000000</v>
      </c>
      <c r="H85" s="24">
        <f t="shared" si="10"/>
        <v>2000000</v>
      </c>
      <c r="I85" s="66" t="str">
        <f t="shared" si="11"/>
        <v/>
      </c>
    </row>
    <row r="86" spans="1:9" ht="15.75" customHeight="1" thickTop="1" x14ac:dyDescent="0.25">
      <c r="A86" s="74" t="s">
        <v>71</v>
      </c>
      <c r="B86" s="75">
        <f>SUM(B87:B91)</f>
        <v>405619796</v>
      </c>
      <c r="C86" s="76">
        <f>SUM(C87:C91)</f>
        <v>400564708</v>
      </c>
      <c r="D86" s="77">
        <f t="shared" si="8"/>
        <v>-5055088</v>
      </c>
      <c r="E86" s="78">
        <f t="shared" si="9"/>
        <v>-1.2462626454257178E-2</v>
      </c>
      <c r="F86" s="33"/>
      <c r="G86" s="79">
        <f>SUM(G87:G91)</f>
        <v>406520834</v>
      </c>
      <c r="H86" s="77">
        <f t="shared" si="10"/>
        <v>901038</v>
      </c>
      <c r="I86" s="78">
        <f t="shared" si="11"/>
        <v>2.2213856643229514E-3</v>
      </c>
    </row>
    <row r="87" spans="1:9" x14ac:dyDescent="0.25">
      <c r="A87" s="80" t="s">
        <v>51</v>
      </c>
      <c r="B87" s="81">
        <f>SUM(B64,B69,B74,B79)</f>
        <v>326131346</v>
      </c>
      <c r="C87" s="82">
        <f>SUM(C64,C69,C74,C79)</f>
        <v>320627810</v>
      </c>
      <c r="D87" s="83">
        <f t="shared" si="8"/>
        <v>-5503536</v>
      </c>
      <c r="E87" s="84">
        <f t="shared" si="9"/>
        <v>-1.687521321547546E-2</v>
      </c>
      <c r="F87" s="20"/>
      <c r="G87" s="97">
        <f>SUM(G64,G69,G74,G79)</f>
        <v>324217698</v>
      </c>
      <c r="H87" s="83">
        <f t="shared" si="10"/>
        <v>-1913648</v>
      </c>
      <c r="I87" s="84">
        <f t="shared" si="11"/>
        <v>-5.8677217736684533E-3</v>
      </c>
    </row>
    <row r="88" spans="1:9" x14ac:dyDescent="0.25">
      <c r="A88" s="80" t="s">
        <v>52</v>
      </c>
      <c r="B88" s="81">
        <f>SUM(B65,B70,B75, B80,B84)</f>
        <v>28155395</v>
      </c>
      <c r="C88" s="82">
        <f>SUM(C65,C70,C75,C80,C84)</f>
        <v>25127070</v>
      </c>
      <c r="D88" s="83">
        <f t="shared" si="8"/>
        <v>-3028325</v>
      </c>
      <c r="E88" s="84">
        <f t="shared" si="9"/>
        <v>-0.10755753915013445</v>
      </c>
      <c r="F88" s="20"/>
      <c r="G88" s="97">
        <f>SUM(G65,G70,G75,G80,G84)</f>
        <v>29523308</v>
      </c>
      <c r="H88" s="83">
        <f t="shared" si="10"/>
        <v>1367913</v>
      </c>
      <c r="I88" s="85">
        <f t="shared" si="11"/>
        <v>4.8584400964717417E-2</v>
      </c>
    </row>
    <row r="89" spans="1:9" x14ac:dyDescent="0.25">
      <c r="A89" s="80" t="s">
        <v>53</v>
      </c>
      <c r="B89" s="81">
        <f>SUM(B66,B71,B76,B81)</f>
        <v>10567440</v>
      </c>
      <c r="C89" s="82">
        <f>SUM(C66,C71,C76,C81)</f>
        <v>11251278</v>
      </c>
      <c r="D89" s="83">
        <f t="shared" si="8"/>
        <v>683838</v>
      </c>
      <c r="E89" s="84">
        <f t="shared" si="9"/>
        <v>6.4711793963344005E-2</v>
      </c>
      <c r="F89" s="20"/>
      <c r="G89" s="97">
        <f>SUM(G66,G71,G76,G81)</f>
        <v>11251278</v>
      </c>
      <c r="H89" s="83">
        <f t="shared" si="10"/>
        <v>683838</v>
      </c>
      <c r="I89" s="84">
        <f t="shared" si="11"/>
        <v>6.4711793963344005E-2</v>
      </c>
    </row>
    <row r="90" spans="1:9" x14ac:dyDescent="0.25">
      <c r="A90" s="80" t="s">
        <v>65</v>
      </c>
      <c r="B90" s="81">
        <v>33315615</v>
      </c>
      <c r="C90" s="82">
        <v>41558550</v>
      </c>
      <c r="D90" s="83">
        <f t="shared" si="8"/>
        <v>8242935</v>
      </c>
      <c r="E90" s="84">
        <f t="shared" si="9"/>
        <v>0.24741956587023833</v>
      </c>
      <c r="F90" s="20"/>
      <c r="G90" s="97">
        <v>39528550</v>
      </c>
      <c r="H90" s="83">
        <f t="shared" si="10"/>
        <v>6212935</v>
      </c>
      <c r="I90" s="85">
        <f t="shared" si="11"/>
        <v>0.18648717725907207</v>
      </c>
    </row>
    <row r="91" spans="1:9" ht="15.75" customHeight="1" thickBot="1" x14ac:dyDescent="0.3">
      <c r="A91" s="86" t="s">
        <v>54</v>
      </c>
      <c r="B91" s="87">
        <f>SUM(B67,B72,B77,B82,B85)</f>
        <v>7450000</v>
      </c>
      <c r="C91" s="98">
        <f>SUM(C67,C72,C77,C82,C85)</f>
        <v>2000000</v>
      </c>
      <c r="D91" s="91">
        <f t="shared" si="8"/>
        <v>-5450000</v>
      </c>
      <c r="E91" s="90">
        <f t="shared" si="9"/>
        <v>-0.73154362416107388</v>
      </c>
      <c r="F91" s="72"/>
      <c r="G91" s="88">
        <f>SUM(G67,G72,G77,G82,G85)</f>
        <v>2000000</v>
      </c>
      <c r="H91" s="91">
        <f t="shared" si="10"/>
        <v>-5450000</v>
      </c>
      <c r="I91" s="92">
        <f t="shared" si="11"/>
        <v>-0.73154362416107388</v>
      </c>
    </row>
    <row r="92" spans="1:9" ht="15.75" customHeight="1" thickBot="1" x14ac:dyDescent="0.3">
      <c r="A92" s="93"/>
      <c r="B92" s="94"/>
      <c r="C92" s="95"/>
      <c r="D92" s="95"/>
      <c r="E92" s="95"/>
      <c r="F92" s="95"/>
      <c r="G92" s="95"/>
      <c r="H92" s="95"/>
      <c r="I92" s="96"/>
    </row>
    <row r="93" spans="1:9" x14ac:dyDescent="0.25">
      <c r="A93" s="56" t="s">
        <v>72</v>
      </c>
      <c r="B93" s="57">
        <f>SUM(B94:B98)</f>
        <v>152612586</v>
      </c>
      <c r="C93" s="58">
        <f>SUM(C94:C98)</f>
        <v>157011791</v>
      </c>
      <c r="D93" s="59">
        <f t="shared" ref="D93:D98" si="12">C93-$B93</f>
        <v>4399205</v>
      </c>
      <c r="E93" s="60">
        <f t="shared" ref="E93:E98" si="13">IF($B93&gt;0,D93/$B93, "")</f>
        <v>2.8825964589840578E-2</v>
      </c>
      <c r="F93" s="61"/>
      <c r="G93" s="62">
        <f>SUM(G94:G98)</f>
        <v>164577136</v>
      </c>
      <c r="H93" s="59">
        <f t="shared" ref="H93:H98" si="14">G93-$B93</f>
        <v>11964550</v>
      </c>
      <c r="I93" s="60">
        <f t="shared" ref="I93:I98" si="15">IF($B93&gt;0,H93/$B93, "")</f>
        <v>7.8398186634488984E-2</v>
      </c>
    </row>
    <row r="94" spans="1:9" x14ac:dyDescent="0.25">
      <c r="A94" s="63" t="s">
        <v>51</v>
      </c>
      <c r="B94" s="64">
        <v>126221115</v>
      </c>
      <c r="C94" s="65">
        <v>131228661</v>
      </c>
      <c r="D94" s="24">
        <f t="shared" si="12"/>
        <v>5007546</v>
      </c>
      <c r="E94" s="66">
        <f t="shared" si="13"/>
        <v>3.9672807517189178E-2</v>
      </c>
      <c r="F94" s="20"/>
      <c r="G94" s="67">
        <v>132698130</v>
      </c>
      <c r="H94" s="24">
        <f t="shared" si="14"/>
        <v>6477015</v>
      </c>
      <c r="I94" s="66">
        <f t="shared" si="15"/>
        <v>5.1314829535454506E-2</v>
      </c>
    </row>
    <row r="95" spans="1:9" x14ac:dyDescent="0.25">
      <c r="A95" s="63" t="s">
        <v>52</v>
      </c>
      <c r="B95" s="64">
        <v>16684972</v>
      </c>
      <c r="C95" s="65">
        <v>16009403</v>
      </c>
      <c r="D95" s="24">
        <f t="shared" si="12"/>
        <v>-675569</v>
      </c>
      <c r="E95" s="66">
        <f t="shared" si="13"/>
        <v>-4.0489669386319614E-2</v>
      </c>
      <c r="F95" s="20"/>
      <c r="G95" s="67">
        <v>22105279</v>
      </c>
      <c r="H95" s="24">
        <f t="shared" si="14"/>
        <v>5420307</v>
      </c>
      <c r="I95" s="25">
        <f t="shared" si="15"/>
        <v>0.32486161798773172</v>
      </c>
    </row>
    <row r="96" spans="1:9" x14ac:dyDescent="0.25">
      <c r="A96" s="63" t="s">
        <v>53</v>
      </c>
      <c r="B96" s="64">
        <v>2647493</v>
      </c>
      <c r="C96" s="65">
        <v>2715486</v>
      </c>
      <c r="D96" s="24">
        <f t="shared" si="12"/>
        <v>67993</v>
      </c>
      <c r="E96" s="66">
        <f t="shared" si="13"/>
        <v>2.5682032020481263E-2</v>
      </c>
      <c r="F96" s="20"/>
      <c r="G96" s="67">
        <v>2715486</v>
      </c>
      <c r="H96" s="24">
        <f t="shared" si="14"/>
        <v>67993</v>
      </c>
      <c r="I96" s="66">
        <f t="shared" si="15"/>
        <v>2.5682032020481263E-2</v>
      </c>
    </row>
    <row r="97" spans="1:9" x14ac:dyDescent="0.25">
      <c r="A97" s="63" t="s">
        <v>65</v>
      </c>
      <c r="B97" s="64">
        <v>7059006</v>
      </c>
      <c r="C97" s="65">
        <v>7058241</v>
      </c>
      <c r="D97" s="24">
        <f t="shared" si="12"/>
        <v>-765</v>
      </c>
      <c r="E97" s="25">
        <f t="shared" si="13"/>
        <v>-1.0837219857866675E-4</v>
      </c>
      <c r="F97" s="20"/>
      <c r="G97" s="67">
        <v>7058241</v>
      </c>
      <c r="H97" s="24">
        <f t="shared" si="14"/>
        <v>-765</v>
      </c>
      <c r="I97" s="25">
        <f t="shared" si="15"/>
        <v>-1.0837219857866675E-4</v>
      </c>
    </row>
    <row r="98" spans="1:9" ht="15.75" customHeight="1" thickBot="1" x14ac:dyDescent="0.3">
      <c r="A98" s="68" t="s">
        <v>54</v>
      </c>
      <c r="B98" s="69">
        <v>0</v>
      </c>
      <c r="C98" s="70">
        <v>0</v>
      </c>
      <c r="D98" s="71">
        <f t="shared" si="12"/>
        <v>0</v>
      </c>
      <c r="E98" s="99" t="str">
        <f t="shared" si="13"/>
        <v/>
      </c>
      <c r="F98" s="72"/>
      <c r="G98" s="73">
        <v>0</v>
      </c>
      <c r="H98" s="71">
        <f t="shared" si="14"/>
        <v>0</v>
      </c>
      <c r="I98" s="99" t="str">
        <f t="shared" si="15"/>
        <v/>
      </c>
    </row>
    <row r="99" spans="1:9" ht="15.75" customHeight="1" thickBot="1" x14ac:dyDescent="0.3">
      <c r="A99" s="93"/>
      <c r="B99" s="94"/>
      <c r="C99" s="95"/>
      <c r="D99" s="95"/>
      <c r="E99" s="95"/>
      <c r="F99" s="95"/>
      <c r="G99" s="95"/>
      <c r="H99" s="95"/>
      <c r="I99" s="96"/>
    </row>
    <row r="100" spans="1:9" x14ac:dyDescent="0.25">
      <c r="A100" s="56" t="s">
        <v>73</v>
      </c>
      <c r="B100" s="57">
        <f>SUM(B101:B105)</f>
        <v>81222390</v>
      </c>
      <c r="C100" s="58">
        <f>SUM(C101:C105)</f>
        <v>81589586</v>
      </c>
      <c r="D100" s="59">
        <f t="shared" ref="D100:D105" si="16">C100-$B100</f>
        <v>367196</v>
      </c>
      <c r="E100" s="60">
        <f t="shared" ref="E100:E105" si="17">IF($B100&gt;0,D100/$B100, "")</f>
        <v>4.5208716463526867E-3</v>
      </c>
      <c r="F100" s="61"/>
      <c r="G100" s="62">
        <f>SUM(G101:G105)</f>
        <v>97331091</v>
      </c>
      <c r="H100" s="59">
        <f t="shared" ref="H100:H105" si="18">G100-$B100</f>
        <v>16108701</v>
      </c>
      <c r="I100" s="60">
        <f t="shared" ref="I100:I105" si="19">IF($B100&gt;0,H100/$B100, "")</f>
        <v>0.19832833040249123</v>
      </c>
    </row>
    <row r="101" spans="1:9" x14ac:dyDescent="0.25">
      <c r="A101" s="63" t="s">
        <v>51</v>
      </c>
      <c r="B101" s="64">
        <v>65929201</v>
      </c>
      <c r="C101" s="65">
        <v>64933548</v>
      </c>
      <c r="D101" s="24">
        <f t="shared" si="16"/>
        <v>-995653</v>
      </c>
      <c r="E101" s="66">
        <f t="shared" si="17"/>
        <v>-1.5101851454259244E-2</v>
      </c>
      <c r="F101" s="20"/>
      <c r="G101" s="67">
        <v>65660508</v>
      </c>
      <c r="H101" s="24">
        <f t="shared" si="18"/>
        <v>-268693</v>
      </c>
      <c r="I101" s="66">
        <f t="shared" si="19"/>
        <v>-4.0754778751224364E-3</v>
      </c>
    </row>
    <row r="102" spans="1:9" x14ac:dyDescent="0.25">
      <c r="A102" s="63" t="s">
        <v>52</v>
      </c>
      <c r="B102" s="64">
        <v>12958157</v>
      </c>
      <c r="C102" s="65">
        <v>11984229</v>
      </c>
      <c r="D102" s="24">
        <f t="shared" si="16"/>
        <v>-973928</v>
      </c>
      <c r="E102" s="66">
        <f t="shared" si="17"/>
        <v>-7.5159453616745031E-2</v>
      </c>
      <c r="F102" s="20"/>
      <c r="G102" s="67">
        <v>11998774</v>
      </c>
      <c r="H102" s="24">
        <f t="shared" si="18"/>
        <v>-959383</v>
      </c>
      <c r="I102" s="25">
        <f t="shared" si="19"/>
        <v>-7.4036994612736981E-2</v>
      </c>
    </row>
    <row r="103" spans="1:9" x14ac:dyDescent="0.25">
      <c r="A103" s="63" t="s">
        <v>53</v>
      </c>
      <c r="B103" s="64">
        <v>1383082</v>
      </c>
      <c r="C103" s="65">
        <v>1391284</v>
      </c>
      <c r="D103" s="24">
        <f t="shared" si="16"/>
        <v>8202</v>
      </c>
      <c r="E103" s="66">
        <f t="shared" si="17"/>
        <v>5.9302340714433421E-3</v>
      </c>
      <c r="F103" s="20"/>
      <c r="G103" s="67">
        <v>1391284</v>
      </c>
      <c r="H103" s="24">
        <f t="shared" si="18"/>
        <v>8202</v>
      </c>
      <c r="I103" s="66">
        <f t="shared" si="19"/>
        <v>5.9302340714433421E-3</v>
      </c>
    </row>
    <row r="104" spans="1:9" x14ac:dyDescent="0.25">
      <c r="A104" s="63" t="s">
        <v>65</v>
      </c>
      <c r="B104" s="64">
        <v>951950</v>
      </c>
      <c r="C104" s="65">
        <v>3280525</v>
      </c>
      <c r="D104" s="24">
        <f t="shared" si="16"/>
        <v>2328575</v>
      </c>
      <c r="E104" s="25">
        <f t="shared" si="17"/>
        <v>2.4461106150533118</v>
      </c>
      <c r="F104" s="20"/>
      <c r="G104" s="67">
        <v>3280525</v>
      </c>
      <c r="H104" s="24">
        <f t="shared" si="18"/>
        <v>2328575</v>
      </c>
      <c r="I104" s="25">
        <f t="shared" si="19"/>
        <v>2.4461106150533118</v>
      </c>
    </row>
    <row r="105" spans="1:9" ht="15.75" customHeight="1" thickBot="1" x14ac:dyDescent="0.3">
      <c r="A105" s="68" t="s">
        <v>54</v>
      </c>
      <c r="B105" s="69">
        <v>0</v>
      </c>
      <c r="C105" s="70">
        <v>0</v>
      </c>
      <c r="D105" s="71">
        <f t="shared" si="16"/>
        <v>0</v>
      </c>
      <c r="E105" s="99" t="str">
        <f t="shared" si="17"/>
        <v/>
      </c>
      <c r="F105" s="72"/>
      <c r="G105" s="73">
        <v>15000000</v>
      </c>
      <c r="H105" s="71">
        <f t="shared" si="18"/>
        <v>15000000</v>
      </c>
      <c r="I105" s="99" t="str">
        <f t="shared" si="19"/>
        <v/>
      </c>
    </row>
    <row r="106" spans="1:9" ht="15.75" customHeight="1" thickBot="1" x14ac:dyDescent="0.3">
      <c r="A106" s="93"/>
      <c r="B106" s="94"/>
      <c r="C106" s="95"/>
      <c r="D106" s="95"/>
      <c r="E106" s="95"/>
      <c r="F106" s="95"/>
      <c r="G106" s="95"/>
      <c r="H106" s="95"/>
      <c r="I106" s="96"/>
    </row>
    <row r="107" spans="1:9" x14ac:dyDescent="0.25">
      <c r="A107" s="56" t="s">
        <v>74</v>
      </c>
      <c r="B107" s="57">
        <f>SUM(B108:B112)</f>
        <v>58639169</v>
      </c>
      <c r="C107" s="58">
        <f>SUM(C108:C112)</f>
        <v>56228223</v>
      </c>
      <c r="D107" s="59">
        <f t="shared" ref="D107:D112" si="20">C107-$B107</f>
        <v>-2410946</v>
      </c>
      <c r="E107" s="60">
        <f t="shared" ref="E107:E112" si="21">IF($B107&gt;0,D107/$B107, "")</f>
        <v>-4.1114941448095896E-2</v>
      </c>
      <c r="F107" s="61"/>
      <c r="G107" s="62">
        <f>SUM(G108:G112)</f>
        <v>59952162</v>
      </c>
      <c r="H107" s="59">
        <f t="shared" ref="H107:H112" si="22">G107-$B107</f>
        <v>1312993</v>
      </c>
      <c r="I107" s="60">
        <f t="shared" ref="I107:I112" si="23">IF($B107&gt;0,H107/$B107, "")</f>
        <v>2.2391057417611084E-2</v>
      </c>
    </row>
    <row r="108" spans="1:9" x14ac:dyDescent="0.25">
      <c r="A108" s="63" t="s">
        <v>51</v>
      </c>
      <c r="B108" s="64">
        <v>44858559</v>
      </c>
      <c r="C108" s="65">
        <v>44837199</v>
      </c>
      <c r="D108" s="24">
        <f t="shared" si="20"/>
        <v>-21360</v>
      </c>
      <c r="E108" s="66">
        <f t="shared" si="21"/>
        <v>-4.7616331144297345E-4</v>
      </c>
      <c r="F108" s="20"/>
      <c r="G108" s="67">
        <v>45339235</v>
      </c>
      <c r="H108" s="24">
        <f t="shared" si="22"/>
        <v>480676</v>
      </c>
      <c r="I108" s="66">
        <f t="shared" si="23"/>
        <v>1.0715368721496381E-2</v>
      </c>
    </row>
    <row r="109" spans="1:9" x14ac:dyDescent="0.25">
      <c r="A109" s="63" t="s">
        <v>52</v>
      </c>
      <c r="B109" s="64">
        <v>8974532</v>
      </c>
      <c r="C109" s="65">
        <v>9011025</v>
      </c>
      <c r="D109" s="24">
        <f t="shared" si="20"/>
        <v>36493</v>
      </c>
      <c r="E109" s="66">
        <f t="shared" si="21"/>
        <v>4.0662844591784842E-3</v>
      </c>
      <c r="F109" s="20"/>
      <c r="G109" s="67">
        <v>12232928</v>
      </c>
      <c r="H109" s="24">
        <f t="shared" si="22"/>
        <v>3258396</v>
      </c>
      <c r="I109" s="25">
        <f t="shared" si="23"/>
        <v>0.36307141141175941</v>
      </c>
    </row>
    <row r="110" spans="1:9" x14ac:dyDescent="0.25">
      <c r="A110" s="63" t="s">
        <v>53</v>
      </c>
      <c r="B110" s="64">
        <v>998750</v>
      </c>
      <c r="C110" s="65">
        <v>931336</v>
      </c>
      <c r="D110" s="24">
        <f t="shared" si="20"/>
        <v>-67414</v>
      </c>
      <c r="E110" s="66">
        <f t="shared" si="21"/>
        <v>-6.7498372966207754E-2</v>
      </c>
      <c r="F110" s="20"/>
      <c r="G110" s="67">
        <v>931336</v>
      </c>
      <c r="H110" s="24">
        <f t="shared" si="22"/>
        <v>-67414</v>
      </c>
      <c r="I110" s="66">
        <f t="shared" si="23"/>
        <v>-6.7498372966207754E-2</v>
      </c>
    </row>
    <row r="111" spans="1:9" x14ac:dyDescent="0.25">
      <c r="A111" s="63" t="s">
        <v>65</v>
      </c>
      <c r="B111" s="64">
        <v>807328</v>
      </c>
      <c r="C111" s="65">
        <v>1448663</v>
      </c>
      <c r="D111" s="24">
        <f t="shared" si="20"/>
        <v>641335</v>
      </c>
      <c r="E111" s="25">
        <f t="shared" si="21"/>
        <v>0.79439211819731259</v>
      </c>
      <c r="F111" s="20"/>
      <c r="G111" s="67">
        <v>1448663</v>
      </c>
      <c r="H111" s="24">
        <f t="shared" si="22"/>
        <v>641335</v>
      </c>
      <c r="I111" s="25">
        <f t="shared" si="23"/>
        <v>0.79439211819731259</v>
      </c>
    </row>
    <row r="112" spans="1:9" ht="15.75" customHeight="1" thickBot="1" x14ac:dyDescent="0.3">
      <c r="A112" s="68" t="s">
        <v>54</v>
      </c>
      <c r="B112" s="69">
        <v>3000000</v>
      </c>
      <c r="C112" s="70">
        <v>0</v>
      </c>
      <c r="D112" s="71">
        <f t="shared" si="20"/>
        <v>-3000000</v>
      </c>
      <c r="E112" s="99">
        <f t="shared" si="21"/>
        <v>-1</v>
      </c>
      <c r="F112" s="72"/>
      <c r="G112" s="73">
        <v>0</v>
      </c>
      <c r="H112" s="71">
        <f t="shared" si="22"/>
        <v>-3000000</v>
      </c>
      <c r="I112" s="99">
        <f t="shared" si="23"/>
        <v>-1</v>
      </c>
    </row>
    <row r="113" spans="1:9" ht="15.75" customHeight="1" thickBot="1" x14ac:dyDescent="0.3">
      <c r="A113" s="93"/>
      <c r="B113" s="94"/>
      <c r="C113" s="95"/>
      <c r="D113" s="95"/>
      <c r="E113" s="95"/>
      <c r="F113" s="95"/>
      <c r="G113" s="95"/>
      <c r="H113" s="95"/>
      <c r="I113" s="96"/>
    </row>
    <row r="114" spans="1:9" x14ac:dyDescent="0.25">
      <c r="A114" s="56" t="s">
        <v>75</v>
      </c>
      <c r="B114" s="57">
        <f>SUM(B115:B119)</f>
        <v>51701350</v>
      </c>
      <c r="C114" s="58">
        <f>SUM(C115:C119)</f>
        <v>59836217</v>
      </c>
      <c r="D114" s="59">
        <f t="shared" ref="D114:D119" si="24">C114-$B114</f>
        <v>8134867</v>
      </c>
      <c r="E114" s="60">
        <f t="shared" ref="E114:E119" si="25">IF($B114&gt;0,D114/$B114, "")</f>
        <v>0.15734341559746506</v>
      </c>
      <c r="F114" s="61"/>
      <c r="G114" s="62">
        <f>SUM(G115:G119)</f>
        <v>63537010</v>
      </c>
      <c r="H114" s="59">
        <f t="shared" ref="H114:H119" si="26">G114-$B114</f>
        <v>11835660</v>
      </c>
      <c r="I114" s="60">
        <f t="shared" ref="I114:I119" si="27">IF($B114&gt;0,H114/$B114, "")</f>
        <v>0.22892361611447284</v>
      </c>
    </row>
    <row r="115" spans="1:9" x14ac:dyDescent="0.25">
      <c r="A115" s="63" t="s">
        <v>51</v>
      </c>
      <c r="B115" s="64">
        <v>39683252</v>
      </c>
      <c r="C115" s="65">
        <v>40716413</v>
      </c>
      <c r="D115" s="24">
        <f t="shared" si="24"/>
        <v>1033161</v>
      </c>
      <c r="E115" s="66">
        <f t="shared" si="25"/>
        <v>2.6035189857927975E-2</v>
      </c>
      <c r="F115" s="20"/>
      <c r="G115" s="67">
        <v>41172256</v>
      </c>
      <c r="H115" s="24">
        <f t="shared" si="26"/>
        <v>1489004</v>
      </c>
      <c r="I115" s="66">
        <f t="shared" si="27"/>
        <v>3.7522227261011773E-2</v>
      </c>
    </row>
    <row r="116" spans="1:9" x14ac:dyDescent="0.25">
      <c r="A116" s="63" t="s">
        <v>52</v>
      </c>
      <c r="B116" s="64">
        <v>6226751</v>
      </c>
      <c r="C116" s="65">
        <v>6209542</v>
      </c>
      <c r="D116" s="24">
        <f t="shared" si="24"/>
        <v>-17209</v>
      </c>
      <c r="E116" s="66">
        <f t="shared" si="25"/>
        <v>-2.7637205984308673E-3</v>
      </c>
      <c r="F116" s="20"/>
      <c r="G116" s="67">
        <v>6204492</v>
      </c>
      <c r="H116" s="24">
        <f t="shared" si="26"/>
        <v>-22259</v>
      </c>
      <c r="I116" s="25">
        <f t="shared" si="27"/>
        <v>-3.5747374513610711E-3</v>
      </c>
    </row>
    <row r="117" spans="1:9" x14ac:dyDescent="0.25">
      <c r="A117" s="63" t="s">
        <v>53</v>
      </c>
      <c r="B117" s="64">
        <v>882547</v>
      </c>
      <c r="C117" s="65">
        <v>906602</v>
      </c>
      <c r="D117" s="24">
        <f t="shared" si="24"/>
        <v>24055</v>
      </c>
      <c r="E117" s="66">
        <f t="shared" si="25"/>
        <v>2.7256338755896288E-2</v>
      </c>
      <c r="F117" s="20"/>
      <c r="G117" s="67">
        <v>906602</v>
      </c>
      <c r="H117" s="24">
        <f t="shared" si="26"/>
        <v>24055</v>
      </c>
      <c r="I117" s="66">
        <f t="shared" si="27"/>
        <v>2.7256338755896288E-2</v>
      </c>
    </row>
    <row r="118" spans="1:9" x14ac:dyDescent="0.25">
      <c r="A118" s="63" t="s">
        <v>65</v>
      </c>
      <c r="B118" s="64">
        <v>3158800</v>
      </c>
      <c r="C118" s="65">
        <v>2753660</v>
      </c>
      <c r="D118" s="24">
        <f t="shared" si="24"/>
        <v>-405140</v>
      </c>
      <c r="E118" s="25">
        <f t="shared" si="25"/>
        <v>-0.1282575661643662</v>
      </c>
      <c r="F118" s="20"/>
      <c r="G118" s="67">
        <v>2753660</v>
      </c>
      <c r="H118" s="24">
        <f t="shared" si="26"/>
        <v>-405140</v>
      </c>
      <c r="I118" s="25">
        <f t="shared" si="27"/>
        <v>-0.1282575661643662</v>
      </c>
    </row>
    <row r="119" spans="1:9" ht="15.75" customHeight="1" thickBot="1" x14ac:dyDescent="0.3">
      <c r="A119" s="68" t="s">
        <v>54</v>
      </c>
      <c r="B119" s="69">
        <v>1750000</v>
      </c>
      <c r="C119" s="70">
        <v>9250000</v>
      </c>
      <c r="D119" s="71">
        <f t="shared" si="24"/>
        <v>7500000</v>
      </c>
      <c r="E119" s="99">
        <f t="shared" si="25"/>
        <v>4.2857142857142856</v>
      </c>
      <c r="F119" s="72"/>
      <c r="G119" s="73">
        <v>12500000</v>
      </c>
      <c r="H119" s="71">
        <f t="shared" si="26"/>
        <v>10750000</v>
      </c>
      <c r="I119" s="99">
        <f t="shared" si="27"/>
        <v>6.1428571428571432</v>
      </c>
    </row>
    <row r="120" spans="1:9" ht="15.75" customHeight="1" thickBot="1" x14ac:dyDescent="0.3">
      <c r="A120" s="93"/>
      <c r="B120" s="94"/>
      <c r="C120" s="95"/>
      <c r="D120" s="95"/>
      <c r="E120" s="95"/>
      <c r="F120" s="95"/>
      <c r="G120" s="95"/>
      <c r="H120" s="95"/>
      <c r="I120" s="96"/>
    </row>
    <row r="121" spans="1:9" x14ac:dyDescent="0.25">
      <c r="A121" s="56" t="s">
        <v>76</v>
      </c>
      <c r="B121" s="57">
        <f>SUM(B122:B126)</f>
        <v>258531655</v>
      </c>
      <c r="C121" s="58">
        <f>SUM(C122:C126)</f>
        <v>273029539</v>
      </c>
      <c r="D121" s="59">
        <f t="shared" ref="D121:D126" si="28">C121-$B121</f>
        <v>14497884</v>
      </c>
      <c r="E121" s="60">
        <f t="shared" ref="E121:E126" si="29">IF($B121&gt;0,D121/$B121, "")</f>
        <v>5.6077790551412363E-2</v>
      </c>
      <c r="F121" s="61"/>
      <c r="G121" s="62">
        <f>SUM(G122:G126)</f>
        <v>276359572</v>
      </c>
      <c r="H121" s="59">
        <f t="shared" ref="H121:H126" si="30">G121-$B121</f>
        <v>17827917</v>
      </c>
      <c r="I121" s="60">
        <f t="shared" ref="I121:I126" si="31">IF($B121&gt;0,H121/$B121, "")</f>
        <v>6.8958352508129039E-2</v>
      </c>
    </row>
    <row r="122" spans="1:9" x14ac:dyDescent="0.25">
      <c r="A122" s="63" t="s">
        <v>51</v>
      </c>
      <c r="B122" s="64">
        <v>216256680</v>
      </c>
      <c r="C122" s="65">
        <v>225705691</v>
      </c>
      <c r="D122" s="24">
        <f t="shared" si="28"/>
        <v>9449011</v>
      </c>
      <c r="E122" s="66">
        <f t="shared" si="29"/>
        <v>4.3693498855156748E-2</v>
      </c>
      <c r="F122" s="20"/>
      <c r="G122" s="67">
        <v>228232189</v>
      </c>
      <c r="H122" s="24">
        <f t="shared" si="30"/>
        <v>11975509</v>
      </c>
      <c r="I122" s="66">
        <f t="shared" si="31"/>
        <v>5.5376365715038262E-2</v>
      </c>
    </row>
    <row r="123" spans="1:9" x14ac:dyDescent="0.25">
      <c r="A123" s="63" t="s">
        <v>52</v>
      </c>
      <c r="B123" s="64">
        <v>31558916</v>
      </c>
      <c r="C123" s="65">
        <v>30827379</v>
      </c>
      <c r="D123" s="24">
        <f t="shared" si="28"/>
        <v>-731537</v>
      </c>
      <c r="E123" s="66">
        <f t="shared" si="29"/>
        <v>-2.3180042052141463E-2</v>
      </c>
      <c r="F123" s="20"/>
      <c r="G123" s="67">
        <v>34630914</v>
      </c>
      <c r="H123" s="24">
        <f t="shared" si="30"/>
        <v>3071998</v>
      </c>
      <c r="I123" s="25">
        <f t="shared" si="31"/>
        <v>9.734168309203016E-2</v>
      </c>
    </row>
    <row r="124" spans="1:9" x14ac:dyDescent="0.25">
      <c r="A124" s="63" t="s">
        <v>53</v>
      </c>
      <c r="B124" s="64">
        <v>3047198</v>
      </c>
      <c r="C124" s="65">
        <v>3318653</v>
      </c>
      <c r="D124" s="24">
        <f t="shared" si="28"/>
        <v>271455</v>
      </c>
      <c r="E124" s="66">
        <f t="shared" si="29"/>
        <v>8.9083479314439037E-2</v>
      </c>
      <c r="F124" s="20"/>
      <c r="G124" s="67">
        <v>3318653</v>
      </c>
      <c r="H124" s="24">
        <f t="shared" si="30"/>
        <v>271455</v>
      </c>
      <c r="I124" s="66">
        <f t="shared" si="31"/>
        <v>8.9083479314439037E-2</v>
      </c>
    </row>
    <row r="125" spans="1:9" x14ac:dyDescent="0.25">
      <c r="A125" s="63" t="s">
        <v>65</v>
      </c>
      <c r="B125" s="64">
        <v>7668861</v>
      </c>
      <c r="C125" s="65">
        <v>10177816</v>
      </c>
      <c r="D125" s="24">
        <f t="shared" si="28"/>
        <v>2508955</v>
      </c>
      <c r="E125" s="25">
        <f t="shared" si="29"/>
        <v>0.32716136072879665</v>
      </c>
      <c r="F125" s="20"/>
      <c r="G125" s="67">
        <v>10177816</v>
      </c>
      <c r="H125" s="24">
        <f t="shared" si="30"/>
        <v>2508955</v>
      </c>
      <c r="I125" s="25">
        <f t="shared" si="31"/>
        <v>0.32716136072879665</v>
      </c>
    </row>
    <row r="126" spans="1:9" ht="15.75" customHeight="1" thickBot="1" x14ac:dyDescent="0.3">
      <c r="A126" s="68" t="s">
        <v>54</v>
      </c>
      <c r="B126" s="69">
        <v>0</v>
      </c>
      <c r="C126" s="70">
        <v>3000000</v>
      </c>
      <c r="D126" s="71">
        <f t="shared" si="28"/>
        <v>3000000</v>
      </c>
      <c r="E126" s="99" t="str">
        <f t="shared" si="29"/>
        <v/>
      </c>
      <c r="F126" s="72"/>
      <c r="G126" s="73">
        <v>0</v>
      </c>
      <c r="H126" s="71">
        <f t="shared" si="30"/>
        <v>0</v>
      </c>
      <c r="I126" s="99" t="str">
        <f t="shared" si="31"/>
        <v/>
      </c>
    </row>
    <row r="127" spans="1:9" ht="15.75" customHeight="1" thickBot="1" x14ac:dyDescent="0.3">
      <c r="A127" s="93"/>
      <c r="B127" s="94"/>
      <c r="C127" s="95"/>
      <c r="D127" s="95"/>
      <c r="E127" s="95"/>
      <c r="F127" s="95"/>
      <c r="G127" s="95"/>
      <c r="H127" s="95"/>
      <c r="I127" s="96"/>
    </row>
    <row r="128" spans="1:9" x14ac:dyDescent="0.25">
      <c r="A128" s="56" t="s">
        <v>77</v>
      </c>
      <c r="B128" s="57">
        <f>SUM(B129:B132)</f>
        <v>366200916</v>
      </c>
      <c r="C128" s="58">
        <f>SUM(C129:C132)</f>
        <v>366101025</v>
      </c>
      <c r="D128" s="59">
        <f t="shared" ref="D128:D133" si="32">C128-$B128</f>
        <v>-99891</v>
      </c>
      <c r="E128" s="60">
        <f t="shared" ref="E128:E133" si="33">IF($B128&gt;0,D128/$B128, "")</f>
        <v>-2.7277648863117536E-4</v>
      </c>
      <c r="F128" s="61"/>
      <c r="G128" s="62">
        <f>SUM(G129:G132)</f>
        <v>351034912</v>
      </c>
      <c r="H128" s="59">
        <f t="shared" ref="H128:H133" si="34">G128-$B128</f>
        <v>-15166004</v>
      </c>
      <c r="I128" s="60">
        <f t="shared" ref="I128:I133" si="35">IF($B128&gt;0,H128/$B128, "")</f>
        <v>-4.1414434910916495E-2</v>
      </c>
    </row>
    <row r="129" spans="1:9" x14ac:dyDescent="0.25">
      <c r="A129" s="63" t="s">
        <v>78</v>
      </c>
      <c r="B129" s="64">
        <v>5202000</v>
      </c>
      <c r="C129" s="65">
        <v>5312000</v>
      </c>
      <c r="D129" s="24">
        <f t="shared" si="32"/>
        <v>110000</v>
      </c>
      <c r="E129" s="66">
        <f t="shared" si="33"/>
        <v>2.1145713187235678E-2</v>
      </c>
      <c r="F129" s="20"/>
      <c r="G129" s="67">
        <v>5421000</v>
      </c>
      <c r="H129" s="24">
        <f t="shared" si="34"/>
        <v>219000</v>
      </c>
      <c r="I129" s="66">
        <f t="shared" si="35"/>
        <v>4.2099192618223757E-2</v>
      </c>
    </row>
    <row r="130" spans="1:9" x14ac:dyDescent="0.25">
      <c r="A130" s="63" t="s">
        <v>79</v>
      </c>
      <c r="B130" s="64">
        <v>0</v>
      </c>
      <c r="C130" s="65">
        <v>0</v>
      </c>
      <c r="D130" s="24">
        <f t="shared" si="32"/>
        <v>0</v>
      </c>
      <c r="E130" s="66" t="str">
        <f t="shared" si="33"/>
        <v/>
      </c>
      <c r="F130" s="20"/>
      <c r="G130" s="67">
        <v>0</v>
      </c>
      <c r="H130" s="24">
        <f t="shared" si="34"/>
        <v>0</v>
      </c>
      <c r="I130" s="25" t="str">
        <f t="shared" si="35"/>
        <v/>
      </c>
    </row>
    <row r="131" spans="1:9" x14ac:dyDescent="0.25">
      <c r="A131" s="63" t="s">
        <v>80</v>
      </c>
      <c r="B131" s="64">
        <v>351182108</v>
      </c>
      <c r="C131" s="65">
        <v>350972217</v>
      </c>
      <c r="D131" s="24">
        <f t="shared" si="32"/>
        <v>-209891</v>
      </c>
      <c r="E131" s="66">
        <f t="shared" si="33"/>
        <v>-5.9766997013412765E-4</v>
      </c>
      <c r="F131" s="20"/>
      <c r="G131" s="67">
        <v>335797104</v>
      </c>
      <c r="H131" s="24">
        <f t="shared" si="34"/>
        <v>-15385004</v>
      </c>
      <c r="I131" s="66">
        <f t="shared" si="35"/>
        <v>-4.3809190871421044E-2</v>
      </c>
    </row>
    <row r="132" spans="1:9" ht="15.75" customHeight="1" thickBot="1" x14ac:dyDescent="0.3">
      <c r="A132" s="68" t="s">
        <v>81</v>
      </c>
      <c r="B132" s="69">
        <v>9816808</v>
      </c>
      <c r="C132" s="70">
        <v>9816808</v>
      </c>
      <c r="D132" s="71">
        <f t="shared" si="32"/>
        <v>0</v>
      </c>
      <c r="E132" s="100">
        <f t="shared" si="33"/>
        <v>0</v>
      </c>
      <c r="F132" s="72"/>
      <c r="G132" s="73">
        <v>9816808</v>
      </c>
      <c r="H132" s="71">
        <f t="shared" si="34"/>
        <v>0</v>
      </c>
      <c r="I132" s="100">
        <f t="shared" si="35"/>
        <v>0</v>
      </c>
    </row>
    <row r="133" spans="1:9" ht="15.75" customHeight="1" thickBot="1" x14ac:dyDescent="0.3">
      <c r="A133" s="101" t="s">
        <v>47</v>
      </c>
      <c r="B133" s="102">
        <f>SUM(B56,B86,B93,B100,B107,B114,B121,B128)</f>
        <v>1961665755</v>
      </c>
      <c r="C133" s="103">
        <f>SUM(C56,C86,C93,C100,C107,C114,C121,C128)</f>
        <v>1989207458</v>
      </c>
      <c r="D133" s="104">
        <f t="shared" si="32"/>
        <v>27541703</v>
      </c>
      <c r="E133" s="105">
        <f t="shared" si="33"/>
        <v>1.4039957077193306E-2</v>
      </c>
      <c r="F133" s="106"/>
      <c r="G133" s="103">
        <f>SUM(G56,G86,G93,G100,G107,G114,G121,G128)</f>
        <v>2023483246</v>
      </c>
      <c r="H133" s="104">
        <f t="shared" si="34"/>
        <v>61817491</v>
      </c>
      <c r="I133" s="105">
        <f t="shared" si="35"/>
        <v>3.151275432241004E-2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C3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9" width="13.28515625" style="1" customWidth="1"/>
    <col min="20" max="29" width="8.7109375" style="1" customWidth="1"/>
  </cols>
  <sheetData>
    <row r="1" spans="1:29" ht="15.75" customHeight="1" x14ac:dyDescent="0.25">
      <c r="A1" s="13" t="s">
        <v>82</v>
      </c>
      <c r="B1" s="13"/>
      <c r="C1" s="13"/>
      <c r="D1" s="1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5" t="s">
        <v>83</v>
      </c>
    </row>
    <row r="5" spans="1:29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5.75" customHeight="1" x14ac:dyDescent="0.25">
      <c r="A6" s="450"/>
      <c r="B6" s="453" t="s">
        <v>84</v>
      </c>
      <c r="C6" s="454"/>
      <c r="D6" s="454"/>
      <c r="E6" s="454"/>
      <c r="F6" s="454"/>
      <c r="G6" s="455"/>
      <c r="H6" s="456" t="s">
        <v>85</v>
      </c>
      <c r="I6" s="457"/>
      <c r="J6" s="457"/>
      <c r="K6" s="458"/>
      <c r="L6" s="459" t="s">
        <v>86</v>
      </c>
      <c r="M6" s="460"/>
      <c r="N6" s="461"/>
      <c r="O6" s="462" t="s">
        <v>87</v>
      </c>
      <c r="P6" s="463"/>
      <c r="Q6" s="463"/>
      <c r="R6" s="463"/>
      <c r="S6" s="464"/>
      <c r="T6" s="447" t="s">
        <v>88</v>
      </c>
      <c r="U6" s="448"/>
      <c r="V6" s="448"/>
      <c r="W6" s="448"/>
      <c r="X6" s="448"/>
      <c r="Y6" s="449"/>
      <c r="Z6" s="430" t="s">
        <v>89</v>
      </c>
      <c r="AA6" s="431"/>
      <c r="AB6" s="431"/>
      <c r="AC6" s="432"/>
    </row>
    <row r="7" spans="1:29" ht="15" customHeight="1" x14ac:dyDescent="0.25">
      <c r="A7" s="451"/>
      <c r="B7" s="465" t="s">
        <v>90</v>
      </c>
      <c r="C7" s="466"/>
      <c r="D7" s="466"/>
      <c r="E7" s="466"/>
      <c r="F7" s="466"/>
      <c r="G7" s="467"/>
      <c r="H7" s="468" t="s">
        <v>90</v>
      </c>
      <c r="I7" s="469"/>
      <c r="J7" s="469"/>
      <c r="K7" s="470"/>
      <c r="L7" s="471" t="s">
        <v>90</v>
      </c>
      <c r="M7" s="472"/>
      <c r="N7" s="473"/>
      <c r="O7" s="474" t="s">
        <v>90</v>
      </c>
      <c r="P7" s="475"/>
      <c r="Q7" s="475"/>
      <c r="R7" s="475"/>
      <c r="S7" s="476"/>
      <c r="T7" s="441" t="s">
        <v>91</v>
      </c>
      <c r="U7" s="442"/>
      <c r="V7" s="442"/>
      <c r="W7" s="442"/>
      <c r="X7" s="442"/>
      <c r="Y7" s="443"/>
      <c r="Z7" s="444" t="s">
        <v>91</v>
      </c>
      <c r="AA7" s="445"/>
      <c r="AB7" s="445"/>
      <c r="AC7" s="446"/>
    </row>
    <row r="8" spans="1:29" ht="16.5" customHeight="1" thickBot="1" x14ac:dyDescent="0.3">
      <c r="A8" s="452"/>
      <c r="B8" s="107" t="s">
        <v>92</v>
      </c>
      <c r="C8" s="108" t="s">
        <v>93</v>
      </c>
      <c r="D8" s="109" t="s">
        <v>94</v>
      </c>
      <c r="E8" s="110" t="s">
        <v>95</v>
      </c>
      <c r="F8" s="110" t="s">
        <v>96</v>
      </c>
      <c r="G8" s="111" t="s">
        <v>97</v>
      </c>
      <c r="H8" s="112" t="s">
        <v>92</v>
      </c>
      <c r="I8" s="113" t="s">
        <v>93</v>
      </c>
      <c r="J8" s="114" t="s">
        <v>94</v>
      </c>
      <c r="K8" s="115" t="s">
        <v>95</v>
      </c>
      <c r="L8" s="116" t="s">
        <v>95</v>
      </c>
      <c r="M8" s="117" t="s">
        <v>96</v>
      </c>
      <c r="N8" s="118" t="s">
        <v>97</v>
      </c>
      <c r="O8" s="119" t="s">
        <v>98</v>
      </c>
      <c r="P8" s="120" t="s">
        <v>99</v>
      </c>
      <c r="Q8" s="120" t="s">
        <v>100</v>
      </c>
      <c r="R8" s="120" t="s">
        <v>101</v>
      </c>
      <c r="S8" s="121" t="s">
        <v>102</v>
      </c>
      <c r="T8" s="433" t="s">
        <v>103</v>
      </c>
      <c r="U8" s="434"/>
      <c r="V8" s="435" t="s">
        <v>104</v>
      </c>
      <c r="W8" s="434"/>
      <c r="X8" s="435" t="s">
        <v>105</v>
      </c>
      <c r="Y8" s="436"/>
      <c r="Z8" s="437" t="s">
        <v>106</v>
      </c>
      <c r="AA8" s="438"/>
      <c r="AB8" s="439" t="s">
        <v>107</v>
      </c>
      <c r="AC8" s="440"/>
    </row>
    <row r="9" spans="1:29" x14ac:dyDescent="0.25">
      <c r="A9" s="122" t="s">
        <v>50</v>
      </c>
      <c r="B9" s="123"/>
      <c r="C9" s="124"/>
      <c r="D9" s="124"/>
      <c r="E9" s="124">
        <v>349</v>
      </c>
      <c r="F9" s="124">
        <v>-52</v>
      </c>
      <c r="G9" s="125">
        <v>7</v>
      </c>
      <c r="H9" s="123"/>
      <c r="I9" s="124"/>
      <c r="J9" s="124"/>
      <c r="K9" s="125">
        <v>288</v>
      </c>
      <c r="L9" s="123">
        <v>215</v>
      </c>
      <c r="M9" s="126">
        <v>-2</v>
      </c>
      <c r="N9" s="125">
        <v>5</v>
      </c>
      <c r="O9" s="123"/>
      <c r="P9" s="124"/>
      <c r="Q9" s="124"/>
      <c r="R9" s="124"/>
      <c r="S9" s="125"/>
      <c r="T9" s="127"/>
      <c r="U9" s="126"/>
      <c r="V9" s="128"/>
      <c r="W9" s="126"/>
      <c r="X9" s="128"/>
      <c r="Y9" s="125"/>
      <c r="Z9" s="127"/>
      <c r="AA9" s="126"/>
      <c r="AB9" s="128">
        <v>7.2797000000000001E-2</v>
      </c>
      <c r="AC9" s="125">
        <v>332</v>
      </c>
    </row>
    <row r="10" spans="1:29" x14ac:dyDescent="0.25">
      <c r="A10" s="122" t="s">
        <v>55</v>
      </c>
      <c r="B10" s="129"/>
      <c r="C10" s="130"/>
      <c r="D10" s="130"/>
      <c r="E10" s="130">
        <v>152</v>
      </c>
      <c r="F10" s="130">
        <v>19</v>
      </c>
      <c r="G10" s="125">
        <v>0</v>
      </c>
      <c r="H10" s="129"/>
      <c r="I10" s="130"/>
      <c r="J10" s="130"/>
      <c r="K10" s="125">
        <v>79</v>
      </c>
      <c r="L10" s="129"/>
      <c r="M10" s="131"/>
      <c r="N10" s="125"/>
      <c r="O10" s="129"/>
      <c r="P10" s="130"/>
      <c r="Q10" s="130">
        <v>37</v>
      </c>
      <c r="R10" s="130"/>
      <c r="S10" s="125">
        <v>46</v>
      </c>
      <c r="T10" s="127"/>
      <c r="U10" s="131"/>
      <c r="V10" s="128"/>
      <c r="W10" s="131"/>
      <c r="X10" s="128"/>
      <c r="Y10" s="125"/>
      <c r="Z10" s="127"/>
      <c r="AA10" s="131"/>
      <c r="AB10" s="128">
        <v>5.8338000000000001E-2</v>
      </c>
      <c r="AC10" s="125">
        <v>19</v>
      </c>
    </row>
    <row r="11" spans="1:29" x14ac:dyDescent="0.25">
      <c r="A11" s="122" t="s">
        <v>56</v>
      </c>
      <c r="B11" s="129"/>
      <c r="C11" s="130"/>
      <c r="D11" s="130"/>
      <c r="E11" s="130">
        <v>118</v>
      </c>
      <c r="F11" s="130">
        <v>-6</v>
      </c>
      <c r="G11" s="125">
        <v>0</v>
      </c>
      <c r="H11" s="129"/>
      <c r="I11" s="130"/>
      <c r="J11" s="130"/>
      <c r="K11" s="125">
        <v>83</v>
      </c>
      <c r="L11" s="129"/>
      <c r="M11" s="131"/>
      <c r="N11" s="125"/>
      <c r="O11" s="129"/>
      <c r="P11" s="130"/>
      <c r="Q11" s="130">
        <v>147</v>
      </c>
      <c r="R11" s="130"/>
      <c r="S11" s="125">
        <v>112</v>
      </c>
      <c r="T11" s="127"/>
      <c r="U11" s="131"/>
      <c r="V11" s="128"/>
      <c r="W11" s="131"/>
      <c r="X11" s="128"/>
      <c r="Y11" s="125"/>
      <c r="Z11" s="127"/>
      <c r="AA11" s="131"/>
      <c r="AB11" s="128">
        <v>7.7606999999999995E-2</v>
      </c>
      <c r="AC11" s="125">
        <v>28</v>
      </c>
    </row>
    <row r="12" spans="1:29" x14ac:dyDescent="0.25">
      <c r="A12" s="122" t="s">
        <v>57</v>
      </c>
      <c r="B12" s="129"/>
      <c r="C12" s="130"/>
      <c r="D12" s="130"/>
      <c r="E12" s="130">
        <v>81</v>
      </c>
      <c r="F12" s="130">
        <v>-20</v>
      </c>
      <c r="G12" s="125">
        <v>0</v>
      </c>
      <c r="H12" s="129"/>
      <c r="I12" s="130"/>
      <c r="J12" s="130"/>
      <c r="K12" s="125">
        <v>49</v>
      </c>
      <c r="L12" s="129"/>
      <c r="M12" s="131"/>
      <c r="N12" s="125"/>
      <c r="O12" s="129"/>
      <c r="P12" s="130"/>
      <c r="Q12" s="130">
        <v>4</v>
      </c>
      <c r="R12" s="130"/>
      <c r="S12" s="125">
        <v>1</v>
      </c>
      <c r="T12" s="127"/>
      <c r="U12" s="131"/>
      <c r="V12" s="128"/>
      <c r="W12" s="131"/>
      <c r="X12" s="128"/>
      <c r="Y12" s="125"/>
      <c r="Z12" s="127"/>
      <c r="AA12" s="131"/>
      <c r="AB12" s="128">
        <v>7.0740000000000004E-3</v>
      </c>
      <c r="AC12" s="125">
        <v>5</v>
      </c>
    </row>
    <row r="13" spans="1:29" x14ac:dyDescent="0.25">
      <c r="A13" s="122" t="s">
        <v>58</v>
      </c>
      <c r="B13" s="129"/>
      <c r="C13" s="130"/>
      <c r="D13" s="130"/>
      <c r="E13" s="130">
        <v>346</v>
      </c>
      <c r="F13" s="130">
        <v>-137</v>
      </c>
      <c r="G13" s="125">
        <v>8</v>
      </c>
      <c r="H13" s="129"/>
      <c r="I13" s="130"/>
      <c r="J13" s="130"/>
      <c r="K13" s="125">
        <v>431</v>
      </c>
      <c r="L13" s="129">
        <v>98</v>
      </c>
      <c r="M13" s="131">
        <v>-13</v>
      </c>
      <c r="N13" s="125">
        <v>1</v>
      </c>
      <c r="O13" s="129"/>
      <c r="P13" s="130"/>
      <c r="Q13" s="130"/>
      <c r="R13" s="130"/>
      <c r="S13" s="125"/>
      <c r="T13" s="127"/>
      <c r="U13" s="131"/>
      <c r="V13" s="128"/>
      <c r="W13" s="131"/>
      <c r="X13" s="128"/>
      <c r="Y13" s="125"/>
      <c r="Z13" s="127"/>
      <c r="AA13" s="131"/>
      <c r="AB13" s="128">
        <v>4.0159E-2</v>
      </c>
      <c r="AC13" s="125">
        <v>97</v>
      </c>
    </row>
    <row r="14" spans="1:29" x14ac:dyDescent="0.25">
      <c r="A14" s="122" t="s">
        <v>59</v>
      </c>
      <c r="B14" s="129"/>
      <c r="C14" s="130"/>
      <c r="D14" s="130"/>
      <c r="E14" s="130">
        <v>156</v>
      </c>
      <c r="F14" s="130">
        <v>-50</v>
      </c>
      <c r="G14" s="125">
        <v>0</v>
      </c>
      <c r="H14" s="129"/>
      <c r="I14" s="130"/>
      <c r="J14" s="130"/>
      <c r="K14" s="125">
        <v>129</v>
      </c>
      <c r="L14" s="129"/>
      <c r="M14" s="131"/>
      <c r="N14" s="125"/>
      <c r="O14" s="129"/>
      <c r="P14" s="130"/>
      <c r="Q14" s="130">
        <v>-16</v>
      </c>
      <c r="R14" s="130"/>
      <c r="S14" s="125">
        <v>-38</v>
      </c>
      <c r="T14" s="127"/>
      <c r="U14" s="131"/>
      <c r="V14" s="128"/>
      <c r="W14" s="131"/>
      <c r="X14" s="128"/>
      <c r="Y14" s="125"/>
      <c r="Z14" s="127"/>
      <c r="AA14" s="131"/>
      <c r="AB14" s="128">
        <v>2.1415E-2</v>
      </c>
      <c r="AC14" s="125">
        <v>18</v>
      </c>
    </row>
    <row r="15" spans="1:29" x14ac:dyDescent="0.25">
      <c r="A15" s="122" t="s">
        <v>60</v>
      </c>
      <c r="B15" s="129"/>
      <c r="C15" s="130"/>
      <c r="D15" s="130"/>
      <c r="E15" s="130">
        <v>93</v>
      </c>
      <c r="F15" s="130">
        <v>-35</v>
      </c>
      <c r="G15" s="125">
        <v>0</v>
      </c>
      <c r="H15" s="129"/>
      <c r="I15" s="130"/>
      <c r="J15" s="130"/>
      <c r="K15" s="125">
        <v>88</v>
      </c>
      <c r="L15" s="129"/>
      <c r="M15" s="131"/>
      <c r="N15" s="125"/>
      <c r="O15" s="129"/>
      <c r="P15" s="130"/>
      <c r="Q15" s="130">
        <v>62</v>
      </c>
      <c r="R15" s="130"/>
      <c r="S15" s="125">
        <v>-23</v>
      </c>
      <c r="T15" s="127"/>
      <c r="U15" s="131"/>
      <c r="V15" s="128"/>
      <c r="W15" s="131"/>
      <c r="X15" s="128"/>
      <c r="Y15" s="125"/>
      <c r="Z15" s="127"/>
      <c r="AA15" s="131"/>
      <c r="AB15" s="128">
        <v>3.4344E-2</v>
      </c>
      <c r="AC15" s="125">
        <v>25</v>
      </c>
    </row>
    <row r="16" spans="1:29" x14ac:dyDescent="0.25">
      <c r="A16" s="122" t="s">
        <v>66</v>
      </c>
      <c r="B16" s="129"/>
      <c r="C16" s="130"/>
      <c r="D16" s="130"/>
      <c r="E16" s="130">
        <v>-348</v>
      </c>
      <c r="F16" s="130">
        <v>32</v>
      </c>
      <c r="G16" s="125">
        <v>11</v>
      </c>
      <c r="H16" s="129"/>
      <c r="I16" s="130"/>
      <c r="J16" s="130"/>
      <c r="K16" s="125">
        <v>57</v>
      </c>
      <c r="L16" s="129">
        <v>-85</v>
      </c>
      <c r="M16" s="131">
        <v>30</v>
      </c>
      <c r="N16" s="125">
        <v>15</v>
      </c>
      <c r="O16" s="129"/>
      <c r="P16" s="130"/>
      <c r="Q16" s="130"/>
      <c r="R16" s="130"/>
      <c r="S16" s="125"/>
      <c r="T16" s="127"/>
      <c r="U16" s="131"/>
      <c r="V16" s="128"/>
      <c r="W16" s="131"/>
      <c r="X16" s="128"/>
      <c r="Y16" s="125"/>
      <c r="Z16" s="127"/>
      <c r="AA16" s="131"/>
      <c r="AB16" s="128">
        <v>6.1494E-2</v>
      </c>
      <c r="AC16" s="125">
        <v>229</v>
      </c>
    </row>
    <row r="17" spans="1:29" x14ac:dyDescent="0.25">
      <c r="A17" s="122" t="s">
        <v>67</v>
      </c>
      <c r="B17" s="129"/>
      <c r="C17" s="130"/>
      <c r="D17" s="130"/>
      <c r="E17" s="130">
        <v>305</v>
      </c>
      <c r="F17" s="130">
        <v>132</v>
      </c>
      <c r="G17" s="125">
        <v>0</v>
      </c>
      <c r="H17" s="129"/>
      <c r="I17" s="130"/>
      <c r="J17" s="130"/>
      <c r="K17" s="125">
        <v>107</v>
      </c>
      <c r="L17" s="129"/>
      <c r="M17" s="131"/>
      <c r="N17" s="125"/>
      <c r="O17" s="129"/>
      <c r="P17" s="130"/>
      <c r="Q17" s="130">
        <v>-233</v>
      </c>
      <c r="R17" s="130"/>
      <c r="S17" s="125">
        <v>-1416</v>
      </c>
      <c r="T17" s="127"/>
      <c r="U17" s="131"/>
      <c r="V17" s="128"/>
      <c r="W17" s="131"/>
      <c r="X17" s="128"/>
      <c r="Y17" s="125"/>
      <c r="Z17" s="127"/>
      <c r="AA17" s="131"/>
      <c r="AB17" s="128">
        <v>3.3515000000000003E-2</v>
      </c>
      <c r="AC17" s="125">
        <v>44</v>
      </c>
    </row>
    <row r="18" spans="1:29" x14ac:dyDescent="0.25">
      <c r="A18" s="122" t="s">
        <v>68</v>
      </c>
      <c r="B18" s="129"/>
      <c r="C18" s="130"/>
      <c r="D18" s="130"/>
      <c r="E18" s="130">
        <v>173</v>
      </c>
      <c r="F18" s="130">
        <v>-22</v>
      </c>
      <c r="G18" s="125">
        <v>0</v>
      </c>
      <c r="H18" s="129"/>
      <c r="I18" s="130"/>
      <c r="J18" s="130"/>
      <c r="K18" s="125">
        <v>143</v>
      </c>
      <c r="L18" s="129"/>
      <c r="M18" s="131"/>
      <c r="N18" s="125"/>
      <c r="O18" s="129"/>
      <c r="P18" s="130"/>
      <c r="Q18" s="130">
        <v>-405</v>
      </c>
      <c r="R18" s="130"/>
      <c r="S18" s="125">
        <v>-153</v>
      </c>
      <c r="T18" s="127"/>
      <c r="U18" s="131"/>
      <c r="V18" s="128"/>
      <c r="W18" s="131"/>
      <c r="X18" s="128"/>
      <c r="Y18" s="125"/>
      <c r="Z18" s="127"/>
      <c r="AA18" s="131"/>
      <c r="AB18" s="128">
        <v>3.9009000000000002E-2</v>
      </c>
      <c r="AC18" s="125">
        <v>42</v>
      </c>
    </row>
    <row r="19" spans="1:29" x14ac:dyDescent="0.25">
      <c r="A19" s="122" t="s">
        <v>72</v>
      </c>
      <c r="B19" s="129"/>
      <c r="C19" s="130"/>
      <c r="D19" s="130"/>
      <c r="E19" s="130">
        <v>487</v>
      </c>
      <c r="F19" s="130">
        <v>115</v>
      </c>
      <c r="G19" s="125">
        <v>10</v>
      </c>
      <c r="H19" s="129"/>
      <c r="I19" s="130"/>
      <c r="J19" s="130"/>
      <c r="K19" s="125">
        <v>220</v>
      </c>
      <c r="L19" s="129">
        <v>79</v>
      </c>
      <c r="M19" s="131">
        <v>-7</v>
      </c>
      <c r="N19" s="125">
        <v>-1</v>
      </c>
      <c r="O19" s="129"/>
      <c r="P19" s="130"/>
      <c r="Q19" s="130"/>
      <c r="R19" s="130"/>
      <c r="S19" s="125"/>
      <c r="T19" s="127"/>
      <c r="U19" s="131"/>
      <c r="V19" s="128"/>
      <c r="W19" s="131"/>
      <c r="X19" s="128"/>
      <c r="Y19" s="125"/>
      <c r="Z19" s="127"/>
      <c r="AA19" s="131"/>
      <c r="AB19" s="128">
        <v>9.6449999999999994E-2</v>
      </c>
      <c r="AC19" s="125">
        <v>315</v>
      </c>
    </row>
    <row r="20" spans="1:29" x14ac:dyDescent="0.25">
      <c r="A20" s="122" t="s">
        <v>73</v>
      </c>
      <c r="B20" s="129"/>
      <c r="C20" s="130"/>
      <c r="D20" s="130"/>
      <c r="E20" s="130">
        <v>174</v>
      </c>
      <c r="F20" s="130">
        <v>31</v>
      </c>
      <c r="G20" s="125">
        <v>3</v>
      </c>
      <c r="H20" s="129"/>
      <c r="I20" s="130"/>
      <c r="J20" s="130"/>
      <c r="K20" s="125">
        <v>97</v>
      </c>
      <c r="L20" s="129"/>
      <c r="M20" s="131"/>
      <c r="N20" s="125"/>
      <c r="O20" s="129"/>
      <c r="P20" s="130"/>
      <c r="Q20" s="130">
        <v>376</v>
      </c>
      <c r="R20" s="130"/>
      <c r="S20" s="125">
        <v>306</v>
      </c>
      <c r="T20" s="127"/>
      <c r="U20" s="131"/>
      <c r="V20" s="128"/>
      <c r="W20" s="131"/>
      <c r="X20" s="128"/>
      <c r="Y20" s="125"/>
      <c r="Z20" s="127"/>
      <c r="AA20" s="131"/>
      <c r="AB20" s="128">
        <v>2.8089999999999999E-3</v>
      </c>
      <c r="AC20" s="125">
        <v>6</v>
      </c>
    </row>
    <row r="21" spans="1:29" x14ac:dyDescent="0.25">
      <c r="A21" s="122" t="s">
        <v>74</v>
      </c>
      <c r="B21" s="129"/>
      <c r="C21" s="130"/>
      <c r="D21" s="130"/>
      <c r="E21" s="130">
        <v>132</v>
      </c>
      <c r="F21" s="130">
        <v>50</v>
      </c>
      <c r="G21" s="125">
        <v>4</v>
      </c>
      <c r="H21" s="129"/>
      <c r="I21" s="130"/>
      <c r="J21" s="130"/>
      <c r="K21" s="125">
        <v>27</v>
      </c>
      <c r="L21" s="129"/>
      <c r="M21" s="131"/>
      <c r="N21" s="125"/>
      <c r="O21" s="129"/>
      <c r="P21" s="130"/>
      <c r="Q21" s="130">
        <v>-14</v>
      </c>
      <c r="R21" s="130"/>
      <c r="S21" s="125">
        <v>-8</v>
      </c>
      <c r="T21" s="127"/>
      <c r="U21" s="131"/>
      <c r="V21" s="128"/>
      <c r="W21" s="131"/>
      <c r="X21" s="128"/>
      <c r="Y21" s="125"/>
      <c r="Z21" s="127"/>
      <c r="AA21" s="131"/>
      <c r="AB21" s="128">
        <v>3.4457000000000002E-2</v>
      </c>
      <c r="AC21" s="125">
        <v>63</v>
      </c>
    </row>
    <row r="22" spans="1:29" x14ac:dyDescent="0.25">
      <c r="A22" s="122" t="s">
        <v>75</v>
      </c>
      <c r="B22" s="129">
        <v>0</v>
      </c>
      <c r="C22" s="130">
        <v>410</v>
      </c>
      <c r="D22" s="130">
        <v>358</v>
      </c>
      <c r="E22" s="130">
        <v>30</v>
      </c>
      <c r="F22" s="130"/>
      <c r="G22" s="125"/>
      <c r="H22" s="129">
        <v>-5</v>
      </c>
      <c r="I22" s="130">
        <v>189</v>
      </c>
      <c r="J22" s="130">
        <v>143</v>
      </c>
      <c r="K22" s="125">
        <v>-3</v>
      </c>
      <c r="L22" s="129"/>
      <c r="M22" s="131"/>
      <c r="N22" s="125"/>
      <c r="O22" s="129">
        <v>-331</v>
      </c>
      <c r="P22" s="130">
        <v>-109</v>
      </c>
      <c r="Q22" s="130"/>
      <c r="R22" s="130">
        <v>-148</v>
      </c>
      <c r="S22" s="125"/>
      <c r="T22" s="127">
        <v>3.3577000000000003E-2</v>
      </c>
      <c r="U22" s="131">
        <v>20</v>
      </c>
      <c r="V22" s="128">
        <v>3.5881000000000003E-2</v>
      </c>
      <c r="W22" s="131">
        <v>11</v>
      </c>
      <c r="X22" s="128">
        <v>2.1503999999999999E-2</v>
      </c>
      <c r="Y22" s="125">
        <v>21</v>
      </c>
      <c r="Z22" s="127">
        <v>1.8497E-2</v>
      </c>
      <c r="AA22" s="131">
        <v>34</v>
      </c>
      <c r="AB22" s="128">
        <v>8.2157999999999995E-2</v>
      </c>
      <c r="AC22" s="125">
        <v>9</v>
      </c>
    </row>
    <row r="23" spans="1:29" ht="15.75" customHeight="1" thickBot="1" x14ac:dyDescent="0.3">
      <c r="A23" s="132" t="s">
        <v>76</v>
      </c>
      <c r="B23" s="133">
        <v>1150</v>
      </c>
      <c r="C23" s="134">
        <v>3387</v>
      </c>
      <c r="D23" s="134">
        <v>1729</v>
      </c>
      <c r="E23" s="134"/>
      <c r="F23" s="134"/>
      <c r="G23" s="135"/>
      <c r="H23" s="133">
        <v>716</v>
      </c>
      <c r="I23" s="134">
        <v>1946</v>
      </c>
      <c r="J23" s="134">
        <v>1491</v>
      </c>
      <c r="K23" s="135"/>
      <c r="L23" s="133"/>
      <c r="M23" s="136"/>
      <c r="N23" s="135"/>
      <c r="O23" s="133">
        <v>-7767</v>
      </c>
      <c r="P23" s="134">
        <v>-3391</v>
      </c>
      <c r="Q23" s="134"/>
      <c r="R23" s="134">
        <v>-986</v>
      </c>
      <c r="S23" s="135"/>
      <c r="T23" s="137">
        <v>1.9092000000000001E-2</v>
      </c>
      <c r="U23" s="136">
        <v>163</v>
      </c>
      <c r="V23" s="138">
        <v>1.2604000000000001E-2</v>
      </c>
      <c r="W23" s="136">
        <v>48</v>
      </c>
      <c r="X23" s="138">
        <v>4.5497000000000003E-2</v>
      </c>
      <c r="Y23" s="135">
        <v>279</v>
      </c>
      <c r="Z23" s="137">
        <v>1.7299999999999999E-2</v>
      </c>
      <c r="AA23" s="136">
        <v>127</v>
      </c>
      <c r="AB23" s="138"/>
      <c r="AC23" s="135"/>
    </row>
    <row r="26" spans="1:29" x14ac:dyDescent="0.25">
      <c r="A26" s="139" t="s">
        <v>108</v>
      </c>
    </row>
    <row r="27" spans="1:29" x14ac:dyDescent="0.25">
      <c r="A27" s="1" t="s">
        <v>109</v>
      </c>
    </row>
    <row r="28" spans="1:29" x14ac:dyDescent="0.25">
      <c r="A28" s="1" t="s">
        <v>110</v>
      </c>
    </row>
    <row r="29" spans="1:29" x14ac:dyDescent="0.25">
      <c r="A29" s="1" t="s">
        <v>111</v>
      </c>
    </row>
    <row r="30" spans="1:29" x14ac:dyDescent="0.25">
      <c r="A30" s="1" t="s">
        <v>112</v>
      </c>
    </row>
  </sheetData>
  <mergeCells count="18">
    <mergeCell ref="A6:A8"/>
    <mergeCell ref="B6:G6"/>
    <mergeCell ref="H6:K6"/>
    <mergeCell ref="L6:N6"/>
    <mergeCell ref="O6:S6"/>
    <mergeCell ref="B7:G7"/>
    <mergeCell ref="H7:K7"/>
    <mergeCell ref="L7:N7"/>
    <mergeCell ref="O7:S7"/>
    <mergeCell ref="Z6:AC6"/>
    <mergeCell ref="T8:U8"/>
    <mergeCell ref="V8:W8"/>
    <mergeCell ref="X8:Y8"/>
    <mergeCell ref="Z8:AA8"/>
    <mergeCell ref="AB8:AC8"/>
    <mergeCell ref="T7:Y7"/>
    <mergeCell ref="Z7:AC7"/>
    <mergeCell ref="T6:Y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4" max="20" man="1"/>
    <brk id="14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4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3" t="s">
        <v>113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114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18"/>
      <c r="B6" s="420" t="s">
        <v>115</v>
      </c>
      <c r="C6" s="482" t="s">
        <v>116</v>
      </c>
      <c r="D6" s="483"/>
      <c r="E6" s="484"/>
      <c r="F6" s="492" t="s">
        <v>3</v>
      </c>
      <c r="G6" s="493"/>
      <c r="H6" s="494"/>
      <c r="I6" s="493" t="s">
        <v>4</v>
      </c>
      <c r="J6" s="493"/>
      <c r="K6" s="494"/>
    </row>
    <row r="7" spans="1:11" x14ac:dyDescent="0.25">
      <c r="A7" s="481"/>
      <c r="B7" s="425"/>
      <c r="C7" s="488" t="s">
        <v>117</v>
      </c>
      <c r="D7" s="490" t="s">
        <v>118</v>
      </c>
      <c r="E7" s="498" t="s">
        <v>119</v>
      </c>
      <c r="F7" s="485" t="s">
        <v>120</v>
      </c>
      <c r="G7" s="486"/>
      <c r="H7" s="487"/>
      <c r="I7" s="485" t="s">
        <v>120</v>
      </c>
      <c r="J7" s="486"/>
      <c r="K7" s="487"/>
    </row>
    <row r="8" spans="1:11" ht="15.75" customHeight="1" thickBot="1" x14ac:dyDescent="0.3">
      <c r="A8" s="419"/>
      <c r="B8" s="421"/>
      <c r="C8" s="489"/>
      <c r="D8" s="491"/>
      <c r="E8" s="499"/>
      <c r="F8" s="495">
        <v>0.212063</v>
      </c>
      <c r="G8" s="496"/>
      <c r="H8" s="497"/>
      <c r="I8" s="496">
        <v>0.20319599999999999</v>
      </c>
      <c r="J8" s="496"/>
      <c r="K8" s="497"/>
    </row>
    <row r="9" spans="1:11" x14ac:dyDescent="0.25">
      <c r="A9" s="140" t="s">
        <v>84</v>
      </c>
      <c r="B9" s="141"/>
      <c r="C9" s="142"/>
      <c r="D9" s="143"/>
      <c r="E9" s="144"/>
      <c r="F9" s="145"/>
      <c r="G9" s="146"/>
      <c r="H9" s="147"/>
      <c r="I9" s="145"/>
      <c r="J9" s="146"/>
      <c r="K9" s="147"/>
    </row>
    <row r="10" spans="1:11" ht="15" customHeight="1" x14ac:dyDescent="0.25">
      <c r="A10" s="148" t="s">
        <v>92</v>
      </c>
      <c r="B10" s="149">
        <v>1150</v>
      </c>
      <c r="C10" s="67">
        <v>1500</v>
      </c>
      <c r="D10" s="150">
        <f t="shared" ref="D10:D15" si="0">B10*C10</f>
        <v>1725000</v>
      </c>
      <c r="E10" s="151">
        <f t="shared" ref="E10:E16" si="1">D10/C$44</f>
        <v>1.7162146969662298E-2</v>
      </c>
      <c r="F10" s="67">
        <f t="shared" ref="F10:F15" si="2">ROUND($C10-$C10*F$8, 0)</f>
        <v>1182</v>
      </c>
      <c r="G10" s="150">
        <f t="shared" ref="G10:G15" si="3">$B10*F10</f>
        <v>1359300</v>
      </c>
      <c r="H10" s="151">
        <f t="shared" ref="H10:H16" si="4">G10/F$44</f>
        <v>1.7163255642696499E-2</v>
      </c>
      <c r="I10" s="67">
        <f t="shared" ref="I10:I15" si="5">ROUND($C10-$C10*I$8, 0)</f>
        <v>1195</v>
      </c>
      <c r="J10" s="150">
        <f t="shared" ref="J10:J15" si="6">$B10*I10</f>
        <v>1374250</v>
      </c>
      <c r="K10" s="151">
        <f t="shared" ref="K10:K16" si="7">J10/I$44</f>
        <v>1.7159708128754461E-2</v>
      </c>
    </row>
    <row r="11" spans="1:11" ht="15" customHeight="1" x14ac:dyDescent="0.25">
      <c r="A11" s="148" t="s">
        <v>93</v>
      </c>
      <c r="B11" s="149">
        <v>3797</v>
      </c>
      <c r="C11" s="67">
        <v>2000</v>
      </c>
      <c r="D11" s="150">
        <f t="shared" si="0"/>
        <v>7594000</v>
      </c>
      <c r="E11" s="151">
        <f t="shared" si="1"/>
        <v>7.555324294934232E-2</v>
      </c>
      <c r="F11" s="67">
        <f t="shared" si="2"/>
        <v>1576</v>
      </c>
      <c r="G11" s="150">
        <f t="shared" si="3"/>
        <v>5984072</v>
      </c>
      <c r="H11" s="151">
        <f t="shared" si="4"/>
        <v>7.555812368152881E-2</v>
      </c>
      <c r="I11" s="67">
        <f t="shared" si="5"/>
        <v>1594</v>
      </c>
      <c r="J11" s="150">
        <f t="shared" si="6"/>
        <v>6052418</v>
      </c>
      <c r="K11" s="151">
        <f t="shared" si="7"/>
        <v>7.557411413732569E-2</v>
      </c>
    </row>
    <row r="12" spans="1:11" x14ac:dyDescent="0.25">
      <c r="A12" s="148" t="s">
        <v>94</v>
      </c>
      <c r="B12" s="149">
        <v>2087</v>
      </c>
      <c r="C12" s="67">
        <v>4000</v>
      </c>
      <c r="D12" s="150">
        <f t="shared" si="0"/>
        <v>8348000</v>
      </c>
      <c r="E12" s="151">
        <f t="shared" si="1"/>
        <v>8.3054842262458475E-2</v>
      </c>
      <c r="F12" s="67">
        <f t="shared" si="2"/>
        <v>3152</v>
      </c>
      <c r="G12" s="150">
        <f t="shared" si="3"/>
        <v>6578224</v>
      </c>
      <c r="H12" s="151">
        <f t="shared" si="4"/>
        <v>8.3060207597234995E-2</v>
      </c>
      <c r="I12" s="67">
        <f t="shared" si="5"/>
        <v>3187</v>
      </c>
      <c r="J12" s="150">
        <f t="shared" si="6"/>
        <v>6651269</v>
      </c>
      <c r="K12" s="151">
        <f t="shared" si="7"/>
        <v>8.3051726196712805E-2</v>
      </c>
    </row>
    <row r="13" spans="1:11" x14ac:dyDescent="0.25">
      <c r="A13" s="148" t="s">
        <v>95</v>
      </c>
      <c r="B13" s="149">
        <v>2596</v>
      </c>
      <c r="C13" s="67">
        <v>8000</v>
      </c>
      <c r="D13" s="150">
        <f t="shared" si="0"/>
        <v>20768000</v>
      </c>
      <c r="E13" s="151">
        <f t="shared" si="1"/>
        <v>0.20662230044402702</v>
      </c>
      <c r="F13" s="67">
        <f t="shared" si="2"/>
        <v>6303</v>
      </c>
      <c r="G13" s="150">
        <f t="shared" si="3"/>
        <v>16362588</v>
      </c>
      <c r="H13" s="151">
        <f t="shared" si="4"/>
        <v>0.20660286972715222</v>
      </c>
      <c r="I13" s="67">
        <f t="shared" si="5"/>
        <v>6374</v>
      </c>
      <c r="J13" s="150">
        <f t="shared" si="6"/>
        <v>16546904</v>
      </c>
      <c r="K13" s="151">
        <f t="shared" si="7"/>
        <v>0.20661454835329796</v>
      </c>
    </row>
    <row r="14" spans="1:11" x14ac:dyDescent="0.25">
      <c r="A14" s="148" t="s">
        <v>96</v>
      </c>
      <c r="B14" s="149">
        <v>379</v>
      </c>
      <c r="C14" s="67">
        <v>4000</v>
      </c>
      <c r="D14" s="150">
        <f t="shared" si="0"/>
        <v>1516000</v>
      </c>
      <c r="E14" s="151">
        <f t="shared" si="1"/>
        <v>1.5082791191888722E-2</v>
      </c>
      <c r="F14" s="67">
        <f t="shared" si="2"/>
        <v>3152</v>
      </c>
      <c r="G14" s="150">
        <f t="shared" si="3"/>
        <v>1194608</v>
      </c>
      <c r="H14" s="151">
        <f t="shared" si="4"/>
        <v>1.5083765538740806E-2</v>
      </c>
      <c r="I14" s="67">
        <f t="shared" si="5"/>
        <v>3187</v>
      </c>
      <c r="J14" s="150">
        <f t="shared" si="6"/>
        <v>1207873</v>
      </c>
      <c r="K14" s="151">
        <f t="shared" si="7"/>
        <v>1.508222531315484E-2</v>
      </c>
    </row>
    <row r="15" spans="1:11" ht="15.75" customHeight="1" thickBot="1" x14ac:dyDescent="0.3">
      <c r="A15" s="148" t="s">
        <v>97</v>
      </c>
      <c r="B15" s="149">
        <v>43</v>
      </c>
      <c r="C15" s="67">
        <v>2000</v>
      </c>
      <c r="D15" s="150">
        <f t="shared" si="0"/>
        <v>86000</v>
      </c>
      <c r="E15" s="151">
        <f t="shared" si="1"/>
        <v>8.5562008080635225E-4</v>
      </c>
      <c r="F15" s="67">
        <f t="shared" si="2"/>
        <v>1576</v>
      </c>
      <c r="G15" s="150">
        <f t="shared" si="3"/>
        <v>67768</v>
      </c>
      <c r="H15" s="151">
        <f t="shared" si="4"/>
        <v>8.5567535378081093E-4</v>
      </c>
      <c r="I15" s="67">
        <f t="shared" si="5"/>
        <v>1594</v>
      </c>
      <c r="J15" s="150">
        <f t="shared" si="6"/>
        <v>68542</v>
      </c>
      <c r="K15" s="151">
        <f t="shared" si="7"/>
        <v>8.5585644137608759E-4</v>
      </c>
    </row>
    <row r="16" spans="1:11" ht="16.5" customHeight="1" thickTop="1" thickBot="1" x14ac:dyDescent="0.3">
      <c r="A16" s="152"/>
      <c r="B16" s="153"/>
      <c r="C16" s="154"/>
      <c r="D16" s="155">
        <f>SUM(D10:D15)</f>
        <v>40037000</v>
      </c>
      <c r="E16" s="156">
        <f t="shared" si="1"/>
        <v>0.39833094389818519</v>
      </c>
      <c r="F16" s="154"/>
      <c r="G16" s="155">
        <f>SUM(G10:G15)</f>
        <v>31546560</v>
      </c>
      <c r="H16" s="156">
        <f t="shared" si="4"/>
        <v>0.39832389754113412</v>
      </c>
      <c r="I16" s="154"/>
      <c r="J16" s="155">
        <f>SUM(J10:J15)</f>
        <v>31901256</v>
      </c>
      <c r="K16" s="156">
        <f t="shared" si="7"/>
        <v>0.39833817857062187</v>
      </c>
    </row>
    <row r="17" spans="1:11" x14ac:dyDescent="0.25">
      <c r="A17" s="157" t="s">
        <v>85</v>
      </c>
      <c r="B17" s="141"/>
      <c r="C17" s="142"/>
      <c r="D17" s="143"/>
      <c r="E17" s="158"/>
      <c r="F17" s="145"/>
      <c r="G17" s="146"/>
      <c r="H17" s="158"/>
      <c r="I17" s="145"/>
      <c r="J17" s="146"/>
      <c r="K17" s="158"/>
    </row>
    <row r="18" spans="1:11" x14ac:dyDescent="0.25">
      <c r="A18" s="159" t="s">
        <v>92</v>
      </c>
      <c r="B18" s="149">
        <v>716</v>
      </c>
      <c r="C18" s="67">
        <v>1125</v>
      </c>
      <c r="D18" s="150">
        <f>B18*C18</f>
        <v>805500</v>
      </c>
      <c r="E18" s="151">
        <f>D18/C$44</f>
        <v>8.013976454529264E-3</v>
      </c>
      <c r="F18" s="67">
        <f>ROUND($C18-$C18*F$8, 0)</f>
        <v>886</v>
      </c>
      <c r="G18" s="150">
        <f>$B18*F18</f>
        <v>634376</v>
      </c>
      <c r="H18" s="151">
        <f>G18/F$44</f>
        <v>8.0099738553602844E-3</v>
      </c>
      <c r="I18" s="67">
        <f>ROUND($C18-$C18*I$8, 0)</f>
        <v>896</v>
      </c>
      <c r="J18" s="150">
        <f>$B18*I18</f>
        <v>641536</v>
      </c>
      <c r="K18" s="151">
        <f>J18/I$44</f>
        <v>8.0106025207121144E-3</v>
      </c>
    </row>
    <row r="19" spans="1:11" x14ac:dyDescent="0.25">
      <c r="A19" s="159" t="s">
        <v>93</v>
      </c>
      <c r="B19" s="149">
        <v>2135</v>
      </c>
      <c r="C19" s="67">
        <v>1500</v>
      </c>
      <c r="D19" s="150">
        <f>B19*C19</f>
        <v>3202500</v>
      </c>
      <c r="E19" s="151">
        <f>D19/C$44</f>
        <v>3.1861898939329572E-2</v>
      </c>
      <c r="F19" s="67">
        <f>ROUND($C19-$C19*F$8, 0)</f>
        <v>1182</v>
      </c>
      <c r="G19" s="150">
        <f>$B19*F19</f>
        <v>2523570</v>
      </c>
      <c r="H19" s="151">
        <f>G19/F$44</f>
        <v>3.186395721491915E-2</v>
      </c>
      <c r="I19" s="67">
        <f>ROUND($C19-$C19*I$8, 0)</f>
        <v>1195</v>
      </c>
      <c r="J19" s="150">
        <f>$B19*I19</f>
        <v>2551325</v>
      </c>
      <c r="K19" s="151">
        <f>J19/I$44</f>
        <v>3.1857371178165894E-2</v>
      </c>
    </row>
    <row r="20" spans="1:11" x14ac:dyDescent="0.25">
      <c r="A20" s="159" t="s">
        <v>94</v>
      </c>
      <c r="B20" s="149">
        <v>1634</v>
      </c>
      <c r="C20" s="67">
        <v>3000</v>
      </c>
      <c r="D20" s="150">
        <f>B20*C20</f>
        <v>4902000</v>
      </c>
      <c r="E20" s="151">
        <f>D20/C$44</f>
        <v>4.8770344605962079E-2</v>
      </c>
      <c r="F20" s="67">
        <f>ROUND($C20-$C20*F$8, 0)</f>
        <v>2364</v>
      </c>
      <c r="G20" s="150">
        <f>$B20*F20</f>
        <v>3862776</v>
      </c>
      <c r="H20" s="151">
        <f>G20/F$44</f>
        <v>4.877349516550622E-2</v>
      </c>
      <c r="I20" s="67">
        <f>ROUND($C20-$C20*I$8, 0)</f>
        <v>2390</v>
      </c>
      <c r="J20" s="150">
        <f>$B20*I20</f>
        <v>3905260</v>
      </c>
      <c r="K20" s="151">
        <f>J20/I$44</f>
        <v>4.8763414056321376E-2</v>
      </c>
    </row>
    <row r="21" spans="1:11" ht="15.75" customHeight="1" thickBot="1" x14ac:dyDescent="0.3">
      <c r="A21" s="159" t="s">
        <v>95</v>
      </c>
      <c r="B21" s="149">
        <v>1798</v>
      </c>
      <c r="C21" s="67">
        <v>6000</v>
      </c>
      <c r="D21" s="150">
        <f>B21*C21</f>
        <v>10788000</v>
      </c>
      <c r="E21" s="151">
        <f>D21/C$44</f>
        <v>0.10733057478766196</v>
      </c>
      <c r="F21" s="67">
        <f>ROUND($C21-$C21*F$8, 0)</f>
        <v>4728</v>
      </c>
      <c r="G21" s="150">
        <f>$B21*F21</f>
        <v>8500944</v>
      </c>
      <c r="H21" s="151">
        <f>G21/F$44</f>
        <v>0.10733750833241149</v>
      </c>
      <c r="I21" s="67">
        <f>ROUND($C21-$C21*I$8, 0)</f>
        <v>4781</v>
      </c>
      <c r="J21" s="150">
        <f>$B21*I21</f>
        <v>8596238</v>
      </c>
      <c r="K21" s="151">
        <f>J21/I$44</f>
        <v>0.10733777339298381</v>
      </c>
    </row>
    <row r="22" spans="1:11" ht="16.5" customHeight="1" thickTop="1" thickBot="1" x14ac:dyDescent="0.3">
      <c r="A22" s="160"/>
      <c r="B22" s="153"/>
      <c r="C22" s="154"/>
      <c r="D22" s="155">
        <f>SUM(D18:D21)</f>
        <v>19698000</v>
      </c>
      <c r="E22" s="156">
        <f>D22/C$44</f>
        <v>0.19597679478748287</v>
      </c>
      <c r="F22" s="154"/>
      <c r="G22" s="155">
        <f>SUM(G18:G21)</f>
        <v>15521666</v>
      </c>
      <c r="H22" s="156">
        <f>G22/F$44</f>
        <v>0.19598493456819716</v>
      </c>
      <c r="I22" s="154"/>
      <c r="J22" s="155">
        <f>SUM(J18:J21)</f>
        <v>15694359</v>
      </c>
      <c r="K22" s="156">
        <f>J22/I$44</f>
        <v>0.19596916114818319</v>
      </c>
    </row>
    <row r="23" spans="1:11" x14ac:dyDescent="0.25">
      <c r="A23" s="161" t="s">
        <v>86</v>
      </c>
      <c r="B23" s="141"/>
      <c r="C23" s="142"/>
      <c r="D23" s="143"/>
      <c r="E23" s="158"/>
      <c r="F23" s="145"/>
      <c r="G23" s="146"/>
      <c r="H23" s="158"/>
      <c r="I23" s="145"/>
      <c r="J23" s="146"/>
      <c r="K23" s="158"/>
    </row>
    <row r="24" spans="1:11" x14ac:dyDescent="0.25">
      <c r="A24" s="162" t="s">
        <v>95</v>
      </c>
      <c r="B24" s="149">
        <v>392</v>
      </c>
      <c r="C24" s="67">
        <v>20000</v>
      </c>
      <c r="D24" s="150">
        <f>B24*C24</f>
        <v>7840000</v>
      </c>
      <c r="E24" s="151">
        <f>D24/C$44</f>
        <v>7.8000714343276767E-2</v>
      </c>
      <c r="F24" s="67">
        <f>ROUND($C24-$C24*F$8, 0)</f>
        <v>15759</v>
      </c>
      <c r="G24" s="150">
        <f>$B24*F24</f>
        <v>6177528</v>
      </c>
      <c r="H24" s="151">
        <f>G24/F$44</f>
        <v>7.8000803578250288E-2</v>
      </c>
      <c r="I24" s="67">
        <f>ROUND($C24-$C24*I$8, 0)</f>
        <v>15936</v>
      </c>
      <c r="J24" s="150">
        <f>$B24*I24</f>
        <v>6246912</v>
      </c>
      <c r="K24" s="151">
        <f>J24/I$44</f>
        <v>7.8002682645816848E-2</v>
      </c>
    </row>
    <row r="25" spans="1:11" x14ac:dyDescent="0.25">
      <c r="A25" s="162" t="s">
        <v>96</v>
      </c>
      <c r="B25" s="149">
        <v>30</v>
      </c>
      <c r="C25" s="67">
        <v>14000</v>
      </c>
      <c r="D25" s="150">
        <f>B25*C25</f>
        <v>420000</v>
      </c>
      <c r="E25" s="151">
        <f>D25/C$44</f>
        <v>4.178609696961255E-3</v>
      </c>
      <c r="F25" s="67">
        <f>ROUND($C25-$C25*F$8, 0)</f>
        <v>11031</v>
      </c>
      <c r="G25" s="150">
        <f>$B25*F25</f>
        <v>330930</v>
      </c>
      <c r="H25" s="151">
        <f>G25/F$44</f>
        <v>4.1785008385474528E-3</v>
      </c>
      <c r="I25" s="67">
        <f>ROUND($C25-$C25*I$8, 0)</f>
        <v>11155</v>
      </c>
      <c r="J25" s="150">
        <f>$B25*I25</f>
        <v>334650</v>
      </c>
      <c r="K25" s="151">
        <f>J25/I$44</f>
        <v>4.1786402221485764E-3</v>
      </c>
    </row>
    <row r="26" spans="1:11" ht="15.75" customHeight="1" thickBot="1" x14ac:dyDescent="0.3">
      <c r="A26" s="162" t="s">
        <v>97</v>
      </c>
      <c r="B26" s="149">
        <v>21</v>
      </c>
      <c r="C26" s="67">
        <v>7000</v>
      </c>
      <c r="D26" s="150">
        <f>B26*C26</f>
        <v>147000</v>
      </c>
      <c r="E26" s="151">
        <f>D26/C$44</f>
        <v>1.4625133939364394E-3</v>
      </c>
      <c r="F26" s="67">
        <f>ROUND($C26-$C26*F$8, 0)</f>
        <v>5516</v>
      </c>
      <c r="G26" s="150">
        <f>$B26*F26</f>
        <v>115836</v>
      </c>
      <c r="H26" s="151">
        <f>G26/F$44</f>
        <v>1.4626078721602233E-3</v>
      </c>
      <c r="I26" s="67">
        <f>ROUND($C26-$C26*I$8, 0)</f>
        <v>5578</v>
      </c>
      <c r="J26" s="150">
        <f>$B26*I26</f>
        <v>117138</v>
      </c>
      <c r="K26" s="151">
        <f>J26/I$44</f>
        <v>1.4626551870373223E-3</v>
      </c>
    </row>
    <row r="27" spans="1:11" ht="16.5" customHeight="1" thickTop="1" thickBot="1" x14ac:dyDescent="0.3">
      <c r="A27" s="163"/>
      <c r="B27" s="153"/>
      <c r="C27" s="154"/>
      <c r="D27" s="155">
        <f>SUM(D24:D26)</f>
        <v>8407000</v>
      </c>
      <c r="E27" s="156">
        <f>D27/C$44</f>
        <v>8.3641837434174457E-2</v>
      </c>
      <c r="F27" s="154"/>
      <c r="G27" s="155">
        <f>SUM(G24:G26)</f>
        <v>6624294</v>
      </c>
      <c r="H27" s="156">
        <f>G27/F$44</f>
        <v>8.3641912288957967E-2</v>
      </c>
      <c r="I27" s="154"/>
      <c r="J27" s="155">
        <f>SUM(J24:J26)</f>
        <v>6698700</v>
      </c>
      <c r="K27" s="156">
        <f>J27/I$44</f>
        <v>8.3643978055002746E-2</v>
      </c>
    </row>
    <row r="28" spans="1:11" x14ac:dyDescent="0.25">
      <c r="A28" s="164" t="s">
        <v>87</v>
      </c>
      <c r="B28" s="141"/>
      <c r="C28" s="142"/>
      <c r="D28" s="143"/>
      <c r="E28" s="158"/>
      <c r="F28" s="145"/>
      <c r="G28" s="146"/>
      <c r="H28" s="158"/>
      <c r="I28" s="145"/>
      <c r="J28" s="146"/>
      <c r="K28" s="158"/>
    </row>
    <row r="29" spans="1:11" x14ac:dyDescent="0.25">
      <c r="A29" s="165" t="s">
        <v>98</v>
      </c>
      <c r="B29" s="149">
        <v>0</v>
      </c>
      <c r="C29" s="67">
        <v>300</v>
      </c>
      <c r="D29" s="150">
        <f>B29*C29</f>
        <v>0</v>
      </c>
      <c r="E29" s="151">
        <f t="shared" ref="E29:E34" si="8">D29/C$44</f>
        <v>0</v>
      </c>
      <c r="F29" s="67">
        <f>ROUND($C29-$C29*F$8, 0)</f>
        <v>236</v>
      </c>
      <c r="G29" s="150">
        <f>$B29*F29</f>
        <v>0</v>
      </c>
      <c r="H29" s="151">
        <f t="shared" ref="H29:H34" si="9">G29/F$44</f>
        <v>0</v>
      </c>
      <c r="I29" s="67">
        <f>ROUND($C29-$C29*I$8, 0)</f>
        <v>239</v>
      </c>
      <c r="J29" s="150">
        <f>$B29*I29</f>
        <v>0</v>
      </c>
      <c r="K29" s="151">
        <f t="shared" ref="K29:K34" si="10">J29/I$44</f>
        <v>0</v>
      </c>
    </row>
    <row r="30" spans="1:11" x14ac:dyDescent="0.25">
      <c r="A30" s="165" t="s">
        <v>99</v>
      </c>
      <c r="B30" s="149">
        <v>0</v>
      </c>
      <c r="C30" s="67">
        <v>600</v>
      </c>
      <c r="D30" s="150">
        <f>B30*C30</f>
        <v>0</v>
      </c>
      <c r="E30" s="151">
        <f t="shared" si="8"/>
        <v>0</v>
      </c>
      <c r="F30" s="67">
        <f>ROUND($C30-$C30*F$8, 0)</f>
        <v>473</v>
      </c>
      <c r="G30" s="150">
        <f>$B30*F30</f>
        <v>0</v>
      </c>
      <c r="H30" s="151">
        <f t="shared" si="9"/>
        <v>0</v>
      </c>
      <c r="I30" s="67">
        <f>ROUND($C30-$C30*I$8, 0)</f>
        <v>478</v>
      </c>
      <c r="J30" s="150">
        <f>$B30*I30</f>
        <v>0</v>
      </c>
      <c r="K30" s="151">
        <f t="shared" si="10"/>
        <v>0</v>
      </c>
    </row>
    <row r="31" spans="1:11" x14ac:dyDescent="0.25">
      <c r="A31" s="165" t="s">
        <v>100</v>
      </c>
      <c r="B31" s="149">
        <v>626</v>
      </c>
      <c r="C31" s="67">
        <v>800</v>
      </c>
      <c r="D31" s="150">
        <f>B31*C31</f>
        <v>500800</v>
      </c>
      <c r="E31" s="151">
        <f t="shared" si="8"/>
        <v>4.9824946100909444E-3</v>
      </c>
      <c r="F31" s="67">
        <f>ROUND($C31-$C31*F$8, 0)</f>
        <v>630</v>
      </c>
      <c r="G31" s="150">
        <f>$B31*F31</f>
        <v>394380</v>
      </c>
      <c r="H31" s="151">
        <f t="shared" si="9"/>
        <v>4.9796547931778455E-3</v>
      </c>
      <c r="I31" s="67">
        <f>ROUND($C31-$C31*I$8, 0)</f>
        <v>637</v>
      </c>
      <c r="J31" s="150">
        <f>$B31*I31</f>
        <v>398762</v>
      </c>
      <c r="K31" s="151">
        <f t="shared" si="10"/>
        <v>4.979181031717946E-3</v>
      </c>
    </row>
    <row r="32" spans="1:11" x14ac:dyDescent="0.25">
      <c r="A32" s="165" t="s">
        <v>101</v>
      </c>
      <c r="B32" s="149">
        <v>0</v>
      </c>
      <c r="C32" s="67">
        <v>1200</v>
      </c>
      <c r="D32" s="150">
        <f>B32*C32</f>
        <v>0</v>
      </c>
      <c r="E32" s="151">
        <f t="shared" si="8"/>
        <v>0</v>
      </c>
      <c r="F32" s="67">
        <f>ROUND($C32-$C32*F$8, 0)</f>
        <v>946</v>
      </c>
      <c r="G32" s="150">
        <f>$B32*F32</f>
        <v>0</v>
      </c>
      <c r="H32" s="151">
        <f t="shared" si="9"/>
        <v>0</v>
      </c>
      <c r="I32" s="67">
        <f>ROUND($C32-$C32*I$8, 0)</f>
        <v>956</v>
      </c>
      <c r="J32" s="150">
        <f>$B32*I32</f>
        <v>0</v>
      </c>
      <c r="K32" s="151">
        <f t="shared" si="10"/>
        <v>0</v>
      </c>
    </row>
    <row r="33" spans="1:11" ht="15.75" customHeight="1" thickBot="1" x14ac:dyDescent="0.3">
      <c r="A33" s="165" t="s">
        <v>102</v>
      </c>
      <c r="B33" s="149">
        <v>465</v>
      </c>
      <c r="C33" s="67">
        <v>1500</v>
      </c>
      <c r="D33" s="150">
        <f>B33*C33</f>
        <v>697500</v>
      </c>
      <c r="E33" s="151">
        <f t="shared" si="8"/>
        <v>6.9394768181677991E-3</v>
      </c>
      <c r="F33" s="67">
        <f>ROUND($C33-$C33*F$8, 0)</f>
        <v>1182</v>
      </c>
      <c r="G33" s="150">
        <f>$B33*F33</f>
        <v>549630</v>
      </c>
      <c r="H33" s="151">
        <f t="shared" si="9"/>
        <v>6.9399251076990185E-3</v>
      </c>
      <c r="I33" s="67">
        <f>ROUND($C33-$C33*I$8, 0)</f>
        <v>1195</v>
      </c>
      <c r="J33" s="150">
        <f>$B33*I33</f>
        <v>555675</v>
      </c>
      <c r="K33" s="151">
        <f t="shared" si="10"/>
        <v>6.9384906781485437E-3</v>
      </c>
    </row>
    <row r="34" spans="1:11" ht="16.5" customHeight="1" thickTop="1" thickBot="1" x14ac:dyDescent="0.3">
      <c r="A34" s="166"/>
      <c r="B34" s="153"/>
      <c r="C34" s="154"/>
      <c r="D34" s="155">
        <f>SUM(D29:D33)</f>
        <v>1198300</v>
      </c>
      <c r="E34" s="156">
        <f t="shared" si="8"/>
        <v>1.1921971428258743E-2</v>
      </c>
      <c r="F34" s="154"/>
      <c r="G34" s="155">
        <f>SUM(G29:G33)</f>
        <v>944010</v>
      </c>
      <c r="H34" s="156">
        <f t="shared" si="9"/>
        <v>1.1919579900876864E-2</v>
      </c>
      <c r="I34" s="154"/>
      <c r="J34" s="155">
        <f>SUM(J29:J33)</f>
        <v>954437</v>
      </c>
      <c r="K34" s="156">
        <f t="shared" si="10"/>
        <v>1.191767170986649E-2</v>
      </c>
    </row>
    <row r="35" spans="1:11" x14ac:dyDescent="0.25">
      <c r="A35" s="167" t="s">
        <v>88</v>
      </c>
      <c r="B35" s="141"/>
      <c r="C35" s="142"/>
      <c r="D35" s="143"/>
      <c r="E35" s="158"/>
      <c r="F35" s="145"/>
      <c r="G35" s="146"/>
      <c r="H35" s="158"/>
      <c r="I35" s="145"/>
      <c r="J35" s="146"/>
      <c r="K35" s="158"/>
    </row>
    <row r="36" spans="1:11" x14ac:dyDescent="0.25">
      <c r="A36" s="168" t="s">
        <v>103</v>
      </c>
      <c r="B36" s="149">
        <v>183</v>
      </c>
      <c r="C36" s="67">
        <v>1300</v>
      </c>
      <c r="D36" s="150">
        <f>B36*C36</f>
        <v>237900</v>
      </c>
      <c r="E36" s="151">
        <f>D36/C$44</f>
        <v>2.3668839212073398E-3</v>
      </c>
      <c r="F36" s="67">
        <f>ROUND($C36-$C36*F$8, 0)</f>
        <v>1024</v>
      </c>
      <c r="G36" s="150">
        <f>$B36*F36</f>
        <v>187392</v>
      </c>
      <c r="H36" s="151">
        <f>G36/F$44</f>
        <v>2.3661125589613642E-3</v>
      </c>
      <c r="I36" s="67">
        <f>ROUND($C36-$C36*I$8, 0)</f>
        <v>1036</v>
      </c>
      <c r="J36" s="150">
        <f>$B36*I36</f>
        <v>189588</v>
      </c>
      <c r="K36" s="151">
        <f>J36/I$44</f>
        <v>2.3673092557499006E-3</v>
      </c>
    </row>
    <row r="37" spans="1:11" x14ac:dyDescent="0.25">
      <c r="A37" s="168" t="s">
        <v>104</v>
      </c>
      <c r="B37" s="149">
        <v>59</v>
      </c>
      <c r="C37" s="67">
        <v>1300</v>
      </c>
      <c r="D37" s="150">
        <f>B37*C37</f>
        <v>76700</v>
      </c>
      <c r="E37" s="151">
        <f>D37/C$44</f>
        <v>7.6309372323078164E-4</v>
      </c>
      <c r="F37" s="67">
        <f>ROUND($C37-$C37*F$8, 0)</f>
        <v>1024</v>
      </c>
      <c r="G37" s="150">
        <f>$B37*F37</f>
        <v>60416</v>
      </c>
      <c r="H37" s="151">
        <f>G37/F$44</f>
        <v>7.628450326706037E-4</v>
      </c>
      <c r="I37" s="67">
        <f>ROUND($C37-$C37*I$8, 0)</f>
        <v>1036</v>
      </c>
      <c r="J37" s="150">
        <f>$B37*I37</f>
        <v>61124</v>
      </c>
      <c r="K37" s="151">
        <f>J37/I$44</f>
        <v>7.6323085294668935E-4</v>
      </c>
    </row>
    <row r="38" spans="1:11" ht="15.75" customHeight="1" thickBot="1" x14ac:dyDescent="0.3">
      <c r="A38" s="168" t="s">
        <v>105</v>
      </c>
      <c r="B38" s="149">
        <v>300</v>
      </c>
      <c r="C38" s="67">
        <v>2500</v>
      </c>
      <c r="D38" s="150">
        <f>B38*C38</f>
        <v>750000</v>
      </c>
      <c r="E38" s="151">
        <f>D38/C$44</f>
        <v>7.4618030302879557E-3</v>
      </c>
      <c r="F38" s="67">
        <f>ROUND($C38-$C38*F$8, 0)</f>
        <v>1970</v>
      </c>
      <c r="G38" s="150">
        <f>$B38*F38</f>
        <v>591000</v>
      </c>
      <c r="H38" s="151">
        <f>G38/F$44</f>
        <v>7.4622850620419557E-3</v>
      </c>
      <c r="I38" s="67">
        <f>ROUND($C38-$C38*I$8, 0)</f>
        <v>1992</v>
      </c>
      <c r="J38" s="150">
        <f>$B38*I38</f>
        <v>597600</v>
      </c>
      <c r="K38" s="151">
        <f>J38/I$44</f>
        <v>7.4619913245360502E-3</v>
      </c>
    </row>
    <row r="39" spans="1:11" ht="16.5" customHeight="1" thickTop="1" thickBot="1" x14ac:dyDescent="0.3">
      <c r="A39" s="169"/>
      <c r="B39" s="153"/>
      <c r="C39" s="154"/>
      <c r="D39" s="155">
        <f>SUM(D36:D38)</f>
        <v>1064600</v>
      </c>
      <c r="E39" s="156">
        <f>D39/C$44</f>
        <v>1.0591780674726077E-2</v>
      </c>
      <c r="F39" s="154"/>
      <c r="G39" s="155">
        <f>SUM(G36:G38)</f>
        <v>838808</v>
      </c>
      <c r="H39" s="156">
        <f>G39/F$44</f>
        <v>1.0591242653673923E-2</v>
      </c>
      <c r="I39" s="154"/>
      <c r="J39" s="155">
        <f>SUM(J36:J38)</f>
        <v>848312</v>
      </c>
      <c r="K39" s="156">
        <f>J39/I$44</f>
        <v>1.059253143323264E-2</v>
      </c>
    </row>
    <row r="40" spans="1:11" x14ac:dyDescent="0.25">
      <c r="A40" s="170" t="s">
        <v>89</v>
      </c>
      <c r="B40" s="141"/>
      <c r="C40" s="142"/>
      <c r="D40" s="143"/>
      <c r="E40" s="158"/>
      <c r="F40" s="145"/>
      <c r="G40" s="146"/>
      <c r="H40" s="158"/>
      <c r="I40" s="145"/>
      <c r="J40" s="146"/>
      <c r="K40" s="158"/>
    </row>
    <row r="41" spans="1:11" x14ac:dyDescent="0.25">
      <c r="A41" s="171" t="s">
        <v>106</v>
      </c>
      <c r="B41" s="149">
        <v>161</v>
      </c>
      <c r="C41" s="67">
        <v>11000</v>
      </c>
      <c r="D41" s="150">
        <f>B41*C41</f>
        <v>1771000</v>
      </c>
      <c r="E41" s="151">
        <f>D41/C$44</f>
        <v>1.7619804222186626E-2</v>
      </c>
      <c r="F41" s="67">
        <f>ROUND($C41-$C41*F$8, 0)</f>
        <v>8667</v>
      </c>
      <c r="G41" s="150">
        <f>$B41*F41</f>
        <v>1395387</v>
      </c>
      <c r="H41" s="151">
        <f>G41/F$44</f>
        <v>1.7618909586916309E-2</v>
      </c>
      <c r="I41" s="67">
        <f>ROUND($C41-$C41*I$8, 0)</f>
        <v>8765</v>
      </c>
      <c r="J41" s="150">
        <f>$B41*I41</f>
        <v>1411165</v>
      </c>
      <c r="K41" s="151">
        <f>J41/I$44</f>
        <v>1.7620650916146108E-2</v>
      </c>
    </row>
    <row r="42" spans="1:11" ht="15.75" customHeight="1" thickBot="1" x14ac:dyDescent="0.3">
      <c r="A42" s="171" t="s">
        <v>107</v>
      </c>
      <c r="B42" s="149">
        <v>1232</v>
      </c>
      <c r="C42" s="67">
        <v>23000</v>
      </c>
      <c r="D42" s="150">
        <f>B42*C42</f>
        <v>28336000</v>
      </c>
      <c r="E42" s="151">
        <f>D42/C$44</f>
        <v>0.28191686755498602</v>
      </c>
      <c r="F42" s="67">
        <f>ROUND($C42-$C42*F$8, 0)</f>
        <v>18123</v>
      </c>
      <c r="G42" s="150">
        <f>$B42*F42</f>
        <v>22327536</v>
      </c>
      <c r="H42" s="151">
        <f>G42/F$44</f>
        <v>0.28191952346024363</v>
      </c>
      <c r="I42" s="67">
        <f>ROUND($C42-$C42*I$8, 0)</f>
        <v>18326</v>
      </c>
      <c r="J42" s="150">
        <f>$B42*I42</f>
        <v>22577632</v>
      </c>
      <c r="K42" s="151">
        <f>J42/I$44</f>
        <v>0.28191782816694699</v>
      </c>
    </row>
    <row r="43" spans="1:11" ht="16.5" customHeight="1" thickTop="1" thickBot="1" x14ac:dyDescent="0.3">
      <c r="A43" s="172"/>
      <c r="B43" s="153"/>
      <c r="C43" s="154"/>
      <c r="D43" s="155">
        <f>SUM(D41:D42)</f>
        <v>30107000</v>
      </c>
      <c r="E43" s="156">
        <f>D43/C$44</f>
        <v>0.29953667177717264</v>
      </c>
      <c r="F43" s="154"/>
      <c r="G43" s="155">
        <f>SUM(G41:G42)</f>
        <v>23722923</v>
      </c>
      <c r="H43" s="156">
        <f>G43/F$44</f>
        <v>0.29953843304715994</v>
      </c>
      <c r="I43" s="154"/>
      <c r="J43" s="155">
        <f>SUM(J41:J42)</f>
        <v>23988797</v>
      </c>
      <c r="K43" s="156">
        <f>J43/I$44</f>
        <v>0.29953847908309306</v>
      </c>
    </row>
    <row r="44" spans="1:11" ht="15.75" customHeight="1" thickBot="1" x14ac:dyDescent="0.3">
      <c r="A44" s="480" t="s">
        <v>47</v>
      </c>
      <c r="B44" s="479"/>
      <c r="C44" s="477">
        <f>SUM(D16,D22,D27,D34,D39,D43)</f>
        <v>100511900</v>
      </c>
      <c r="D44" s="478"/>
      <c r="E44" s="479"/>
      <c r="F44" s="477">
        <f>SUM(G16,G22,G27,G34,G39,G43)</f>
        <v>79198261</v>
      </c>
      <c r="G44" s="478"/>
      <c r="H44" s="479"/>
      <c r="I44" s="477">
        <f>SUM(J16,J22,J27,J34,J39,J43)</f>
        <v>80085861</v>
      </c>
      <c r="J44" s="478"/>
      <c r="K44" s="479"/>
    </row>
  </sheetData>
  <mergeCells count="16">
    <mergeCell ref="C44:E44"/>
    <mergeCell ref="F44:H44"/>
    <mergeCell ref="I44:K44"/>
    <mergeCell ref="A44:B44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C58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7.28515625" style="1" customWidth="1" outlineLevel="1"/>
    <col min="13" max="13" width="12.28515625" style="1" customWidth="1" outlineLevel="1"/>
    <col min="14" max="14" width="12.28515625" style="1" customWidth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7.28515625" style="1" customWidth="1" outlineLevel="1"/>
    <col min="20" max="20" width="12.28515625" style="1" customWidth="1" outlineLevel="1"/>
    <col min="21" max="21" width="7.28515625" style="1" customWidth="1" outlineLevel="1"/>
    <col min="22" max="22" width="12.28515625" style="1" customWidth="1" outlineLevel="1"/>
    <col min="23" max="23" width="12.28515625" style="1" customWidth="1"/>
    <col min="24" max="24" width="7.28515625" style="1" customWidth="1" outlineLevel="1"/>
    <col min="25" max="25" width="12.28515625" style="1" customWidth="1" outlineLevel="1"/>
    <col min="26" max="26" width="7.28515625" style="1" customWidth="1" outlineLevel="1"/>
    <col min="27" max="27" width="12.28515625" style="1" customWidth="1" outlineLevel="1"/>
    <col min="28" max="28" width="7.28515625" style="1" customWidth="1" outlineLevel="1"/>
    <col min="29" max="29" width="12.28515625" style="1" customWidth="1" outlineLevel="1"/>
    <col min="30" max="30" width="12.28515625" style="1" customWidth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7.42578125" style="1" customWidth="1" outlineLevel="1"/>
    <col min="38" max="38" width="12.42578125" style="1" customWidth="1" outlineLevel="1"/>
    <col min="39" max="39" width="7.42578125" style="1" customWidth="1" outlineLevel="1"/>
    <col min="40" max="40" width="12.42578125" style="1" customWidth="1" outlineLevel="1"/>
    <col min="41" max="41" width="12.42578125" style="1" customWidth="1"/>
    <col min="42" max="42" width="7.42578125" style="1" customWidth="1" outlineLevel="1"/>
    <col min="43" max="43" width="12.42578125" style="1" customWidth="1" outlineLevel="1"/>
    <col min="44" max="44" width="7.42578125" style="1" customWidth="1" outlineLevel="1"/>
    <col min="45" max="45" width="12.42578125" style="1" customWidth="1" outlineLevel="1"/>
    <col min="46" max="46" width="7.42578125" style="1" customWidth="1" outlineLevel="1"/>
    <col min="47" max="47" width="12.42578125" style="1" customWidth="1" outlineLevel="1"/>
    <col min="48" max="48" width="12.42578125" style="1" customWidth="1"/>
    <col min="49" max="49" width="7.42578125" style="1" customWidth="1" outlineLevel="1"/>
    <col min="50" max="50" width="12.42578125" style="1" customWidth="1" outlineLevel="1"/>
    <col min="51" max="51" width="7.42578125" style="1" customWidth="1" outlineLevel="1"/>
    <col min="52" max="52" width="12.42578125" style="1" customWidth="1" outlineLevel="1"/>
    <col min="53" max="53" width="12.42578125" style="1" customWidth="1"/>
    <col min="54" max="54" width="13.5703125" style="1" customWidth="1"/>
    <col min="55" max="55" width="10.5703125" style="1" customWidth="1"/>
  </cols>
  <sheetData>
    <row r="1" spans="1:55" ht="15.75" customHeight="1" x14ac:dyDescent="0.25">
      <c r="A1" s="13" t="s">
        <v>121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x14ac:dyDescent="0.25">
      <c r="A4" s="15" t="s">
        <v>122</v>
      </c>
    </row>
    <row r="5" spans="1:55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ht="15.75" customHeight="1" x14ac:dyDescent="0.25">
      <c r="A6" s="518" t="s">
        <v>3</v>
      </c>
      <c r="B6" s="454" t="s">
        <v>84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5"/>
      <c r="O6" s="457" t="s">
        <v>85</v>
      </c>
      <c r="P6" s="457"/>
      <c r="Q6" s="457"/>
      <c r="R6" s="457"/>
      <c r="S6" s="457"/>
      <c r="T6" s="457"/>
      <c r="U6" s="457"/>
      <c r="V6" s="457"/>
      <c r="W6" s="458"/>
      <c r="X6" s="460" t="s">
        <v>86</v>
      </c>
      <c r="Y6" s="460"/>
      <c r="Z6" s="460"/>
      <c r="AA6" s="460"/>
      <c r="AB6" s="460"/>
      <c r="AC6" s="460"/>
      <c r="AD6" s="461"/>
      <c r="AE6" s="463" t="s">
        <v>87</v>
      </c>
      <c r="AF6" s="463"/>
      <c r="AG6" s="463"/>
      <c r="AH6" s="463"/>
      <c r="AI6" s="463"/>
      <c r="AJ6" s="463"/>
      <c r="AK6" s="463"/>
      <c r="AL6" s="463"/>
      <c r="AM6" s="463"/>
      <c r="AN6" s="463"/>
      <c r="AO6" s="464"/>
      <c r="AP6" s="448" t="s">
        <v>88</v>
      </c>
      <c r="AQ6" s="448"/>
      <c r="AR6" s="448"/>
      <c r="AS6" s="448"/>
      <c r="AT6" s="448"/>
      <c r="AU6" s="448"/>
      <c r="AV6" s="449"/>
      <c r="AW6" s="520" t="s">
        <v>89</v>
      </c>
      <c r="AX6" s="520"/>
      <c r="AY6" s="520"/>
      <c r="AZ6" s="520"/>
      <c r="BA6" s="521"/>
      <c r="BB6" s="522" t="s">
        <v>123</v>
      </c>
      <c r="BC6" s="507" t="s">
        <v>124</v>
      </c>
    </row>
    <row r="7" spans="1:55" ht="15" customHeight="1" x14ac:dyDescent="0.25">
      <c r="A7" s="519"/>
      <c r="B7" s="466" t="s">
        <v>90</v>
      </c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7"/>
      <c r="O7" s="469" t="s">
        <v>90</v>
      </c>
      <c r="P7" s="469"/>
      <c r="Q7" s="469"/>
      <c r="R7" s="469"/>
      <c r="S7" s="469"/>
      <c r="T7" s="469"/>
      <c r="U7" s="469"/>
      <c r="V7" s="469"/>
      <c r="W7" s="470"/>
      <c r="X7" s="472" t="s">
        <v>90</v>
      </c>
      <c r="Y7" s="472"/>
      <c r="Z7" s="472"/>
      <c r="AA7" s="472"/>
      <c r="AB7" s="472"/>
      <c r="AC7" s="472"/>
      <c r="AD7" s="473"/>
      <c r="AE7" s="475" t="s">
        <v>90</v>
      </c>
      <c r="AF7" s="475"/>
      <c r="AG7" s="475"/>
      <c r="AH7" s="475"/>
      <c r="AI7" s="475"/>
      <c r="AJ7" s="475"/>
      <c r="AK7" s="475"/>
      <c r="AL7" s="475"/>
      <c r="AM7" s="475"/>
      <c r="AN7" s="475"/>
      <c r="AO7" s="476"/>
      <c r="AP7" s="442" t="s">
        <v>90</v>
      </c>
      <c r="AQ7" s="442"/>
      <c r="AR7" s="442"/>
      <c r="AS7" s="442"/>
      <c r="AT7" s="442"/>
      <c r="AU7" s="442"/>
      <c r="AV7" s="443"/>
      <c r="AW7" s="509" t="s">
        <v>90</v>
      </c>
      <c r="AX7" s="509"/>
      <c r="AY7" s="509"/>
      <c r="AZ7" s="509"/>
      <c r="BA7" s="510"/>
      <c r="BB7" s="523"/>
      <c r="BC7" s="508"/>
    </row>
    <row r="8" spans="1:55" ht="15.75" customHeight="1" x14ac:dyDescent="0.25">
      <c r="A8" s="519"/>
      <c r="B8" s="556" t="s">
        <v>92</v>
      </c>
      <c r="C8" s="557"/>
      <c r="D8" s="556" t="s">
        <v>93</v>
      </c>
      <c r="E8" s="557"/>
      <c r="F8" s="558" t="s">
        <v>94</v>
      </c>
      <c r="G8" s="557"/>
      <c r="H8" s="558" t="s">
        <v>95</v>
      </c>
      <c r="I8" s="557"/>
      <c r="J8" s="558" t="s">
        <v>96</v>
      </c>
      <c r="K8" s="557"/>
      <c r="L8" s="558" t="s">
        <v>97</v>
      </c>
      <c r="M8" s="557"/>
      <c r="N8" s="559" t="s">
        <v>125</v>
      </c>
      <c r="O8" s="530" t="s">
        <v>92</v>
      </c>
      <c r="P8" s="501"/>
      <c r="Q8" s="500" t="s">
        <v>93</v>
      </c>
      <c r="R8" s="501"/>
      <c r="S8" s="500" t="s">
        <v>94</v>
      </c>
      <c r="T8" s="501"/>
      <c r="U8" s="500" t="s">
        <v>95</v>
      </c>
      <c r="V8" s="501"/>
      <c r="W8" s="549" t="s">
        <v>125</v>
      </c>
      <c r="X8" s="551" t="s">
        <v>95</v>
      </c>
      <c r="Y8" s="552"/>
      <c r="Z8" s="551" t="s">
        <v>96</v>
      </c>
      <c r="AA8" s="552"/>
      <c r="AB8" s="551" t="s">
        <v>97</v>
      </c>
      <c r="AC8" s="552"/>
      <c r="AD8" s="547" t="s">
        <v>125</v>
      </c>
      <c r="AE8" s="542" t="s">
        <v>98</v>
      </c>
      <c r="AF8" s="543"/>
      <c r="AG8" s="544" t="s">
        <v>99</v>
      </c>
      <c r="AH8" s="543"/>
      <c r="AI8" s="544" t="s">
        <v>100</v>
      </c>
      <c r="AJ8" s="543"/>
      <c r="AK8" s="544" t="s">
        <v>101</v>
      </c>
      <c r="AL8" s="543"/>
      <c r="AM8" s="544" t="s">
        <v>102</v>
      </c>
      <c r="AN8" s="543"/>
      <c r="AO8" s="545" t="s">
        <v>125</v>
      </c>
      <c r="AP8" s="531" t="s">
        <v>103</v>
      </c>
      <c r="AQ8" s="532"/>
      <c r="AR8" s="531" t="s">
        <v>104</v>
      </c>
      <c r="AS8" s="532"/>
      <c r="AT8" s="531" t="s">
        <v>105</v>
      </c>
      <c r="AU8" s="532"/>
      <c r="AV8" s="533" t="s">
        <v>125</v>
      </c>
      <c r="AW8" s="526" t="s">
        <v>106</v>
      </c>
      <c r="AX8" s="527"/>
      <c r="AY8" s="526" t="s">
        <v>107</v>
      </c>
      <c r="AZ8" s="527"/>
      <c r="BA8" s="553" t="s">
        <v>125</v>
      </c>
      <c r="BB8" s="523"/>
      <c r="BC8" s="508"/>
    </row>
    <row r="9" spans="1:55" ht="16.5" customHeight="1" thickBot="1" x14ac:dyDescent="0.3">
      <c r="A9" s="519"/>
      <c r="B9" s="502">
        <v>1182</v>
      </c>
      <c r="C9" s="503"/>
      <c r="D9" s="502">
        <v>1576</v>
      </c>
      <c r="E9" s="503"/>
      <c r="F9" s="561">
        <v>3152</v>
      </c>
      <c r="G9" s="503"/>
      <c r="H9" s="561">
        <v>6303</v>
      </c>
      <c r="I9" s="503"/>
      <c r="J9" s="561">
        <v>3152</v>
      </c>
      <c r="K9" s="503"/>
      <c r="L9" s="511">
        <v>1576</v>
      </c>
      <c r="M9" s="512"/>
      <c r="N9" s="560"/>
      <c r="O9" s="555">
        <v>886</v>
      </c>
      <c r="P9" s="505"/>
      <c r="Q9" s="504">
        <v>1182</v>
      </c>
      <c r="R9" s="505"/>
      <c r="S9" s="504">
        <v>2364</v>
      </c>
      <c r="T9" s="505"/>
      <c r="U9" s="504">
        <v>4728</v>
      </c>
      <c r="V9" s="505"/>
      <c r="W9" s="550"/>
      <c r="X9" s="524">
        <v>15759</v>
      </c>
      <c r="Y9" s="525"/>
      <c r="Z9" s="524">
        <v>11031</v>
      </c>
      <c r="AA9" s="525"/>
      <c r="AB9" s="535">
        <v>5516</v>
      </c>
      <c r="AC9" s="536"/>
      <c r="AD9" s="548"/>
      <c r="AE9" s="537">
        <v>236</v>
      </c>
      <c r="AF9" s="515"/>
      <c r="AG9" s="514">
        <v>473</v>
      </c>
      <c r="AH9" s="515"/>
      <c r="AI9" s="514">
        <v>630</v>
      </c>
      <c r="AJ9" s="515"/>
      <c r="AK9" s="514">
        <v>946</v>
      </c>
      <c r="AL9" s="515"/>
      <c r="AM9" s="516">
        <v>1182</v>
      </c>
      <c r="AN9" s="517"/>
      <c r="AO9" s="546"/>
      <c r="AP9" s="538">
        <v>1024</v>
      </c>
      <c r="AQ9" s="539"/>
      <c r="AR9" s="538">
        <v>1024</v>
      </c>
      <c r="AS9" s="539"/>
      <c r="AT9" s="540">
        <v>1970</v>
      </c>
      <c r="AU9" s="541"/>
      <c r="AV9" s="534"/>
      <c r="AW9" s="528">
        <v>8667</v>
      </c>
      <c r="AX9" s="529"/>
      <c r="AY9" s="528">
        <v>18123</v>
      </c>
      <c r="AZ9" s="529"/>
      <c r="BA9" s="554"/>
      <c r="BB9" s="523"/>
      <c r="BC9" s="508"/>
    </row>
    <row r="10" spans="1:55" x14ac:dyDescent="0.25">
      <c r="A10" s="173" t="s">
        <v>50</v>
      </c>
      <c r="B10" s="174"/>
      <c r="C10" s="175" t="str">
        <f>IF(ISBLANK(B10),"", B10*B9)</f>
        <v/>
      </c>
      <c r="D10" s="174"/>
      <c r="E10" s="175" t="str">
        <f>IF(ISBLANK(D10),"", D10*D9)</f>
        <v/>
      </c>
      <c r="F10" s="176"/>
      <c r="G10" s="175" t="str">
        <f>IF(ISBLANK(F10),"", F10*F9)</f>
        <v/>
      </c>
      <c r="H10" s="176">
        <v>349</v>
      </c>
      <c r="I10" s="175">
        <f>IF(ISBLANK(H10),"", H10*H9)</f>
        <v>2199747</v>
      </c>
      <c r="J10" s="176">
        <v>0</v>
      </c>
      <c r="K10" s="175">
        <f>IF(ISBLANK(J10),"", J10*J9)</f>
        <v>0</v>
      </c>
      <c r="L10" s="177">
        <v>7</v>
      </c>
      <c r="M10" s="175">
        <f>IF(ISBLANK(L10),"", L10*L9)</f>
        <v>11032</v>
      </c>
      <c r="N10" s="178">
        <f t="shared" ref="N10:N16" si="0">SUM(C10,E10,G10,I10,K10,M10)</f>
        <v>2210779</v>
      </c>
      <c r="O10" s="174"/>
      <c r="P10" s="175" t="str">
        <f>IF(ISBLANK(O10),"", O10*O9)</f>
        <v/>
      </c>
      <c r="Q10" s="176"/>
      <c r="R10" s="175" t="str">
        <f>IF(ISBLANK(Q10),"", Q10*Q9)</f>
        <v/>
      </c>
      <c r="S10" s="176"/>
      <c r="T10" s="175" t="str">
        <f>IF(ISBLANK(S10),"", S10*S9)</f>
        <v/>
      </c>
      <c r="U10" s="176">
        <v>288</v>
      </c>
      <c r="V10" s="175">
        <f>IF(ISBLANK(U10),"", U10*U9)</f>
        <v>1361664</v>
      </c>
      <c r="W10" s="178">
        <f t="shared" ref="W10:W16" si="1">SUM(P10,R10,T10,V10)</f>
        <v>1361664</v>
      </c>
      <c r="X10" s="176">
        <v>215</v>
      </c>
      <c r="Y10" s="175">
        <f>IF(ISBLANK(X10),"", X10*X9)</f>
        <v>3388185</v>
      </c>
      <c r="Z10" s="176">
        <v>0</v>
      </c>
      <c r="AA10" s="175">
        <f>IF(ISBLANK(Z10),"", Z10*Z9)</f>
        <v>0</v>
      </c>
      <c r="AB10" s="177">
        <v>5</v>
      </c>
      <c r="AC10" s="175">
        <f>IF(ISBLANK(AB10),"", AB10*AB9)</f>
        <v>27580</v>
      </c>
      <c r="AD10" s="178">
        <f t="shared" ref="AD10:AD16" si="2">SUM(Y10,AA10,AC10)</f>
        <v>3415765</v>
      </c>
      <c r="AE10" s="174"/>
      <c r="AF10" s="175" t="str">
        <f>IF(ISBLANK(AE10),"", AE10*AE9)</f>
        <v/>
      </c>
      <c r="AG10" s="176"/>
      <c r="AH10" s="175" t="str">
        <f>IF(ISBLANK(AG10),"", AG10*AG9)</f>
        <v/>
      </c>
      <c r="AI10" s="176"/>
      <c r="AJ10" s="175" t="str">
        <f>IF(ISBLANK(AI10),"", AI10*AI9)</f>
        <v/>
      </c>
      <c r="AK10" s="176"/>
      <c r="AL10" s="175" t="str">
        <f>IF(ISBLANK(AK10),"", AK10*AK9)</f>
        <v/>
      </c>
      <c r="AM10" s="177"/>
      <c r="AN10" s="175" t="str">
        <f>IF(ISBLANK(AM10),"", AM10*AM9)</f>
        <v/>
      </c>
      <c r="AO10" s="178">
        <f t="shared" ref="AO10:AO16" si="3">SUM(AF10,AH10,AJ10,AL10,AN10)</f>
        <v>0</v>
      </c>
      <c r="AP10" s="176"/>
      <c r="AQ10" s="175" t="str">
        <f>IF(ISBLANK(AP10),"", AP10*AP9)</f>
        <v/>
      </c>
      <c r="AR10" s="176"/>
      <c r="AS10" s="175" t="str">
        <f>IF(ISBLANK(AR10),"", AR10*AR9)</f>
        <v/>
      </c>
      <c r="AT10" s="177"/>
      <c r="AU10" s="175" t="str">
        <f>IF(ISBLANK(AT10),"", AT10*AT9)</f>
        <v/>
      </c>
      <c r="AV10" s="178">
        <f t="shared" ref="AV10:AV16" si="4">SUM(AQ10,AS10,AU10)</f>
        <v>0</v>
      </c>
      <c r="AW10" s="176"/>
      <c r="AX10" s="175" t="str">
        <f>IF(ISBLANK(AW10),"", AW10*AW9)</f>
        <v/>
      </c>
      <c r="AY10" s="176">
        <v>332</v>
      </c>
      <c r="AZ10" s="175">
        <f>IF(ISBLANK(AY10),"", AY10*AY9)</f>
        <v>6016836</v>
      </c>
      <c r="BA10" s="178">
        <f t="shared" ref="BA10:BA16" si="5">SUM(AX10,AZ10)</f>
        <v>6016836</v>
      </c>
      <c r="BB10" s="179">
        <f t="shared" ref="BB10:BB17" si="6">SUM(N10,W10,AD10,AO10,AV10,BA10)</f>
        <v>13005044</v>
      </c>
      <c r="BC10" s="180">
        <f>BB10/BB29</f>
        <v>0.16420870655228151</v>
      </c>
    </row>
    <row r="11" spans="1:55" x14ac:dyDescent="0.25">
      <c r="A11" s="122" t="s">
        <v>55</v>
      </c>
      <c r="B11" s="177"/>
      <c r="C11" s="181" t="str">
        <f>IF(ISBLANK(B11),"", B11*B9)</f>
        <v/>
      </c>
      <c r="D11" s="177"/>
      <c r="E11" s="181" t="str">
        <f>IF(ISBLANK(D11),"", D11*D9)</f>
        <v/>
      </c>
      <c r="F11" s="182"/>
      <c r="G11" s="181" t="str">
        <f>IF(ISBLANK(F11),"", F11*F9)</f>
        <v/>
      </c>
      <c r="H11" s="182">
        <v>152</v>
      </c>
      <c r="I11" s="181">
        <f>IF(ISBLANK(H11),"", H11*H9)</f>
        <v>958056</v>
      </c>
      <c r="J11" s="182">
        <v>19</v>
      </c>
      <c r="K11" s="181">
        <f>IF(ISBLANK(J11),"", J11*J9)</f>
        <v>59888</v>
      </c>
      <c r="L11" s="177">
        <v>0</v>
      </c>
      <c r="M11" s="181">
        <f>IF(ISBLANK(L11),"", L11*L9)</f>
        <v>0</v>
      </c>
      <c r="N11" s="178">
        <f t="shared" si="0"/>
        <v>1017944</v>
      </c>
      <c r="O11" s="177"/>
      <c r="P11" s="181" t="str">
        <f>IF(ISBLANK(O11),"", O11*O9)</f>
        <v/>
      </c>
      <c r="Q11" s="182"/>
      <c r="R11" s="181" t="str">
        <f>IF(ISBLANK(Q11),"", Q11*Q9)</f>
        <v/>
      </c>
      <c r="S11" s="182"/>
      <c r="T11" s="181" t="str">
        <f>IF(ISBLANK(S11),"", S11*S9)</f>
        <v/>
      </c>
      <c r="U11" s="182">
        <v>79</v>
      </c>
      <c r="V11" s="181">
        <f>IF(ISBLANK(U11),"", U11*U9)</f>
        <v>373512</v>
      </c>
      <c r="W11" s="178">
        <f t="shared" si="1"/>
        <v>373512</v>
      </c>
      <c r="X11" s="182"/>
      <c r="Y11" s="181" t="str">
        <f>IF(ISBLANK(X11),"", X11*X9)</f>
        <v/>
      </c>
      <c r="Z11" s="182"/>
      <c r="AA11" s="181" t="str">
        <f>IF(ISBLANK(Z11),"", Z11*Z9)</f>
        <v/>
      </c>
      <c r="AB11" s="177"/>
      <c r="AC11" s="181" t="str">
        <f>IF(ISBLANK(AB11),"", AB11*AB9)</f>
        <v/>
      </c>
      <c r="AD11" s="178">
        <f t="shared" si="2"/>
        <v>0</v>
      </c>
      <c r="AE11" s="177"/>
      <c r="AF11" s="181" t="str">
        <f>IF(ISBLANK(AE11),"", AE11*AE9)</f>
        <v/>
      </c>
      <c r="AG11" s="182"/>
      <c r="AH11" s="181" t="str">
        <f>IF(ISBLANK(AG11),"", AG11*AG9)</f>
        <v/>
      </c>
      <c r="AI11" s="182">
        <v>37</v>
      </c>
      <c r="AJ11" s="181">
        <f>IF(ISBLANK(AI11),"", AI11*AI9)</f>
        <v>23310</v>
      </c>
      <c r="AK11" s="182"/>
      <c r="AL11" s="181" t="str">
        <f>IF(ISBLANK(AK11),"", AK11*AK9)</f>
        <v/>
      </c>
      <c r="AM11" s="177">
        <v>46</v>
      </c>
      <c r="AN11" s="181">
        <f>IF(ISBLANK(AM11),"", AM11*AM9)</f>
        <v>54372</v>
      </c>
      <c r="AO11" s="178">
        <f t="shared" si="3"/>
        <v>77682</v>
      </c>
      <c r="AP11" s="182"/>
      <c r="AQ11" s="181" t="str">
        <f>IF(ISBLANK(AP11),"", AP11*AP9)</f>
        <v/>
      </c>
      <c r="AR11" s="182"/>
      <c r="AS11" s="181" t="str">
        <f>IF(ISBLANK(AR11),"", AR11*AR9)</f>
        <v/>
      </c>
      <c r="AT11" s="177"/>
      <c r="AU11" s="181" t="str">
        <f>IF(ISBLANK(AT11),"", AT11*AT9)</f>
        <v/>
      </c>
      <c r="AV11" s="178">
        <f t="shared" si="4"/>
        <v>0</v>
      </c>
      <c r="AW11" s="182"/>
      <c r="AX11" s="181" t="str">
        <f>IF(ISBLANK(AW11),"", AW11*AW9)</f>
        <v/>
      </c>
      <c r="AY11" s="182">
        <v>19</v>
      </c>
      <c r="AZ11" s="181">
        <f>IF(ISBLANK(AY11),"", AY11*AY9)</f>
        <v>344337</v>
      </c>
      <c r="BA11" s="178">
        <f t="shared" si="5"/>
        <v>344337</v>
      </c>
      <c r="BB11" s="179">
        <f t="shared" si="6"/>
        <v>1813475</v>
      </c>
      <c r="BC11" s="180">
        <f>BB11/BB29</f>
        <v>2.2897914387286861E-2</v>
      </c>
    </row>
    <row r="12" spans="1:55" x14ac:dyDescent="0.25">
      <c r="A12" s="122" t="s">
        <v>56</v>
      </c>
      <c r="B12" s="177"/>
      <c r="C12" s="181" t="str">
        <f>IF(ISBLANK(B12),"", B12*B9)</f>
        <v/>
      </c>
      <c r="D12" s="177"/>
      <c r="E12" s="181" t="str">
        <f>IF(ISBLANK(D12),"", D12*D9)</f>
        <v/>
      </c>
      <c r="F12" s="182"/>
      <c r="G12" s="181" t="str">
        <f>IF(ISBLANK(F12),"", F12*F9)</f>
        <v/>
      </c>
      <c r="H12" s="182">
        <v>118</v>
      </c>
      <c r="I12" s="181">
        <f>IF(ISBLANK(H12),"", H12*H9)</f>
        <v>743754</v>
      </c>
      <c r="J12" s="182">
        <v>0</v>
      </c>
      <c r="K12" s="181">
        <f>IF(ISBLANK(J12),"", J12*J9)</f>
        <v>0</v>
      </c>
      <c r="L12" s="177">
        <v>0</v>
      </c>
      <c r="M12" s="181">
        <f>IF(ISBLANK(L12),"", L12*L9)</f>
        <v>0</v>
      </c>
      <c r="N12" s="178">
        <f t="shared" si="0"/>
        <v>743754</v>
      </c>
      <c r="O12" s="177"/>
      <c r="P12" s="181" t="str">
        <f>IF(ISBLANK(O12),"", O12*O9)</f>
        <v/>
      </c>
      <c r="Q12" s="182"/>
      <c r="R12" s="181" t="str">
        <f>IF(ISBLANK(Q12),"", Q12*Q9)</f>
        <v/>
      </c>
      <c r="S12" s="182"/>
      <c r="T12" s="181" t="str">
        <f>IF(ISBLANK(S12),"", S12*S9)</f>
        <v/>
      </c>
      <c r="U12" s="182">
        <v>83</v>
      </c>
      <c r="V12" s="181">
        <f>IF(ISBLANK(U12),"", U12*U9)</f>
        <v>392424</v>
      </c>
      <c r="W12" s="178">
        <f t="shared" si="1"/>
        <v>392424</v>
      </c>
      <c r="X12" s="182"/>
      <c r="Y12" s="181" t="str">
        <f>IF(ISBLANK(X12),"", X12*X9)</f>
        <v/>
      </c>
      <c r="Z12" s="182"/>
      <c r="AA12" s="181" t="str">
        <f>IF(ISBLANK(Z12),"", Z12*Z9)</f>
        <v/>
      </c>
      <c r="AB12" s="177"/>
      <c r="AC12" s="181" t="str">
        <f>IF(ISBLANK(AB12),"", AB12*AB9)</f>
        <v/>
      </c>
      <c r="AD12" s="178">
        <f t="shared" si="2"/>
        <v>0</v>
      </c>
      <c r="AE12" s="177"/>
      <c r="AF12" s="181" t="str">
        <f>IF(ISBLANK(AE12),"", AE12*AE9)</f>
        <v/>
      </c>
      <c r="AG12" s="182"/>
      <c r="AH12" s="181" t="str">
        <f>IF(ISBLANK(AG12),"", AG12*AG9)</f>
        <v/>
      </c>
      <c r="AI12" s="182">
        <v>147</v>
      </c>
      <c r="AJ12" s="181">
        <f>IF(ISBLANK(AI12),"", AI12*AI9)</f>
        <v>92610</v>
      </c>
      <c r="AK12" s="182"/>
      <c r="AL12" s="181" t="str">
        <f>IF(ISBLANK(AK12),"", AK12*AK9)</f>
        <v/>
      </c>
      <c r="AM12" s="177">
        <v>112</v>
      </c>
      <c r="AN12" s="181">
        <f>IF(ISBLANK(AM12),"", AM12*AM9)</f>
        <v>132384</v>
      </c>
      <c r="AO12" s="178">
        <f t="shared" si="3"/>
        <v>224994</v>
      </c>
      <c r="AP12" s="182"/>
      <c r="AQ12" s="181" t="str">
        <f>IF(ISBLANK(AP12),"", AP12*AP9)</f>
        <v/>
      </c>
      <c r="AR12" s="182"/>
      <c r="AS12" s="181" t="str">
        <f>IF(ISBLANK(AR12),"", AR12*AR9)</f>
        <v/>
      </c>
      <c r="AT12" s="177"/>
      <c r="AU12" s="181" t="str">
        <f>IF(ISBLANK(AT12),"", AT12*AT9)</f>
        <v/>
      </c>
      <c r="AV12" s="178">
        <f t="shared" si="4"/>
        <v>0</v>
      </c>
      <c r="AW12" s="182"/>
      <c r="AX12" s="181" t="str">
        <f>IF(ISBLANK(AW12),"", AW12*AW9)</f>
        <v/>
      </c>
      <c r="AY12" s="182">
        <v>28</v>
      </c>
      <c r="AZ12" s="181">
        <f>IF(ISBLANK(AY12),"", AY12*AY9)</f>
        <v>507444</v>
      </c>
      <c r="BA12" s="178">
        <f t="shared" si="5"/>
        <v>507444</v>
      </c>
      <c r="BB12" s="179">
        <f t="shared" si="6"/>
        <v>1868616</v>
      </c>
      <c r="BC12" s="180">
        <f>BB12/BB29</f>
        <v>2.3594154422153284E-2</v>
      </c>
    </row>
    <row r="13" spans="1:55" x14ac:dyDescent="0.25">
      <c r="A13" s="122" t="s">
        <v>57</v>
      </c>
      <c r="B13" s="177"/>
      <c r="C13" s="181" t="str">
        <f>IF(ISBLANK(B13),"", B13*B9)</f>
        <v/>
      </c>
      <c r="D13" s="177"/>
      <c r="E13" s="181" t="str">
        <f>IF(ISBLANK(D13),"", D13*D9)</f>
        <v/>
      </c>
      <c r="F13" s="182"/>
      <c r="G13" s="181" t="str">
        <f>IF(ISBLANK(F13),"", F13*F9)</f>
        <v/>
      </c>
      <c r="H13" s="182">
        <v>81</v>
      </c>
      <c r="I13" s="181">
        <f>IF(ISBLANK(H13),"", H13*H9)</f>
        <v>510543</v>
      </c>
      <c r="J13" s="182">
        <v>0</v>
      </c>
      <c r="K13" s="181">
        <f>IF(ISBLANK(J13),"", J13*J9)</f>
        <v>0</v>
      </c>
      <c r="L13" s="177">
        <v>0</v>
      </c>
      <c r="M13" s="181">
        <f>IF(ISBLANK(L13),"", L13*L9)</f>
        <v>0</v>
      </c>
      <c r="N13" s="178">
        <f t="shared" si="0"/>
        <v>510543</v>
      </c>
      <c r="O13" s="177"/>
      <c r="P13" s="181" t="str">
        <f>IF(ISBLANK(O13),"", O13*O9)</f>
        <v/>
      </c>
      <c r="Q13" s="182"/>
      <c r="R13" s="181" t="str">
        <f>IF(ISBLANK(Q13),"", Q13*Q9)</f>
        <v/>
      </c>
      <c r="S13" s="182"/>
      <c r="T13" s="181" t="str">
        <f>IF(ISBLANK(S13),"", S13*S9)</f>
        <v/>
      </c>
      <c r="U13" s="182">
        <v>49</v>
      </c>
      <c r="V13" s="181">
        <f>IF(ISBLANK(U13),"", U13*U9)</f>
        <v>231672</v>
      </c>
      <c r="W13" s="178">
        <f t="shared" si="1"/>
        <v>231672</v>
      </c>
      <c r="X13" s="182"/>
      <c r="Y13" s="181" t="str">
        <f>IF(ISBLANK(X13),"", X13*X9)</f>
        <v/>
      </c>
      <c r="Z13" s="182"/>
      <c r="AA13" s="181" t="str">
        <f>IF(ISBLANK(Z13),"", Z13*Z9)</f>
        <v/>
      </c>
      <c r="AB13" s="177"/>
      <c r="AC13" s="181" t="str">
        <f>IF(ISBLANK(AB13),"", AB13*AB9)</f>
        <v/>
      </c>
      <c r="AD13" s="178">
        <f t="shared" si="2"/>
        <v>0</v>
      </c>
      <c r="AE13" s="177"/>
      <c r="AF13" s="181" t="str">
        <f>IF(ISBLANK(AE13),"", AE13*AE9)</f>
        <v/>
      </c>
      <c r="AG13" s="182"/>
      <c r="AH13" s="181" t="str">
        <f>IF(ISBLANK(AG13),"", AG13*AG9)</f>
        <v/>
      </c>
      <c r="AI13" s="182">
        <v>4</v>
      </c>
      <c r="AJ13" s="181">
        <f>IF(ISBLANK(AI13),"", AI13*AI9)</f>
        <v>2520</v>
      </c>
      <c r="AK13" s="182"/>
      <c r="AL13" s="181" t="str">
        <f>IF(ISBLANK(AK13),"", AK13*AK9)</f>
        <v/>
      </c>
      <c r="AM13" s="177">
        <v>1</v>
      </c>
      <c r="AN13" s="181">
        <f>IF(ISBLANK(AM13),"", AM13*AM9)</f>
        <v>1182</v>
      </c>
      <c r="AO13" s="178">
        <f t="shared" si="3"/>
        <v>3702</v>
      </c>
      <c r="AP13" s="182"/>
      <c r="AQ13" s="181" t="str">
        <f>IF(ISBLANK(AP13),"", AP13*AP9)</f>
        <v/>
      </c>
      <c r="AR13" s="182"/>
      <c r="AS13" s="181" t="str">
        <f>IF(ISBLANK(AR13),"", AR13*AR9)</f>
        <v/>
      </c>
      <c r="AT13" s="177"/>
      <c r="AU13" s="181" t="str">
        <f>IF(ISBLANK(AT13),"", AT13*AT9)</f>
        <v/>
      </c>
      <c r="AV13" s="178">
        <f t="shared" si="4"/>
        <v>0</v>
      </c>
      <c r="AW13" s="182"/>
      <c r="AX13" s="181" t="str">
        <f>IF(ISBLANK(AW13),"", AW13*AW9)</f>
        <v/>
      </c>
      <c r="AY13" s="182">
        <v>5</v>
      </c>
      <c r="AZ13" s="181">
        <f>IF(ISBLANK(AY13),"", AY13*AY9)</f>
        <v>90615</v>
      </c>
      <c r="BA13" s="178">
        <f t="shared" si="5"/>
        <v>90615</v>
      </c>
      <c r="BB13" s="179">
        <f t="shared" si="6"/>
        <v>836532</v>
      </c>
      <c r="BC13" s="180">
        <f>BB13/BB29</f>
        <v>1.0562504648934148E-2</v>
      </c>
    </row>
    <row r="14" spans="1:55" x14ac:dyDescent="0.25">
      <c r="A14" s="122" t="s">
        <v>58</v>
      </c>
      <c r="B14" s="177"/>
      <c r="C14" s="181" t="str">
        <f>IF(ISBLANK(B14),"", B14*B9)</f>
        <v/>
      </c>
      <c r="D14" s="177"/>
      <c r="E14" s="181" t="str">
        <f>IF(ISBLANK(D14),"", D14*D9)</f>
        <v/>
      </c>
      <c r="F14" s="182"/>
      <c r="G14" s="181" t="str">
        <f>IF(ISBLANK(F14),"", F14*F9)</f>
        <v/>
      </c>
      <c r="H14" s="182">
        <v>346</v>
      </c>
      <c r="I14" s="181">
        <f>IF(ISBLANK(H14),"", H14*H9)</f>
        <v>2180838</v>
      </c>
      <c r="J14" s="182">
        <v>0</v>
      </c>
      <c r="K14" s="181">
        <f>IF(ISBLANK(J14),"", J14*J9)</f>
        <v>0</v>
      </c>
      <c r="L14" s="177">
        <v>8</v>
      </c>
      <c r="M14" s="181">
        <f>IF(ISBLANK(L14),"", L14*L9)</f>
        <v>12608</v>
      </c>
      <c r="N14" s="178">
        <f t="shared" si="0"/>
        <v>2193446</v>
      </c>
      <c r="O14" s="177"/>
      <c r="P14" s="181" t="str">
        <f>IF(ISBLANK(O14),"", O14*O9)</f>
        <v/>
      </c>
      <c r="Q14" s="182"/>
      <c r="R14" s="181" t="str">
        <f>IF(ISBLANK(Q14),"", Q14*Q9)</f>
        <v/>
      </c>
      <c r="S14" s="182"/>
      <c r="T14" s="181" t="str">
        <f>IF(ISBLANK(S14),"", S14*S9)</f>
        <v/>
      </c>
      <c r="U14" s="182">
        <v>431</v>
      </c>
      <c r="V14" s="181">
        <f>IF(ISBLANK(U14),"", U14*U9)</f>
        <v>2037768</v>
      </c>
      <c r="W14" s="178">
        <f t="shared" si="1"/>
        <v>2037768</v>
      </c>
      <c r="X14" s="182">
        <v>98</v>
      </c>
      <c r="Y14" s="181">
        <f>IF(ISBLANK(X14),"", X14*X9)</f>
        <v>1544382</v>
      </c>
      <c r="Z14" s="182">
        <v>0</v>
      </c>
      <c r="AA14" s="181">
        <f>IF(ISBLANK(Z14),"", Z14*Z9)</f>
        <v>0</v>
      </c>
      <c r="AB14" s="177">
        <v>1</v>
      </c>
      <c r="AC14" s="181">
        <f>IF(ISBLANK(AB14),"", AB14*AB9)</f>
        <v>5516</v>
      </c>
      <c r="AD14" s="178">
        <f t="shared" si="2"/>
        <v>1549898</v>
      </c>
      <c r="AE14" s="177"/>
      <c r="AF14" s="181" t="str">
        <f>IF(ISBLANK(AE14),"", AE14*AE9)</f>
        <v/>
      </c>
      <c r="AG14" s="182"/>
      <c r="AH14" s="181" t="str">
        <f>IF(ISBLANK(AG14),"", AG14*AG9)</f>
        <v/>
      </c>
      <c r="AI14" s="182"/>
      <c r="AJ14" s="181" t="str">
        <f>IF(ISBLANK(AI14),"", AI14*AI9)</f>
        <v/>
      </c>
      <c r="AK14" s="182"/>
      <c r="AL14" s="181" t="str">
        <f>IF(ISBLANK(AK14),"", AK14*AK9)</f>
        <v/>
      </c>
      <c r="AM14" s="177"/>
      <c r="AN14" s="181" t="str">
        <f>IF(ISBLANK(AM14),"", AM14*AM9)</f>
        <v/>
      </c>
      <c r="AO14" s="178">
        <f t="shared" si="3"/>
        <v>0</v>
      </c>
      <c r="AP14" s="182"/>
      <c r="AQ14" s="181" t="str">
        <f>IF(ISBLANK(AP14),"", AP14*AP9)</f>
        <v/>
      </c>
      <c r="AR14" s="182"/>
      <c r="AS14" s="181" t="str">
        <f>IF(ISBLANK(AR14),"", AR14*AR9)</f>
        <v/>
      </c>
      <c r="AT14" s="177"/>
      <c r="AU14" s="181" t="str">
        <f>IF(ISBLANK(AT14),"", AT14*AT9)</f>
        <v/>
      </c>
      <c r="AV14" s="178">
        <f t="shared" si="4"/>
        <v>0</v>
      </c>
      <c r="AW14" s="182"/>
      <c r="AX14" s="181" t="str">
        <f>IF(ISBLANK(AW14),"", AW14*AW9)</f>
        <v/>
      </c>
      <c r="AY14" s="182">
        <v>97</v>
      </c>
      <c r="AZ14" s="181">
        <f>IF(ISBLANK(AY14),"", AY14*AY9)</f>
        <v>1757931</v>
      </c>
      <c r="BA14" s="178">
        <f t="shared" si="5"/>
        <v>1757931</v>
      </c>
      <c r="BB14" s="179">
        <f t="shared" si="6"/>
        <v>7539043</v>
      </c>
      <c r="BC14" s="180">
        <f>BB14/BB29</f>
        <v>9.5192027006754609E-2</v>
      </c>
    </row>
    <row r="15" spans="1:55" x14ac:dyDescent="0.25">
      <c r="A15" s="122" t="s">
        <v>59</v>
      </c>
      <c r="B15" s="177"/>
      <c r="C15" s="181" t="str">
        <f>IF(ISBLANK(B15),"", B15*B9)</f>
        <v/>
      </c>
      <c r="D15" s="177"/>
      <c r="E15" s="181" t="str">
        <f>IF(ISBLANK(D15),"", D15*D9)</f>
        <v/>
      </c>
      <c r="F15" s="182"/>
      <c r="G15" s="181" t="str">
        <f>IF(ISBLANK(F15),"", F15*F9)</f>
        <v/>
      </c>
      <c r="H15" s="182">
        <v>156</v>
      </c>
      <c r="I15" s="181">
        <f>IF(ISBLANK(H15),"", H15*H9)</f>
        <v>983268</v>
      </c>
      <c r="J15" s="182">
        <v>0</v>
      </c>
      <c r="K15" s="181">
        <f>IF(ISBLANK(J15),"", J15*J9)</f>
        <v>0</v>
      </c>
      <c r="L15" s="177">
        <v>0</v>
      </c>
      <c r="M15" s="181">
        <f>IF(ISBLANK(L15),"", L15*L9)</f>
        <v>0</v>
      </c>
      <c r="N15" s="178">
        <f t="shared" si="0"/>
        <v>983268</v>
      </c>
      <c r="O15" s="177"/>
      <c r="P15" s="181" t="str">
        <f>IF(ISBLANK(O15),"", O15*O9)</f>
        <v/>
      </c>
      <c r="Q15" s="182"/>
      <c r="R15" s="181" t="str">
        <f>IF(ISBLANK(Q15),"", Q15*Q9)</f>
        <v/>
      </c>
      <c r="S15" s="182"/>
      <c r="T15" s="181" t="str">
        <f>IF(ISBLANK(S15),"", S15*S9)</f>
        <v/>
      </c>
      <c r="U15" s="182">
        <v>129</v>
      </c>
      <c r="V15" s="181">
        <f>IF(ISBLANK(U15),"", U15*U9)</f>
        <v>609912</v>
      </c>
      <c r="W15" s="178">
        <f t="shared" si="1"/>
        <v>609912</v>
      </c>
      <c r="X15" s="182"/>
      <c r="Y15" s="181" t="str">
        <f>IF(ISBLANK(X15),"", X15*X9)</f>
        <v/>
      </c>
      <c r="Z15" s="182"/>
      <c r="AA15" s="181" t="str">
        <f>IF(ISBLANK(Z15),"", Z15*Z9)</f>
        <v/>
      </c>
      <c r="AB15" s="177"/>
      <c r="AC15" s="181" t="str">
        <f>IF(ISBLANK(AB15),"", AB15*AB9)</f>
        <v/>
      </c>
      <c r="AD15" s="178">
        <f t="shared" si="2"/>
        <v>0</v>
      </c>
      <c r="AE15" s="177"/>
      <c r="AF15" s="181" t="str">
        <f>IF(ISBLANK(AE15),"", AE15*AE9)</f>
        <v/>
      </c>
      <c r="AG15" s="182"/>
      <c r="AH15" s="181" t="str">
        <f>IF(ISBLANK(AG15),"", AG15*AG9)</f>
        <v/>
      </c>
      <c r="AI15" s="182">
        <v>0</v>
      </c>
      <c r="AJ15" s="181">
        <f>IF(ISBLANK(AI15),"", AI15*AI9)</f>
        <v>0</v>
      </c>
      <c r="AK15" s="182"/>
      <c r="AL15" s="181" t="str">
        <f>IF(ISBLANK(AK15),"", AK15*AK9)</f>
        <v/>
      </c>
      <c r="AM15" s="177">
        <v>0</v>
      </c>
      <c r="AN15" s="181">
        <f>IF(ISBLANK(AM15),"", AM15*AM9)</f>
        <v>0</v>
      </c>
      <c r="AO15" s="178">
        <f t="shared" si="3"/>
        <v>0</v>
      </c>
      <c r="AP15" s="182"/>
      <c r="AQ15" s="181" t="str">
        <f>IF(ISBLANK(AP15),"", AP15*AP9)</f>
        <v/>
      </c>
      <c r="AR15" s="182"/>
      <c r="AS15" s="181" t="str">
        <f>IF(ISBLANK(AR15),"", AR15*AR9)</f>
        <v/>
      </c>
      <c r="AT15" s="177"/>
      <c r="AU15" s="181" t="str">
        <f>IF(ISBLANK(AT15),"", AT15*AT9)</f>
        <v/>
      </c>
      <c r="AV15" s="178">
        <f t="shared" si="4"/>
        <v>0</v>
      </c>
      <c r="AW15" s="182"/>
      <c r="AX15" s="181" t="str">
        <f>IF(ISBLANK(AW15),"", AW15*AW9)</f>
        <v/>
      </c>
      <c r="AY15" s="182">
        <v>18</v>
      </c>
      <c r="AZ15" s="181">
        <f>IF(ISBLANK(AY15),"", AY15*AY9)</f>
        <v>326214</v>
      </c>
      <c r="BA15" s="178">
        <f t="shared" si="5"/>
        <v>326214</v>
      </c>
      <c r="BB15" s="179">
        <f t="shared" si="6"/>
        <v>1919394</v>
      </c>
      <c r="BC15" s="180">
        <f>BB15/BB29</f>
        <v>2.4235304863575224E-2</v>
      </c>
    </row>
    <row r="16" spans="1:55" ht="15.75" customHeight="1" thickBot="1" x14ac:dyDescent="0.3">
      <c r="A16" s="122" t="s">
        <v>60</v>
      </c>
      <c r="B16" s="177"/>
      <c r="C16" s="181" t="str">
        <f>IF(ISBLANK(B16),"", B16*B9)</f>
        <v/>
      </c>
      <c r="D16" s="177"/>
      <c r="E16" s="181" t="str">
        <f>IF(ISBLANK(D16),"", D16*D9)</f>
        <v/>
      </c>
      <c r="F16" s="182"/>
      <c r="G16" s="181" t="str">
        <f>IF(ISBLANK(F16),"", F16*F9)</f>
        <v/>
      </c>
      <c r="H16" s="182">
        <v>93</v>
      </c>
      <c r="I16" s="181">
        <f>IF(ISBLANK(H16),"", H16*H9)</f>
        <v>586179</v>
      </c>
      <c r="J16" s="182">
        <v>0</v>
      </c>
      <c r="K16" s="181">
        <f>IF(ISBLANK(J16),"", J16*J9)</f>
        <v>0</v>
      </c>
      <c r="L16" s="177">
        <v>0</v>
      </c>
      <c r="M16" s="181">
        <f>IF(ISBLANK(L16),"", L16*L9)</f>
        <v>0</v>
      </c>
      <c r="N16" s="178">
        <f t="shared" si="0"/>
        <v>586179</v>
      </c>
      <c r="O16" s="177"/>
      <c r="P16" s="181" t="str">
        <f>IF(ISBLANK(O16),"", O16*O9)</f>
        <v/>
      </c>
      <c r="Q16" s="182"/>
      <c r="R16" s="181" t="str">
        <f>IF(ISBLANK(Q16),"", Q16*Q9)</f>
        <v/>
      </c>
      <c r="S16" s="182"/>
      <c r="T16" s="181" t="str">
        <f>IF(ISBLANK(S16),"", S16*S9)</f>
        <v/>
      </c>
      <c r="U16" s="182">
        <v>88</v>
      </c>
      <c r="V16" s="181">
        <f>IF(ISBLANK(U16),"", U16*U9)</f>
        <v>416064</v>
      </c>
      <c r="W16" s="178">
        <f t="shared" si="1"/>
        <v>416064</v>
      </c>
      <c r="X16" s="182"/>
      <c r="Y16" s="181" t="str">
        <f>IF(ISBLANK(X16),"", X16*X9)</f>
        <v/>
      </c>
      <c r="Z16" s="182"/>
      <c r="AA16" s="181" t="str">
        <f>IF(ISBLANK(Z16),"", Z16*Z9)</f>
        <v/>
      </c>
      <c r="AB16" s="177"/>
      <c r="AC16" s="181" t="str">
        <f>IF(ISBLANK(AB16),"", AB16*AB9)</f>
        <v/>
      </c>
      <c r="AD16" s="178">
        <f t="shared" si="2"/>
        <v>0</v>
      </c>
      <c r="AE16" s="177"/>
      <c r="AF16" s="181" t="str">
        <f>IF(ISBLANK(AE16),"", AE16*AE9)</f>
        <v/>
      </c>
      <c r="AG16" s="182"/>
      <c r="AH16" s="181" t="str">
        <f>IF(ISBLANK(AG16),"", AG16*AG9)</f>
        <v/>
      </c>
      <c r="AI16" s="182">
        <v>62</v>
      </c>
      <c r="AJ16" s="181">
        <f>IF(ISBLANK(AI16),"", AI16*AI9)</f>
        <v>39060</v>
      </c>
      <c r="AK16" s="182"/>
      <c r="AL16" s="181" t="str">
        <f>IF(ISBLANK(AK16),"", AK16*AK9)</f>
        <v/>
      </c>
      <c r="AM16" s="177">
        <v>0</v>
      </c>
      <c r="AN16" s="181">
        <f>IF(ISBLANK(AM16),"", AM16*AM9)</f>
        <v>0</v>
      </c>
      <c r="AO16" s="178">
        <f t="shared" si="3"/>
        <v>39060</v>
      </c>
      <c r="AP16" s="182"/>
      <c r="AQ16" s="181" t="str">
        <f>IF(ISBLANK(AP16),"", AP16*AP9)</f>
        <v/>
      </c>
      <c r="AR16" s="182"/>
      <c r="AS16" s="181" t="str">
        <f>IF(ISBLANK(AR16),"", AR16*AR9)</f>
        <v/>
      </c>
      <c r="AT16" s="177"/>
      <c r="AU16" s="181" t="str">
        <f>IF(ISBLANK(AT16),"", AT16*AT9)</f>
        <v/>
      </c>
      <c r="AV16" s="178">
        <f t="shared" si="4"/>
        <v>0</v>
      </c>
      <c r="AW16" s="182"/>
      <c r="AX16" s="181" t="str">
        <f>IF(ISBLANK(AW16),"", AW16*AW9)</f>
        <v/>
      </c>
      <c r="AY16" s="182">
        <v>25</v>
      </c>
      <c r="AZ16" s="181">
        <f>IF(ISBLANK(AY16),"", AY16*AY9)</f>
        <v>453075</v>
      </c>
      <c r="BA16" s="178">
        <f t="shared" si="5"/>
        <v>453075</v>
      </c>
      <c r="BB16" s="183">
        <f t="shared" si="6"/>
        <v>1494378</v>
      </c>
      <c r="BC16" s="184">
        <f>BB16/BB29</f>
        <v>1.8868823394998534E-2</v>
      </c>
    </row>
    <row r="17" spans="1:55" ht="15.75" customHeight="1" thickTop="1" x14ac:dyDescent="0.25">
      <c r="A17" s="185" t="s">
        <v>126</v>
      </c>
      <c r="B17" s="186" t="str">
        <f t="shared" ref="B17:M17" si="7">IF(COUNT(B10:B16) = 0, "", SUM(B10:B16))</f>
        <v/>
      </c>
      <c r="C17" s="187" t="str">
        <f t="shared" si="7"/>
        <v/>
      </c>
      <c r="D17" s="186" t="str">
        <f t="shared" si="7"/>
        <v/>
      </c>
      <c r="E17" s="187" t="str">
        <f t="shared" si="7"/>
        <v/>
      </c>
      <c r="F17" s="188" t="str">
        <f t="shared" si="7"/>
        <v/>
      </c>
      <c r="G17" s="187" t="str">
        <f t="shared" si="7"/>
        <v/>
      </c>
      <c r="H17" s="188">
        <f t="shared" si="7"/>
        <v>1295</v>
      </c>
      <c r="I17" s="187">
        <f t="shared" si="7"/>
        <v>8162385</v>
      </c>
      <c r="J17" s="188">
        <f t="shared" si="7"/>
        <v>19</v>
      </c>
      <c r="K17" s="187">
        <f t="shared" si="7"/>
        <v>59888</v>
      </c>
      <c r="L17" s="186">
        <f t="shared" si="7"/>
        <v>15</v>
      </c>
      <c r="M17" s="187">
        <f t="shared" si="7"/>
        <v>23640</v>
      </c>
      <c r="N17" s="189">
        <f>SUM(N10:N16)</f>
        <v>8245913</v>
      </c>
      <c r="O17" s="186" t="str">
        <f t="shared" ref="O17:V17" si="8">IF(COUNT(O10:O16) = 0, "", SUM(O10:O16))</f>
        <v/>
      </c>
      <c r="P17" s="187" t="str">
        <f t="shared" si="8"/>
        <v/>
      </c>
      <c r="Q17" s="188" t="str">
        <f t="shared" si="8"/>
        <v/>
      </c>
      <c r="R17" s="187" t="str">
        <f t="shared" si="8"/>
        <v/>
      </c>
      <c r="S17" s="188" t="str">
        <f t="shared" si="8"/>
        <v/>
      </c>
      <c r="T17" s="187" t="str">
        <f t="shared" si="8"/>
        <v/>
      </c>
      <c r="U17" s="188">
        <f t="shared" si="8"/>
        <v>1147</v>
      </c>
      <c r="V17" s="187">
        <f t="shared" si="8"/>
        <v>5423016</v>
      </c>
      <c r="W17" s="189">
        <f>SUM(W10:W16)</f>
        <v>5423016</v>
      </c>
      <c r="X17" s="188">
        <f t="shared" ref="X17:AC17" si="9">IF(COUNT(X10:X16) = 0, "", SUM(X10:X16))</f>
        <v>313</v>
      </c>
      <c r="Y17" s="187">
        <f t="shared" si="9"/>
        <v>4932567</v>
      </c>
      <c r="Z17" s="188">
        <f t="shared" si="9"/>
        <v>0</v>
      </c>
      <c r="AA17" s="187">
        <f t="shared" si="9"/>
        <v>0</v>
      </c>
      <c r="AB17" s="186">
        <f t="shared" si="9"/>
        <v>6</v>
      </c>
      <c r="AC17" s="187">
        <f t="shared" si="9"/>
        <v>33096</v>
      </c>
      <c r="AD17" s="189">
        <f>SUM(AD10:AD16)</f>
        <v>4965663</v>
      </c>
      <c r="AE17" s="186" t="str">
        <f t="shared" ref="AE17:AN17" si="10">IF(COUNT(AE10:AE16) = 0, "", SUM(AE10:AE16))</f>
        <v/>
      </c>
      <c r="AF17" s="187" t="str">
        <f t="shared" si="10"/>
        <v/>
      </c>
      <c r="AG17" s="188" t="str">
        <f t="shared" si="10"/>
        <v/>
      </c>
      <c r="AH17" s="187" t="str">
        <f t="shared" si="10"/>
        <v/>
      </c>
      <c r="AI17" s="188">
        <f t="shared" si="10"/>
        <v>250</v>
      </c>
      <c r="AJ17" s="187">
        <f t="shared" si="10"/>
        <v>157500</v>
      </c>
      <c r="AK17" s="188" t="str">
        <f t="shared" si="10"/>
        <v/>
      </c>
      <c r="AL17" s="187" t="str">
        <f t="shared" si="10"/>
        <v/>
      </c>
      <c r="AM17" s="186">
        <f t="shared" si="10"/>
        <v>159</v>
      </c>
      <c r="AN17" s="187">
        <f t="shared" si="10"/>
        <v>187938</v>
      </c>
      <c r="AO17" s="189">
        <f>SUM(AO10:AO16)</f>
        <v>345438</v>
      </c>
      <c r="AP17" s="188" t="str">
        <f t="shared" ref="AP17:AU17" si="11">IF(COUNT(AP10:AP16) = 0, "", SUM(AP10:AP16))</f>
        <v/>
      </c>
      <c r="AQ17" s="187" t="str">
        <f t="shared" si="11"/>
        <v/>
      </c>
      <c r="AR17" s="188" t="str">
        <f t="shared" si="11"/>
        <v/>
      </c>
      <c r="AS17" s="187" t="str">
        <f t="shared" si="11"/>
        <v/>
      </c>
      <c r="AT17" s="186" t="str">
        <f t="shared" si="11"/>
        <v/>
      </c>
      <c r="AU17" s="187" t="str">
        <f t="shared" si="11"/>
        <v/>
      </c>
      <c r="AV17" s="189">
        <f>SUM(AV10:AV16)</f>
        <v>0</v>
      </c>
      <c r="AW17" s="188" t="str">
        <f>IF(COUNT(AW10:AW16) = 0, "", SUM(AW10:AW16))</f>
        <v/>
      </c>
      <c r="AX17" s="187" t="str">
        <f>IF(COUNT(AX10:AX16) = 0, "", SUM(AX10:AX16))</f>
        <v/>
      </c>
      <c r="AY17" s="188">
        <f>IF(COUNT(AY10:AY16) = 0, "", SUM(AY10:AY16))</f>
        <v>524</v>
      </c>
      <c r="AZ17" s="187">
        <f>IF(COUNT(AZ10:AZ16) = 0, "", SUM(AZ10:AZ16))</f>
        <v>9496452</v>
      </c>
      <c r="BA17" s="189">
        <f>SUM(BA10:BA16)</f>
        <v>9496452</v>
      </c>
      <c r="BB17" s="190">
        <f t="shared" si="6"/>
        <v>28476482</v>
      </c>
      <c r="BC17" s="191">
        <f>BB17/BB29</f>
        <v>0.35955943527598416</v>
      </c>
    </row>
    <row r="18" spans="1:55" x14ac:dyDescent="0.25">
      <c r="A18" s="192"/>
      <c r="B18" s="193"/>
      <c r="C18" s="194"/>
      <c r="D18" s="195"/>
      <c r="E18" s="195"/>
      <c r="F18" s="196"/>
      <c r="G18" s="194"/>
      <c r="H18" s="196"/>
      <c r="I18" s="194"/>
      <c r="J18" s="196"/>
      <c r="K18" s="194"/>
      <c r="L18" s="193"/>
      <c r="M18" s="194"/>
      <c r="N18" s="197"/>
      <c r="O18" s="193"/>
      <c r="P18" s="194"/>
      <c r="Q18" s="195"/>
      <c r="R18" s="195"/>
      <c r="S18" s="196"/>
      <c r="T18" s="194"/>
      <c r="U18" s="196"/>
      <c r="V18" s="194"/>
      <c r="W18" s="197"/>
      <c r="X18" s="196"/>
      <c r="Y18" s="194"/>
      <c r="Z18" s="196"/>
      <c r="AA18" s="194"/>
      <c r="AB18" s="193"/>
      <c r="AC18" s="194"/>
      <c r="AD18" s="197"/>
      <c r="AE18" s="193"/>
      <c r="AF18" s="194"/>
      <c r="AG18" s="196"/>
      <c r="AH18" s="194"/>
      <c r="AI18" s="196"/>
      <c r="AJ18" s="194"/>
      <c r="AK18" s="196"/>
      <c r="AL18" s="194"/>
      <c r="AM18" s="193"/>
      <c r="AN18" s="194"/>
      <c r="AO18" s="197"/>
      <c r="AP18" s="196"/>
      <c r="AQ18" s="194"/>
      <c r="AR18" s="196"/>
      <c r="AS18" s="194"/>
      <c r="AT18" s="193"/>
      <c r="AU18" s="194"/>
      <c r="AV18" s="197"/>
      <c r="AW18" s="196"/>
      <c r="AX18" s="194"/>
      <c r="AY18" s="196"/>
      <c r="AZ18" s="194"/>
      <c r="BA18" s="197"/>
      <c r="BB18" s="198"/>
      <c r="BC18" s="199"/>
    </row>
    <row r="19" spans="1:55" x14ac:dyDescent="0.25">
      <c r="A19" s="122" t="s">
        <v>66</v>
      </c>
      <c r="B19" s="177"/>
      <c r="C19" s="181" t="str">
        <f>IF(ISBLANK(B19),"", B19*B9)</f>
        <v/>
      </c>
      <c r="D19" s="177"/>
      <c r="E19" s="181" t="str">
        <f>IF(ISBLANK(D19),"", D19*D9)</f>
        <v/>
      </c>
      <c r="F19" s="182"/>
      <c r="G19" s="181" t="str">
        <f>IF(ISBLANK(F19),"", F19*F9)</f>
        <v/>
      </c>
      <c r="H19" s="182">
        <v>0</v>
      </c>
      <c r="I19" s="181">
        <f>IF(ISBLANK(H19),"", H19*H9)</f>
        <v>0</v>
      </c>
      <c r="J19" s="182">
        <v>32</v>
      </c>
      <c r="K19" s="181">
        <f>IF(ISBLANK(J19),"", J19*J9)</f>
        <v>100864</v>
      </c>
      <c r="L19" s="177">
        <v>11</v>
      </c>
      <c r="M19" s="181">
        <f>IF(ISBLANK(L19),"", L19*L9)</f>
        <v>17336</v>
      </c>
      <c r="N19" s="178">
        <f>SUM(C19,E19,G19,I19,K19,M19)</f>
        <v>118200</v>
      </c>
      <c r="O19" s="177"/>
      <c r="P19" s="181" t="str">
        <f>IF(ISBLANK(O19),"", O19*O9)</f>
        <v/>
      </c>
      <c r="Q19" s="182"/>
      <c r="R19" s="181" t="str">
        <f>IF(ISBLANK(Q19),"", Q19*Q9)</f>
        <v/>
      </c>
      <c r="S19" s="182"/>
      <c r="T19" s="181" t="str">
        <f>IF(ISBLANK(S19),"", S19*S9)</f>
        <v/>
      </c>
      <c r="U19" s="182">
        <v>57</v>
      </c>
      <c r="V19" s="181">
        <f>IF(ISBLANK(U19),"", U19*U9)</f>
        <v>269496</v>
      </c>
      <c r="W19" s="178">
        <f>SUM(P19,R19,T19,V19)</f>
        <v>269496</v>
      </c>
      <c r="X19" s="182">
        <v>0</v>
      </c>
      <c r="Y19" s="181">
        <f>IF(ISBLANK(X19),"", X19*X9)</f>
        <v>0</v>
      </c>
      <c r="Z19" s="182">
        <v>30</v>
      </c>
      <c r="AA19" s="181">
        <f>IF(ISBLANK(Z19),"", Z19*Z9)</f>
        <v>330930</v>
      </c>
      <c r="AB19" s="177">
        <v>15</v>
      </c>
      <c r="AC19" s="181">
        <f>IF(ISBLANK(AB19),"", AB19*AB9)</f>
        <v>82740</v>
      </c>
      <c r="AD19" s="178">
        <f>SUM(Y19,AA19,AC19)</f>
        <v>413670</v>
      </c>
      <c r="AE19" s="177"/>
      <c r="AF19" s="181" t="str">
        <f>IF(ISBLANK(AE19),"", AE19*AE9)</f>
        <v/>
      </c>
      <c r="AG19" s="182"/>
      <c r="AH19" s="181" t="str">
        <f>IF(ISBLANK(AG19),"", AG19*AG9)</f>
        <v/>
      </c>
      <c r="AI19" s="182"/>
      <c r="AJ19" s="181" t="str">
        <f>IF(ISBLANK(AI19),"", AI19*AI9)</f>
        <v/>
      </c>
      <c r="AK19" s="182"/>
      <c r="AL19" s="181" t="str">
        <f>IF(ISBLANK(AK19),"", AK19*AK9)</f>
        <v/>
      </c>
      <c r="AM19" s="177"/>
      <c r="AN19" s="181" t="str">
        <f>IF(ISBLANK(AM19),"", AM19*AM9)</f>
        <v/>
      </c>
      <c r="AO19" s="178">
        <f>SUM(AF19,AH19,AJ19,AL19,AN19)</f>
        <v>0</v>
      </c>
      <c r="AP19" s="182"/>
      <c r="AQ19" s="181" t="str">
        <f>IF(ISBLANK(AP19),"", AP19*AP9)</f>
        <v/>
      </c>
      <c r="AR19" s="182"/>
      <c r="AS19" s="181" t="str">
        <f>IF(ISBLANK(AR19),"", AR19*AR9)</f>
        <v/>
      </c>
      <c r="AT19" s="177"/>
      <c r="AU19" s="181" t="str">
        <f>IF(ISBLANK(AT19),"", AT19*AT9)</f>
        <v/>
      </c>
      <c r="AV19" s="178">
        <f>SUM(AQ19,AS19,AU19)</f>
        <v>0</v>
      </c>
      <c r="AW19" s="182"/>
      <c r="AX19" s="181" t="str">
        <f>IF(ISBLANK(AW19),"", AW19*AW9)</f>
        <v/>
      </c>
      <c r="AY19" s="182">
        <v>229</v>
      </c>
      <c r="AZ19" s="181">
        <f>IF(ISBLANK(AY19),"", AY19*AY9)</f>
        <v>4150167</v>
      </c>
      <c r="BA19" s="178">
        <f>SUM(AX19,AZ19)</f>
        <v>4150167</v>
      </c>
      <c r="BB19" s="179">
        <f>SUM(N19,W19,AD19,AO19,AV19,BA19)</f>
        <v>4951533</v>
      </c>
      <c r="BC19" s="180">
        <f>BB19/BB29</f>
        <v>6.2520728832669695E-2</v>
      </c>
    </row>
    <row r="20" spans="1:55" x14ac:dyDescent="0.25">
      <c r="A20" s="122" t="s">
        <v>67</v>
      </c>
      <c r="B20" s="177"/>
      <c r="C20" s="181" t="str">
        <f>IF(ISBLANK(B20),"", B20*B9)</f>
        <v/>
      </c>
      <c r="D20" s="177"/>
      <c r="E20" s="181" t="str">
        <f>IF(ISBLANK(D20),"", D20*D9)</f>
        <v/>
      </c>
      <c r="F20" s="182"/>
      <c r="G20" s="181" t="str">
        <f>IF(ISBLANK(F20),"", F20*F9)</f>
        <v/>
      </c>
      <c r="H20" s="182">
        <v>305</v>
      </c>
      <c r="I20" s="181">
        <f>IF(ISBLANK(H20),"", H20*H9)</f>
        <v>1922415</v>
      </c>
      <c r="J20" s="182">
        <v>132</v>
      </c>
      <c r="K20" s="181">
        <f>IF(ISBLANK(J20),"", J20*J9)</f>
        <v>416064</v>
      </c>
      <c r="L20" s="177">
        <v>0</v>
      </c>
      <c r="M20" s="181">
        <f>IF(ISBLANK(L20),"", L20*L9)</f>
        <v>0</v>
      </c>
      <c r="N20" s="178">
        <f>SUM(C20,E20,G20,I20,K20,M20)</f>
        <v>2338479</v>
      </c>
      <c r="O20" s="177"/>
      <c r="P20" s="181" t="str">
        <f>IF(ISBLANK(O20),"", O20*O9)</f>
        <v/>
      </c>
      <c r="Q20" s="182"/>
      <c r="R20" s="181" t="str">
        <f>IF(ISBLANK(Q20),"", Q20*Q9)</f>
        <v/>
      </c>
      <c r="S20" s="182"/>
      <c r="T20" s="181" t="str">
        <f>IF(ISBLANK(S20),"", S20*S9)</f>
        <v/>
      </c>
      <c r="U20" s="182">
        <v>107</v>
      </c>
      <c r="V20" s="181">
        <f>IF(ISBLANK(U20),"", U20*U9)</f>
        <v>505896</v>
      </c>
      <c r="W20" s="178">
        <f>SUM(P20,R20,T20,V20)</f>
        <v>505896</v>
      </c>
      <c r="X20" s="182"/>
      <c r="Y20" s="181" t="str">
        <f>IF(ISBLANK(X20),"", X20*X9)</f>
        <v/>
      </c>
      <c r="Z20" s="182"/>
      <c r="AA20" s="181" t="str">
        <f>IF(ISBLANK(Z20),"", Z20*Z9)</f>
        <v/>
      </c>
      <c r="AB20" s="177"/>
      <c r="AC20" s="181" t="str">
        <f>IF(ISBLANK(AB20),"", AB20*AB9)</f>
        <v/>
      </c>
      <c r="AD20" s="178">
        <f>SUM(Y20,AA20,AC20)</f>
        <v>0</v>
      </c>
      <c r="AE20" s="177"/>
      <c r="AF20" s="181" t="str">
        <f>IF(ISBLANK(AE20),"", AE20*AE9)</f>
        <v/>
      </c>
      <c r="AG20" s="182"/>
      <c r="AH20" s="181" t="str">
        <f>IF(ISBLANK(AG20),"", AG20*AG9)</f>
        <v/>
      </c>
      <c r="AI20" s="182">
        <v>0</v>
      </c>
      <c r="AJ20" s="181">
        <f>IF(ISBLANK(AI20),"", AI20*AI9)</f>
        <v>0</v>
      </c>
      <c r="AK20" s="182"/>
      <c r="AL20" s="181" t="str">
        <f>IF(ISBLANK(AK20),"", AK20*AK9)</f>
        <v/>
      </c>
      <c r="AM20" s="177">
        <v>0</v>
      </c>
      <c r="AN20" s="181">
        <f>IF(ISBLANK(AM20),"", AM20*AM9)</f>
        <v>0</v>
      </c>
      <c r="AO20" s="178">
        <f>SUM(AF20,AH20,AJ20,AL20,AN20)</f>
        <v>0</v>
      </c>
      <c r="AP20" s="182"/>
      <c r="AQ20" s="181" t="str">
        <f>IF(ISBLANK(AP20),"", AP20*AP9)</f>
        <v/>
      </c>
      <c r="AR20" s="182"/>
      <c r="AS20" s="181" t="str">
        <f>IF(ISBLANK(AR20),"", AR20*AR9)</f>
        <v/>
      </c>
      <c r="AT20" s="177"/>
      <c r="AU20" s="181" t="str">
        <f>IF(ISBLANK(AT20),"", AT20*AT9)</f>
        <v/>
      </c>
      <c r="AV20" s="178">
        <f>SUM(AQ20,AS20,AU20)</f>
        <v>0</v>
      </c>
      <c r="AW20" s="182"/>
      <c r="AX20" s="181" t="str">
        <f>IF(ISBLANK(AW20),"", AW20*AW9)</f>
        <v/>
      </c>
      <c r="AY20" s="182">
        <v>44</v>
      </c>
      <c r="AZ20" s="181">
        <f>IF(ISBLANK(AY20),"", AY20*AY9)</f>
        <v>797412</v>
      </c>
      <c r="BA20" s="178">
        <f>SUM(AX20,AZ20)</f>
        <v>797412</v>
      </c>
      <c r="BB20" s="179">
        <f>SUM(N20,W20,AD20,AO20,AV20,BA20)</f>
        <v>3641787</v>
      </c>
      <c r="BC20" s="180">
        <f>BB20/BB29</f>
        <v>4.5983168746596595E-2</v>
      </c>
    </row>
    <row r="21" spans="1:55" ht="15.75" customHeight="1" thickBot="1" x14ac:dyDescent="0.3">
      <c r="A21" s="122" t="s">
        <v>68</v>
      </c>
      <c r="B21" s="177"/>
      <c r="C21" s="181" t="str">
        <f>IF(ISBLANK(B21),"", B21*B9)</f>
        <v/>
      </c>
      <c r="D21" s="177"/>
      <c r="E21" s="181" t="str">
        <f>IF(ISBLANK(D21),"", D21*D9)</f>
        <v/>
      </c>
      <c r="F21" s="182"/>
      <c r="G21" s="181" t="str">
        <f>IF(ISBLANK(F21),"", F21*F9)</f>
        <v/>
      </c>
      <c r="H21" s="182">
        <v>173</v>
      </c>
      <c r="I21" s="181">
        <f>IF(ISBLANK(H21),"", H21*H9)</f>
        <v>1090419</v>
      </c>
      <c r="J21" s="182">
        <v>0</v>
      </c>
      <c r="K21" s="181">
        <f>IF(ISBLANK(J21),"", J21*J9)</f>
        <v>0</v>
      </c>
      <c r="L21" s="177">
        <v>0</v>
      </c>
      <c r="M21" s="181">
        <f>IF(ISBLANK(L21),"", L21*L9)</f>
        <v>0</v>
      </c>
      <c r="N21" s="178">
        <f>SUM(C21,E21,G21,I21,K21,M21)</f>
        <v>1090419</v>
      </c>
      <c r="O21" s="177"/>
      <c r="P21" s="181" t="str">
        <f>IF(ISBLANK(O21),"", O21*O9)</f>
        <v/>
      </c>
      <c r="Q21" s="182"/>
      <c r="R21" s="181" t="str">
        <f>IF(ISBLANK(Q21),"", Q21*Q9)</f>
        <v/>
      </c>
      <c r="S21" s="182"/>
      <c r="T21" s="181" t="str">
        <f>IF(ISBLANK(S21),"", S21*S9)</f>
        <v/>
      </c>
      <c r="U21" s="182">
        <v>143</v>
      </c>
      <c r="V21" s="181">
        <f>IF(ISBLANK(U21),"", U21*U9)</f>
        <v>676104</v>
      </c>
      <c r="W21" s="178">
        <f>SUM(P21,R21,T21,V21)</f>
        <v>676104</v>
      </c>
      <c r="X21" s="182"/>
      <c r="Y21" s="181" t="str">
        <f>IF(ISBLANK(X21),"", X21*X9)</f>
        <v/>
      </c>
      <c r="Z21" s="182"/>
      <c r="AA21" s="181" t="str">
        <f>IF(ISBLANK(Z21),"", Z21*Z9)</f>
        <v/>
      </c>
      <c r="AB21" s="177"/>
      <c r="AC21" s="181" t="str">
        <f>IF(ISBLANK(AB21),"", AB21*AB9)</f>
        <v/>
      </c>
      <c r="AD21" s="178">
        <f>SUM(Y21,AA21,AC21)</f>
        <v>0</v>
      </c>
      <c r="AE21" s="177"/>
      <c r="AF21" s="181" t="str">
        <f>IF(ISBLANK(AE21),"", AE21*AE9)</f>
        <v/>
      </c>
      <c r="AG21" s="182"/>
      <c r="AH21" s="181" t="str">
        <f>IF(ISBLANK(AG21),"", AG21*AG9)</f>
        <v/>
      </c>
      <c r="AI21" s="182">
        <v>0</v>
      </c>
      <c r="AJ21" s="181">
        <f>IF(ISBLANK(AI21),"", AI21*AI9)</f>
        <v>0</v>
      </c>
      <c r="AK21" s="182"/>
      <c r="AL21" s="181" t="str">
        <f>IF(ISBLANK(AK21),"", AK21*AK9)</f>
        <v/>
      </c>
      <c r="AM21" s="177">
        <v>0</v>
      </c>
      <c r="AN21" s="181">
        <f>IF(ISBLANK(AM21),"", AM21*AM9)</f>
        <v>0</v>
      </c>
      <c r="AO21" s="178">
        <f>SUM(AF21,AH21,AJ21,AL21,AN21)</f>
        <v>0</v>
      </c>
      <c r="AP21" s="182"/>
      <c r="AQ21" s="181" t="str">
        <f>IF(ISBLANK(AP21),"", AP21*AP9)</f>
        <v/>
      </c>
      <c r="AR21" s="182"/>
      <c r="AS21" s="181" t="str">
        <f>IF(ISBLANK(AR21),"", AR21*AR9)</f>
        <v/>
      </c>
      <c r="AT21" s="177"/>
      <c r="AU21" s="181" t="str">
        <f>IF(ISBLANK(AT21),"", AT21*AT9)</f>
        <v/>
      </c>
      <c r="AV21" s="178">
        <f>SUM(AQ21,AS21,AU21)</f>
        <v>0</v>
      </c>
      <c r="AW21" s="182"/>
      <c r="AX21" s="181" t="str">
        <f>IF(ISBLANK(AW21),"", AW21*AW9)</f>
        <v/>
      </c>
      <c r="AY21" s="182">
        <v>42</v>
      </c>
      <c r="AZ21" s="181">
        <f>IF(ISBLANK(AY21),"", AY21*AY9)</f>
        <v>761166</v>
      </c>
      <c r="BA21" s="178">
        <f>SUM(AX21,AZ21)</f>
        <v>761166</v>
      </c>
      <c r="BB21" s="183">
        <f>SUM(N21,W21,AD21,AO21,AV21,BA21)</f>
        <v>2527689</v>
      </c>
      <c r="BC21" s="184">
        <f>BB21/BB29</f>
        <v>3.191596593263582E-2</v>
      </c>
    </row>
    <row r="22" spans="1:55" ht="15.75" customHeight="1" thickTop="1" x14ac:dyDescent="0.25">
      <c r="A22" s="185" t="s">
        <v>127</v>
      </c>
      <c r="B22" s="186" t="str">
        <f t="shared" ref="B22:M22" si="12">IF(COUNT(B19:B21) = 0, "", SUM(B19:B21))</f>
        <v/>
      </c>
      <c r="C22" s="187" t="str">
        <f t="shared" si="12"/>
        <v/>
      </c>
      <c r="D22" s="186" t="str">
        <f t="shared" si="12"/>
        <v/>
      </c>
      <c r="E22" s="187" t="str">
        <f t="shared" si="12"/>
        <v/>
      </c>
      <c r="F22" s="188" t="str">
        <f t="shared" si="12"/>
        <v/>
      </c>
      <c r="G22" s="187" t="str">
        <f t="shared" si="12"/>
        <v/>
      </c>
      <c r="H22" s="188">
        <f t="shared" si="12"/>
        <v>478</v>
      </c>
      <c r="I22" s="187">
        <f t="shared" si="12"/>
        <v>3012834</v>
      </c>
      <c r="J22" s="188">
        <f t="shared" si="12"/>
        <v>164</v>
      </c>
      <c r="K22" s="187">
        <f t="shared" si="12"/>
        <v>516928</v>
      </c>
      <c r="L22" s="186">
        <f t="shared" si="12"/>
        <v>11</v>
      </c>
      <c r="M22" s="187">
        <f t="shared" si="12"/>
        <v>17336</v>
      </c>
      <c r="N22" s="189">
        <f>SUM(N19:N21)</f>
        <v>3547098</v>
      </c>
      <c r="O22" s="186" t="str">
        <f t="shared" ref="O22:V22" si="13">IF(COUNT(O19:O21) = 0, "", SUM(O19:O21))</f>
        <v/>
      </c>
      <c r="P22" s="187" t="str">
        <f t="shared" si="13"/>
        <v/>
      </c>
      <c r="Q22" s="188" t="str">
        <f t="shared" si="13"/>
        <v/>
      </c>
      <c r="R22" s="187" t="str">
        <f t="shared" si="13"/>
        <v/>
      </c>
      <c r="S22" s="188" t="str">
        <f t="shared" si="13"/>
        <v/>
      </c>
      <c r="T22" s="187" t="str">
        <f t="shared" si="13"/>
        <v/>
      </c>
      <c r="U22" s="188">
        <f t="shared" si="13"/>
        <v>307</v>
      </c>
      <c r="V22" s="187">
        <f t="shared" si="13"/>
        <v>1451496</v>
      </c>
      <c r="W22" s="189">
        <f>SUM(W19:W21)</f>
        <v>1451496</v>
      </c>
      <c r="X22" s="188">
        <f t="shared" ref="X22:AC22" si="14">IF(COUNT(X19:X21) = 0, "", SUM(X19:X21))</f>
        <v>0</v>
      </c>
      <c r="Y22" s="187">
        <f t="shared" si="14"/>
        <v>0</v>
      </c>
      <c r="Z22" s="188">
        <f t="shared" si="14"/>
        <v>30</v>
      </c>
      <c r="AA22" s="187">
        <f t="shared" si="14"/>
        <v>330930</v>
      </c>
      <c r="AB22" s="186">
        <f t="shared" si="14"/>
        <v>15</v>
      </c>
      <c r="AC22" s="187">
        <f t="shared" si="14"/>
        <v>82740</v>
      </c>
      <c r="AD22" s="189">
        <f>SUM(AD19:AD21)</f>
        <v>413670</v>
      </c>
      <c r="AE22" s="186" t="str">
        <f t="shared" ref="AE22:AN22" si="15">IF(COUNT(AE19:AE21) = 0, "", SUM(AE19:AE21))</f>
        <v/>
      </c>
      <c r="AF22" s="187" t="str">
        <f t="shared" si="15"/>
        <v/>
      </c>
      <c r="AG22" s="188" t="str">
        <f t="shared" si="15"/>
        <v/>
      </c>
      <c r="AH22" s="187" t="str">
        <f t="shared" si="15"/>
        <v/>
      </c>
      <c r="AI22" s="188">
        <f t="shared" si="15"/>
        <v>0</v>
      </c>
      <c r="AJ22" s="187">
        <f t="shared" si="15"/>
        <v>0</v>
      </c>
      <c r="AK22" s="188" t="str">
        <f t="shared" si="15"/>
        <v/>
      </c>
      <c r="AL22" s="187" t="str">
        <f t="shared" si="15"/>
        <v/>
      </c>
      <c r="AM22" s="186">
        <f t="shared" si="15"/>
        <v>0</v>
      </c>
      <c r="AN22" s="187">
        <f t="shared" si="15"/>
        <v>0</v>
      </c>
      <c r="AO22" s="189">
        <f>SUM(AO19:AO21)</f>
        <v>0</v>
      </c>
      <c r="AP22" s="188" t="str">
        <f t="shared" ref="AP22:AU22" si="16">IF(COUNT(AP19:AP21) = 0, "", SUM(AP19:AP21))</f>
        <v/>
      </c>
      <c r="AQ22" s="187" t="str">
        <f t="shared" si="16"/>
        <v/>
      </c>
      <c r="AR22" s="188" t="str">
        <f t="shared" si="16"/>
        <v/>
      </c>
      <c r="AS22" s="187" t="str">
        <f t="shared" si="16"/>
        <v/>
      </c>
      <c r="AT22" s="186" t="str">
        <f t="shared" si="16"/>
        <v/>
      </c>
      <c r="AU22" s="187" t="str">
        <f t="shared" si="16"/>
        <v/>
      </c>
      <c r="AV22" s="189">
        <f>SUM(AV19:AV21)</f>
        <v>0</v>
      </c>
      <c r="AW22" s="188" t="str">
        <f>IF(COUNT(AW19:AW21) = 0, "", SUM(AW19:AW21))</f>
        <v/>
      </c>
      <c r="AX22" s="187" t="str">
        <f>IF(COUNT(AX19:AX21) = 0, "", SUM(AX19:AX21))</f>
        <v/>
      </c>
      <c r="AY22" s="188">
        <f>IF(COUNT(AY19:AY21) = 0, "", SUM(AY19:AY21))</f>
        <v>315</v>
      </c>
      <c r="AZ22" s="187">
        <f>IF(COUNT(AZ19:AZ21) = 0, "", SUM(AZ19:AZ21))</f>
        <v>5708745</v>
      </c>
      <c r="BA22" s="189">
        <f>SUM(BA19:BA21)</f>
        <v>5708745</v>
      </c>
      <c r="BB22" s="190">
        <f>SUM(N22,W22,AD22,AO22,AV22,BA22)</f>
        <v>11121009</v>
      </c>
      <c r="BC22" s="191">
        <f>BB22/BB29</f>
        <v>0.14041986351190211</v>
      </c>
    </row>
    <row r="23" spans="1:55" x14ac:dyDescent="0.25">
      <c r="A23" s="192"/>
      <c r="B23" s="200"/>
      <c r="C23" s="201"/>
      <c r="D23" s="202"/>
      <c r="E23" s="202"/>
      <c r="F23" s="203"/>
      <c r="G23" s="201"/>
      <c r="H23" s="203"/>
      <c r="I23" s="201"/>
      <c r="J23" s="203"/>
      <c r="K23" s="201"/>
      <c r="L23" s="200"/>
      <c r="M23" s="201"/>
      <c r="N23" s="204"/>
      <c r="O23" s="200"/>
      <c r="P23" s="201"/>
      <c r="Q23" s="202"/>
      <c r="R23" s="202"/>
      <c r="S23" s="203"/>
      <c r="T23" s="201"/>
      <c r="U23" s="203"/>
      <c r="V23" s="201"/>
      <c r="W23" s="204"/>
      <c r="X23" s="203"/>
      <c r="Y23" s="201"/>
      <c r="Z23" s="203"/>
      <c r="AA23" s="201"/>
      <c r="AB23" s="200"/>
      <c r="AC23" s="201"/>
      <c r="AD23" s="204"/>
      <c r="AE23" s="200"/>
      <c r="AF23" s="201"/>
      <c r="AG23" s="203"/>
      <c r="AH23" s="201"/>
      <c r="AI23" s="203"/>
      <c r="AJ23" s="201"/>
      <c r="AK23" s="203"/>
      <c r="AL23" s="201"/>
      <c r="AM23" s="200"/>
      <c r="AN23" s="201"/>
      <c r="AO23" s="204"/>
      <c r="AP23" s="203"/>
      <c r="AQ23" s="201"/>
      <c r="AR23" s="203"/>
      <c r="AS23" s="201"/>
      <c r="AT23" s="200"/>
      <c r="AU23" s="201"/>
      <c r="AV23" s="204"/>
      <c r="AW23" s="203"/>
      <c r="AX23" s="201"/>
      <c r="AY23" s="203"/>
      <c r="AZ23" s="201"/>
      <c r="BA23" s="204"/>
      <c r="BB23" s="198"/>
      <c r="BC23" s="199"/>
    </row>
    <row r="24" spans="1:55" x14ac:dyDescent="0.25">
      <c r="A24" s="122" t="s">
        <v>72</v>
      </c>
      <c r="B24" s="177"/>
      <c r="C24" s="181" t="str">
        <f>IF(ISBLANK(B24),"", B24*B9)</f>
        <v/>
      </c>
      <c r="D24" s="177"/>
      <c r="E24" s="181" t="str">
        <f>IF(ISBLANK(D24),"", D24*D9)</f>
        <v/>
      </c>
      <c r="F24" s="182"/>
      <c r="G24" s="181" t="str">
        <f>IF(ISBLANK(F24),"", F24*F9)</f>
        <v/>
      </c>
      <c r="H24" s="182">
        <v>487</v>
      </c>
      <c r="I24" s="181">
        <f>IF(ISBLANK(H24),"", H24*H9)</f>
        <v>3069561</v>
      </c>
      <c r="J24" s="182">
        <v>115</v>
      </c>
      <c r="K24" s="181">
        <f>IF(ISBLANK(J24),"", J24*J9)</f>
        <v>362480</v>
      </c>
      <c r="L24" s="177">
        <v>10</v>
      </c>
      <c r="M24" s="181">
        <f>IF(ISBLANK(L24),"", L24*L9)</f>
        <v>15760</v>
      </c>
      <c r="N24" s="178">
        <f>SUM(C24,E24,G24,I24,K24,M24)</f>
        <v>3447801</v>
      </c>
      <c r="O24" s="177"/>
      <c r="P24" s="181" t="str">
        <f>IF(ISBLANK(O24),"", O24*O9)</f>
        <v/>
      </c>
      <c r="Q24" s="182"/>
      <c r="R24" s="181" t="str">
        <f>IF(ISBLANK(Q24),"", Q24*Q9)</f>
        <v/>
      </c>
      <c r="S24" s="182"/>
      <c r="T24" s="181" t="str">
        <f>IF(ISBLANK(S24),"", S24*S9)</f>
        <v/>
      </c>
      <c r="U24" s="182">
        <v>220</v>
      </c>
      <c r="V24" s="181">
        <f>IF(ISBLANK(U24),"", U24*U9)</f>
        <v>1040160</v>
      </c>
      <c r="W24" s="178">
        <f>SUM(P24,R24,T24,V24)</f>
        <v>1040160</v>
      </c>
      <c r="X24" s="182">
        <v>79</v>
      </c>
      <c r="Y24" s="181">
        <f>IF(ISBLANK(X24),"", X24*X9)</f>
        <v>1244961</v>
      </c>
      <c r="Z24" s="182">
        <v>0</v>
      </c>
      <c r="AA24" s="181">
        <f>IF(ISBLANK(Z24),"", Z24*Z9)</f>
        <v>0</v>
      </c>
      <c r="AB24" s="177">
        <v>0</v>
      </c>
      <c r="AC24" s="181">
        <f>IF(ISBLANK(AB24),"", AB24*AB9)</f>
        <v>0</v>
      </c>
      <c r="AD24" s="178">
        <f>SUM(Y24,AA24,AC24)</f>
        <v>1244961</v>
      </c>
      <c r="AE24" s="177"/>
      <c r="AF24" s="181" t="str">
        <f>IF(ISBLANK(AE24),"", AE24*AE9)</f>
        <v/>
      </c>
      <c r="AG24" s="182"/>
      <c r="AH24" s="181" t="str">
        <f>IF(ISBLANK(AG24),"", AG24*AG9)</f>
        <v/>
      </c>
      <c r="AI24" s="182"/>
      <c r="AJ24" s="181" t="str">
        <f>IF(ISBLANK(AI24),"", AI24*AI9)</f>
        <v/>
      </c>
      <c r="AK24" s="182"/>
      <c r="AL24" s="181" t="str">
        <f>IF(ISBLANK(AK24),"", AK24*AK9)</f>
        <v/>
      </c>
      <c r="AM24" s="177"/>
      <c r="AN24" s="181" t="str">
        <f>IF(ISBLANK(AM24),"", AM24*AM9)</f>
        <v/>
      </c>
      <c r="AO24" s="178">
        <f>SUM(AF24,AH24,AJ24,AL24,AN24)</f>
        <v>0</v>
      </c>
      <c r="AP24" s="182"/>
      <c r="AQ24" s="181" t="str">
        <f>IF(ISBLANK(AP24),"", AP24*AP9)</f>
        <v/>
      </c>
      <c r="AR24" s="182"/>
      <c r="AS24" s="181" t="str">
        <f>IF(ISBLANK(AR24),"", AR24*AR9)</f>
        <v/>
      </c>
      <c r="AT24" s="177"/>
      <c r="AU24" s="181" t="str">
        <f>IF(ISBLANK(AT24),"", AT24*AT9)</f>
        <v/>
      </c>
      <c r="AV24" s="178">
        <f>SUM(AQ24,AS24,AU24)</f>
        <v>0</v>
      </c>
      <c r="AW24" s="182"/>
      <c r="AX24" s="181" t="str">
        <f>IF(ISBLANK(AW24),"", AW24*AW9)</f>
        <v/>
      </c>
      <c r="AY24" s="182">
        <v>315</v>
      </c>
      <c r="AZ24" s="181">
        <f>IF(ISBLANK(AY24),"", AY24*AY9)</f>
        <v>5708745</v>
      </c>
      <c r="BA24" s="178">
        <f>SUM(AX24,AZ24)</f>
        <v>5708745</v>
      </c>
      <c r="BB24" s="179">
        <f t="shared" ref="BB24:BB29" si="17">SUM(N24,W24,AD24,AO24,AV24,BA24)</f>
        <v>11441667</v>
      </c>
      <c r="BC24" s="180">
        <f>BB24/BB29</f>
        <v>0.14446866453292453</v>
      </c>
    </row>
    <row r="25" spans="1:55" x14ac:dyDescent="0.25">
      <c r="A25" s="122" t="s">
        <v>73</v>
      </c>
      <c r="B25" s="177"/>
      <c r="C25" s="181" t="str">
        <f>IF(ISBLANK(B25),"", B25*B9)</f>
        <v/>
      </c>
      <c r="D25" s="177"/>
      <c r="E25" s="181" t="str">
        <f>IF(ISBLANK(D25),"", D25*D9)</f>
        <v/>
      </c>
      <c r="F25" s="182"/>
      <c r="G25" s="181" t="str">
        <f>IF(ISBLANK(F25),"", F25*F9)</f>
        <v/>
      </c>
      <c r="H25" s="182">
        <v>174</v>
      </c>
      <c r="I25" s="181">
        <f>IF(ISBLANK(H25),"", H25*H9)</f>
        <v>1096722</v>
      </c>
      <c r="J25" s="182">
        <v>31</v>
      </c>
      <c r="K25" s="181">
        <f>IF(ISBLANK(J25),"", J25*J9)</f>
        <v>97712</v>
      </c>
      <c r="L25" s="177">
        <v>3</v>
      </c>
      <c r="M25" s="181">
        <f>IF(ISBLANK(L25),"", L25*L9)</f>
        <v>4728</v>
      </c>
      <c r="N25" s="178">
        <f>SUM(C25,E25,G25,I25,K25,M25)</f>
        <v>1199162</v>
      </c>
      <c r="O25" s="177"/>
      <c r="P25" s="181" t="str">
        <f>IF(ISBLANK(O25),"", O25*O9)</f>
        <v/>
      </c>
      <c r="Q25" s="182"/>
      <c r="R25" s="181" t="str">
        <f>IF(ISBLANK(Q25),"", Q25*Q9)</f>
        <v/>
      </c>
      <c r="S25" s="182"/>
      <c r="T25" s="181" t="str">
        <f>IF(ISBLANK(S25),"", S25*S9)</f>
        <v/>
      </c>
      <c r="U25" s="182">
        <v>97</v>
      </c>
      <c r="V25" s="181">
        <f>IF(ISBLANK(U25),"", U25*U9)</f>
        <v>458616</v>
      </c>
      <c r="W25" s="178">
        <f>SUM(P25,R25,T25,V25)</f>
        <v>458616</v>
      </c>
      <c r="X25" s="182"/>
      <c r="Y25" s="181" t="str">
        <f>IF(ISBLANK(X25),"", X25*X9)</f>
        <v/>
      </c>
      <c r="Z25" s="182"/>
      <c r="AA25" s="181" t="str">
        <f>IF(ISBLANK(Z25),"", Z25*Z9)</f>
        <v/>
      </c>
      <c r="AB25" s="177"/>
      <c r="AC25" s="181" t="str">
        <f>IF(ISBLANK(AB25),"", AB25*AB9)</f>
        <v/>
      </c>
      <c r="AD25" s="178">
        <f>SUM(Y25,AA25,AC25)</f>
        <v>0</v>
      </c>
      <c r="AE25" s="177"/>
      <c r="AF25" s="181" t="str">
        <f>IF(ISBLANK(AE25),"", AE25*AE9)</f>
        <v/>
      </c>
      <c r="AG25" s="182"/>
      <c r="AH25" s="181" t="str">
        <f>IF(ISBLANK(AG25),"", AG25*AG9)</f>
        <v/>
      </c>
      <c r="AI25" s="182">
        <v>376</v>
      </c>
      <c r="AJ25" s="181">
        <f>IF(ISBLANK(AI25),"", AI25*AI9)</f>
        <v>236880</v>
      </c>
      <c r="AK25" s="182"/>
      <c r="AL25" s="181" t="str">
        <f>IF(ISBLANK(AK25),"", AK25*AK9)</f>
        <v/>
      </c>
      <c r="AM25" s="177">
        <v>306</v>
      </c>
      <c r="AN25" s="181">
        <f>IF(ISBLANK(AM25),"", AM25*AM9)</f>
        <v>361692</v>
      </c>
      <c r="AO25" s="178">
        <f>SUM(AF25,AH25,AJ25,AL25,AN25)</f>
        <v>598572</v>
      </c>
      <c r="AP25" s="182"/>
      <c r="AQ25" s="181" t="str">
        <f>IF(ISBLANK(AP25),"", AP25*AP9)</f>
        <v/>
      </c>
      <c r="AR25" s="182"/>
      <c r="AS25" s="181" t="str">
        <f>IF(ISBLANK(AR25),"", AR25*AR9)</f>
        <v/>
      </c>
      <c r="AT25" s="177"/>
      <c r="AU25" s="181" t="str">
        <f>IF(ISBLANK(AT25),"", AT25*AT9)</f>
        <v/>
      </c>
      <c r="AV25" s="178">
        <f>SUM(AQ25,AS25,AU25)</f>
        <v>0</v>
      </c>
      <c r="AW25" s="182"/>
      <c r="AX25" s="181" t="str">
        <f>IF(ISBLANK(AW25),"", AW25*AW9)</f>
        <v/>
      </c>
      <c r="AY25" s="182">
        <v>6</v>
      </c>
      <c r="AZ25" s="181">
        <f>IF(ISBLANK(AY25),"", AY25*AY9)</f>
        <v>108738</v>
      </c>
      <c r="BA25" s="178">
        <f>SUM(AX25,AZ25)</f>
        <v>108738</v>
      </c>
      <c r="BB25" s="179">
        <f t="shared" si="17"/>
        <v>2365088</v>
      </c>
      <c r="BC25" s="180">
        <f>BB25/BB29</f>
        <v>2.9862877923544306E-2</v>
      </c>
    </row>
    <row r="26" spans="1:55" x14ac:dyDescent="0.25">
      <c r="A26" s="122" t="s">
        <v>74</v>
      </c>
      <c r="B26" s="177"/>
      <c r="C26" s="181" t="str">
        <f>IF(ISBLANK(B26),"", B26*B9)</f>
        <v/>
      </c>
      <c r="D26" s="177"/>
      <c r="E26" s="181" t="str">
        <f>IF(ISBLANK(D26),"", D26*D9)</f>
        <v/>
      </c>
      <c r="F26" s="182"/>
      <c r="G26" s="181" t="str">
        <f>IF(ISBLANK(F26),"", F26*F9)</f>
        <v/>
      </c>
      <c r="H26" s="182">
        <v>132</v>
      </c>
      <c r="I26" s="181">
        <f>IF(ISBLANK(H26),"", H26*H9)</f>
        <v>831996</v>
      </c>
      <c r="J26" s="182">
        <v>50</v>
      </c>
      <c r="K26" s="181">
        <f>IF(ISBLANK(J26),"", J26*J9)</f>
        <v>157600</v>
      </c>
      <c r="L26" s="177">
        <v>4</v>
      </c>
      <c r="M26" s="181">
        <f>IF(ISBLANK(L26),"", L26*L9)</f>
        <v>6304</v>
      </c>
      <c r="N26" s="178">
        <f>SUM(C26,E26,G26,I26,K26,M26)</f>
        <v>995900</v>
      </c>
      <c r="O26" s="177"/>
      <c r="P26" s="181" t="str">
        <f>IF(ISBLANK(O26),"", O26*O9)</f>
        <v/>
      </c>
      <c r="Q26" s="182"/>
      <c r="R26" s="181" t="str">
        <f>IF(ISBLANK(Q26),"", Q26*Q9)</f>
        <v/>
      </c>
      <c r="S26" s="182"/>
      <c r="T26" s="181" t="str">
        <f>IF(ISBLANK(S26),"", S26*S9)</f>
        <v/>
      </c>
      <c r="U26" s="182">
        <v>27</v>
      </c>
      <c r="V26" s="181">
        <f>IF(ISBLANK(U26),"", U26*U9)</f>
        <v>127656</v>
      </c>
      <c r="W26" s="178">
        <f>SUM(P26,R26,T26,V26)</f>
        <v>127656</v>
      </c>
      <c r="X26" s="182"/>
      <c r="Y26" s="181" t="str">
        <f>IF(ISBLANK(X26),"", X26*X9)</f>
        <v/>
      </c>
      <c r="Z26" s="182"/>
      <c r="AA26" s="181" t="str">
        <f>IF(ISBLANK(Z26),"", Z26*Z9)</f>
        <v/>
      </c>
      <c r="AB26" s="177"/>
      <c r="AC26" s="181" t="str">
        <f>IF(ISBLANK(AB26),"", AB26*AB9)</f>
        <v/>
      </c>
      <c r="AD26" s="178">
        <f>SUM(Y26,AA26,AC26)</f>
        <v>0</v>
      </c>
      <c r="AE26" s="177"/>
      <c r="AF26" s="181" t="str">
        <f>IF(ISBLANK(AE26),"", AE26*AE9)</f>
        <v/>
      </c>
      <c r="AG26" s="182"/>
      <c r="AH26" s="181" t="str">
        <f>IF(ISBLANK(AG26),"", AG26*AG9)</f>
        <v/>
      </c>
      <c r="AI26" s="182">
        <v>0</v>
      </c>
      <c r="AJ26" s="181">
        <f>IF(ISBLANK(AI26),"", AI26*AI9)</f>
        <v>0</v>
      </c>
      <c r="AK26" s="182"/>
      <c r="AL26" s="181" t="str">
        <f>IF(ISBLANK(AK26),"", AK26*AK9)</f>
        <v/>
      </c>
      <c r="AM26" s="177">
        <v>0</v>
      </c>
      <c r="AN26" s="181">
        <f>IF(ISBLANK(AM26),"", AM26*AM9)</f>
        <v>0</v>
      </c>
      <c r="AO26" s="178">
        <f>SUM(AF26,AH26,AJ26,AL26,AN26)</f>
        <v>0</v>
      </c>
      <c r="AP26" s="182"/>
      <c r="AQ26" s="181" t="str">
        <f>IF(ISBLANK(AP26),"", AP26*AP9)</f>
        <v/>
      </c>
      <c r="AR26" s="182"/>
      <c r="AS26" s="181" t="str">
        <f>IF(ISBLANK(AR26),"", AR26*AR9)</f>
        <v/>
      </c>
      <c r="AT26" s="177"/>
      <c r="AU26" s="181" t="str">
        <f>IF(ISBLANK(AT26),"", AT26*AT9)</f>
        <v/>
      </c>
      <c r="AV26" s="178">
        <f>SUM(AQ26,AS26,AU26)</f>
        <v>0</v>
      </c>
      <c r="AW26" s="182"/>
      <c r="AX26" s="181" t="str">
        <f>IF(ISBLANK(AW26),"", AW26*AW9)</f>
        <v/>
      </c>
      <c r="AY26" s="182">
        <v>63</v>
      </c>
      <c r="AZ26" s="181">
        <f>IF(ISBLANK(AY26),"", AY26*AY9)</f>
        <v>1141749</v>
      </c>
      <c r="BA26" s="178">
        <f>SUM(AX26,AZ26)</f>
        <v>1141749</v>
      </c>
      <c r="BB26" s="179">
        <f t="shared" si="17"/>
        <v>2265305</v>
      </c>
      <c r="BC26" s="180">
        <f>BB26/BB29</f>
        <v>2.8602963895886551E-2</v>
      </c>
    </row>
    <row r="27" spans="1:55" x14ac:dyDescent="0.25">
      <c r="A27" s="122" t="s">
        <v>75</v>
      </c>
      <c r="B27" s="177">
        <v>0</v>
      </c>
      <c r="C27" s="181">
        <f>IF(ISBLANK(B27),"", B27*B9)</f>
        <v>0</v>
      </c>
      <c r="D27" s="177">
        <v>410</v>
      </c>
      <c r="E27" s="181">
        <f>IF(ISBLANK(D27),"", D27*D9)</f>
        <v>646160</v>
      </c>
      <c r="F27" s="182">
        <v>358</v>
      </c>
      <c r="G27" s="181">
        <f>IF(ISBLANK(F27),"", F27*F9)</f>
        <v>1128416</v>
      </c>
      <c r="H27" s="182">
        <v>30</v>
      </c>
      <c r="I27" s="181">
        <f>IF(ISBLANK(H27),"", H27*H9)</f>
        <v>189090</v>
      </c>
      <c r="J27" s="182"/>
      <c r="K27" s="181" t="str">
        <f>IF(ISBLANK(J27),"", J27*J9)</f>
        <v/>
      </c>
      <c r="L27" s="177"/>
      <c r="M27" s="181" t="str">
        <f>IF(ISBLANK(L27),"", L27*L9)</f>
        <v/>
      </c>
      <c r="N27" s="178">
        <f>SUM(C27,E27,G27,I27,K27,M27)</f>
        <v>1963666</v>
      </c>
      <c r="O27" s="177">
        <v>0</v>
      </c>
      <c r="P27" s="181">
        <f>IF(ISBLANK(O27),"", O27*O9)</f>
        <v>0</v>
      </c>
      <c r="Q27" s="182">
        <v>189</v>
      </c>
      <c r="R27" s="181">
        <f>IF(ISBLANK(Q27),"", Q27*Q9)</f>
        <v>223398</v>
      </c>
      <c r="S27" s="182">
        <v>143</v>
      </c>
      <c r="T27" s="181">
        <f>IF(ISBLANK(S27),"", S27*S9)</f>
        <v>338052</v>
      </c>
      <c r="U27" s="182">
        <v>0</v>
      </c>
      <c r="V27" s="181">
        <f>IF(ISBLANK(U27),"", U27*U9)</f>
        <v>0</v>
      </c>
      <c r="W27" s="178">
        <f>SUM(P27,R27,T27,V27)</f>
        <v>561450</v>
      </c>
      <c r="X27" s="182"/>
      <c r="Y27" s="181" t="str">
        <f>IF(ISBLANK(X27),"", X27*X9)</f>
        <v/>
      </c>
      <c r="Z27" s="182"/>
      <c r="AA27" s="181" t="str">
        <f>IF(ISBLANK(Z27),"", Z27*Z9)</f>
        <v/>
      </c>
      <c r="AB27" s="177"/>
      <c r="AC27" s="181" t="str">
        <f>IF(ISBLANK(AB27),"", AB27*AB9)</f>
        <v/>
      </c>
      <c r="AD27" s="178">
        <f>SUM(Y27,AA27,AC27)</f>
        <v>0</v>
      </c>
      <c r="AE27" s="177">
        <v>0</v>
      </c>
      <c r="AF27" s="181">
        <f>IF(ISBLANK(AE27),"", AE27*AE9)</f>
        <v>0</v>
      </c>
      <c r="AG27" s="182">
        <v>0</v>
      </c>
      <c r="AH27" s="181">
        <f>IF(ISBLANK(AG27),"", AG27*AG9)</f>
        <v>0</v>
      </c>
      <c r="AI27" s="182"/>
      <c r="AJ27" s="181" t="str">
        <f>IF(ISBLANK(AI27),"", AI27*AI9)</f>
        <v/>
      </c>
      <c r="AK27" s="182">
        <v>0</v>
      </c>
      <c r="AL27" s="181">
        <f>IF(ISBLANK(AK27),"", AK27*AK9)</f>
        <v>0</v>
      </c>
      <c r="AM27" s="177"/>
      <c r="AN27" s="181" t="str">
        <f>IF(ISBLANK(AM27),"", AM27*AM9)</f>
        <v/>
      </c>
      <c r="AO27" s="178">
        <f>SUM(AF27,AH27,AJ27,AL27,AN27)</f>
        <v>0</v>
      </c>
      <c r="AP27" s="182">
        <v>20</v>
      </c>
      <c r="AQ27" s="181">
        <f>IF(ISBLANK(AP27),"", AP27*AP9)</f>
        <v>20480</v>
      </c>
      <c r="AR27" s="182">
        <v>11</v>
      </c>
      <c r="AS27" s="181">
        <f>IF(ISBLANK(AR27),"", AR27*AR9)</f>
        <v>11264</v>
      </c>
      <c r="AT27" s="177">
        <v>21</v>
      </c>
      <c r="AU27" s="181">
        <f>IF(ISBLANK(AT27),"", AT27*AT9)</f>
        <v>41370</v>
      </c>
      <c r="AV27" s="178">
        <f>SUM(AQ27,AS27,AU27)</f>
        <v>73114</v>
      </c>
      <c r="AW27" s="182">
        <v>34</v>
      </c>
      <c r="AX27" s="181">
        <f>IF(ISBLANK(AW27),"", AW27*AW9)</f>
        <v>294678</v>
      </c>
      <c r="AY27" s="182">
        <v>9</v>
      </c>
      <c r="AZ27" s="181">
        <f>IF(ISBLANK(AY27),"", AY27*AY9)</f>
        <v>163107</v>
      </c>
      <c r="BA27" s="178">
        <f>SUM(AX27,AZ27)</f>
        <v>457785</v>
      </c>
      <c r="BB27" s="179">
        <f t="shared" si="17"/>
        <v>3056015</v>
      </c>
      <c r="BC27" s="180">
        <f>BB27/BB29</f>
        <v>3.8586895234985021E-2</v>
      </c>
    </row>
    <row r="28" spans="1:55" ht="15.75" customHeight="1" thickBot="1" x14ac:dyDescent="0.3">
      <c r="A28" s="132" t="s">
        <v>76</v>
      </c>
      <c r="B28" s="177">
        <v>1150</v>
      </c>
      <c r="C28" s="181">
        <f>IF(ISBLANK(B28),"", B28*B9)</f>
        <v>1359300</v>
      </c>
      <c r="D28" s="177">
        <v>3387</v>
      </c>
      <c r="E28" s="181">
        <f>IF(ISBLANK(D28),"", D28*D9)</f>
        <v>5337912</v>
      </c>
      <c r="F28" s="182">
        <v>1729</v>
      </c>
      <c r="G28" s="181">
        <f>IF(ISBLANK(F28),"", F28*F9)</f>
        <v>5449808</v>
      </c>
      <c r="H28" s="182"/>
      <c r="I28" s="181" t="str">
        <f>IF(ISBLANK(H28),"", H28*H9)</f>
        <v/>
      </c>
      <c r="J28" s="182"/>
      <c r="K28" s="181" t="str">
        <f>IF(ISBLANK(J28),"", J28*J9)</f>
        <v/>
      </c>
      <c r="L28" s="177"/>
      <c r="M28" s="181" t="str">
        <f>IF(ISBLANK(L28),"", L28*L9)</f>
        <v/>
      </c>
      <c r="N28" s="178">
        <f>SUM(C28,E28,G28,I28,K28,M28)</f>
        <v>12147020</v>
      </c>
      <c r="O28" s="177">
        <v>716</v>
      </c>
      <c r="P28" s="181">
        <f>IF(ISBLANK(O28),"", O28*O9)</f>
        <v>634376</v>
      </c>
      <c r="Q28" s="182">
        <v>1946</v>
      </c>
      <c r="R28" s="181">
        <f>IF(ISBLANK(Q28),"", Q28*Q9)</f>
        <v>2300172</v>
      </c>
      <c r="S28" s="182">
        <v>1491</v>
      </c>
      <c r="T28" s="181">
        <f>IF(ISBLANK(S28),"", S28*S9)</f>
        <v>3524724</v>
      </c>
      <c r="U28" s="182"/>
      <c r="V28" s="181" t="str">
        <f>IF(ISBLANK(U28),"", U28*U9)</f>
        <v/>
      </c>
      <c r="W28" s="178">
        <f>SUM(P28,R28,T28,V28)</f>
        <v>6459272</v>
      </c>
      <c r="X28" s="182"/>
      <c r="Y28" s="181" t="str">
        <f>IF(ISBLANK(X28),"", X28*X9)</f>
        <v/>
      </c>
      <c r="Z28" s="182"/>
      <c r="AA28" s="181" t="str">
        <f>IF(ISBLANK(Z28),"", Z28*Z9)</f>
        <v/>
      </c>
      <c r="AB28" s="177"/>
      <c r="AC28" s="181" t="str">
        <f>IF(ISBLANK(AB28),"", AB28*AB9)</f>
        <v/>
      </c>
      <c r="AD28" s="178">
        <f>SUM(Y28,AA28,AC28)</f>
        <v>0</v>
      </c>
      <c r="AE28" s="177">
        <v>0</v>
      </c>
      <c r="AF28" s="181">
        <f>IF(ISBLANK(AE28),"", AE28*AE9)</f>
        <v>0</v>
      </c>
      <c r="AG28" s="182">
        <v>0</v>
      </c>
      <c r="AH28" s="181">
        <f>IF(ISBLANK(AG28),"", AG28*AG9)</f>
        <v>0</v>
      </c>
      <c r="AI28" s="182"/>
      <c r="AJ28" s="181" t="str">
        <f>IF(ISBLANK(AI28),"", AI28*AI9)</f>
        <v/>
      </c>
      <c r="AK28" s="182">
        <v>0</v>
      </c>
      <c r="AL28" s="181">
        <f>IF(ISBLANK(AK28),"", AK28*AK9)</f>
        <v>0</v>
      </c>
      <c r="AM28" s="177"/>
      <c r="AN28" s="181" t="str">
        <f>IF(ISBLANK(AM28),"", AM28*AM9)</f>
        <v/>
      </c>
      <c r="AO28" s="178">
        <f>SUM(AF28,AH28,AJ28,AL28,AN28)</f>
        <v>0</v>
      </c>
      <c r="AP28" s="182">
        <v>163</v>
      </c>
      <c r="AQ28" s="181">
        <f>IF(ISBLANK(AP28),"", AP28*AP9)</f>
        <v>166912</v>
      </c>
      <c r="AR28" s="182">
        <v>48</v>
      </c>
      <c r="AS28" s="181">
        <f>IF(ISBLANK(AR28),"", AR28*AR9)</f>
        <v>49152</v>
      </c>
      <c r="AT28" s="177">
        <v>279</v>
      </c>
      <c r="AU28" s="181">
        <f>IF(ISBLANK(AT28),"", AT28*AT9)</f>
        <v>549630</v>
      </c>
      <c r="AV28" s="178">
        <f>SUM(AQ28,AS28,AU28)</f>
        <v>765694</v>
      </c>
      <c r="AW28" s="182">
        <v>127</v>
      </c>
      <c r="AX28" s="181">
        <f>IF(ISBLANK(AW28),"", AW28*AW9)</f>
        <v>1100709</v>
      </c>
      <c r="AY28" s="182"/>
      <c r="AZ28" s="181" t="str">
        <f>IF(ISBLANK(AY28),"", AY28*AY9)</f>
        <v/>
      </c>
      <c r="BA28" s="178">
        <f>SUM(AX28,AZ28)</f>
        <v>1100709</v>
      </c>
      <c r="BB28" s="183">
        <f t="shared" si="17"/>
        <v>20472695</v>
      </c>
      <c r="BC28" s="180">
        <f>BB28/BB29</f>
        <v>0.2584992996247733</v>
      </c>
    </row>
    <row r="29" spans="1:55" x14ac:dyDescent="0.25">
      <c r="A29" s="205" t="s">
        <v>47</v>
      </c>
      <c r="B29" s="206">
        <f t="shared" ref="B29:AG29" si="18">SUM(B17,B22,B24:B28)</f>
        <v>1150</v>
      </c>
      <c r="C29" s="207">
        <f t="shared" si="18"/>
        <v>1359300</v>
      </c>
      <c r="D29" s="208">
        <f t="shared" si="18"/>
        <v>3797</v>
      </c>
      <c r="E29" s="207">
        <f t="shared" si="18"/>
        <v>5984072</v>
      </c>
      <c r="F29" s="209">
        <f t="shared" si="18"/>
        <v>2087</v>
      </c>
      <c r="G29" s="207">
        <f t="shared" si="18"/>
        <v>6578224</v>
      </c>
      <c r="H29" s="209">
        <f t="shared" si="18"/>
        <v>2596</v>
      </c>
      <c r="I29" s="207">
        <f t="shared" si="18"/>
        <v>16362588</v>
      </c>
      <c r="J29" s="209">
        <f t="shared" si="18"/>
        <v>379</v>
      </c>
      <c r="K29" s="207">
        <f t="shared" si="18"/>
        <v>1194608</v>
      </c>
      <c r="L29" s="209">
        <f t="shared" si="18"/>
        <v>43</v>
      </c>
      <c r="M29" s="207">
        <f t="shared" si="18"/>
        <v>67768</v>
      </c>
      <c r="N29" s="210">
        <f t="shared" si="18"/>
        <v>31546560</v>
      </c>
      <c r="O29" s="206">
        <f t="shared" si="18"/>
        <v>716</v>
      </c>
      <c r="P29" s="207">
        <f t="shared" si="18"/>
        <v>634376</v>
      </c>
      <c r="Q29" s="209">
        <f t="shared" si="18"/>
        <v>2135</v>
      </c>
      <c r="R29" s="207">
        <f t="shared" si="18"/>
        <v>2523570</v>
      </c>
      <c r="S29" s="209">
        <f t="shared" si="18"/>
        <v>1634</v>
      </c>
      <c r="T29" s="207">
        <f t="shared" si="18"/>
        <v>3862776</v>
      </c>
      <c r="U29" s="209">
        <f t="shared" si="18"/>
        <v>1798</v>
      </c>
      <c r="V29" s="207">
        <f t="shared" si="18"/>
        <v>8500944</v>
      </c>
      <c r="W29" s="210">
        <f t="shared" si="18"/>
        <v>15521666</v>
      </c>
      <c r="X29" s="209">
        <f t="shared" si="18"/>
        <v>392</v>
      </c>
      <c r="Y29" s="207">
        <f t="shared" si="18"/>
        <v>6177528</v>
      </c>
      <c r="Z29" s="209">
        <f t="shared" si="18"/>
        <v>30</v>
      </c>
      <c r="AA29" s="207">
        <f t="shared" si="18"/>
        <v>330930</v>
      </c>
      <c r="AB29" s="209">
        <f t="shared" si="18"/>
        <v>21</v>
      </c>
      <c r="AC29" s="207">
        <f t="shared" si="18"/>
        <v>115836</v>
      </c>
      <c r="AD29" s="210">
        <f t="shared" si="18"/>
        <v>6624294</v>
      </c>
      <c r="AE29" s="206">
        <f t="shared" si="18"/>
        <v>0</v>
      </c>
      <c r="AF29" s="207">
        <f t="shared" si="18"/>
        <v>0</v>
      </c>
      <c r="AG29" s="209">
        <f t="shared" si="18"/>
        <v>0</v>
      </c>
      <c r="AH29" s="207">
        <f t="shared" ref="AH29:BA29" si="19">SUM(AH17,AH22,AH24:AH28)</f>
        <v>0</v>
      </c>
      <c r="AI29" s="209">
        <f t="shared" si="19"/>
        <v>626</v>
      </c>
      <c r="AJ29" s="207">
        <f t="shared" si="19"/>
        <v>394380</v>
      </c>
      <c r="AK29" s="209">
        <f t="shared" si="19"/>
        <v>0</v>
      </c>
      <c r="AL29" s="207">
        <f t="shared" si="19"/>
        <v>0</v>
      </c>
      <c r="AM29" s="209">
        <f t="shared" si="19"/>
        <v>465</v>
      </c>
      <c r="AN29" s="207">
        <f t="shared" si="19"/>
        <v>549630</v>
      </c>
      <c r="AO29" s="210">
        <f t="shared" si="19"/>
        <v>944010</v>
      </c>
      <c r="AP29" s="209">
        <f t="shared" si="19"/>
        <v>183</v>
      </c>
      <c r="AQ29" s="207">
        <f t="shared" si="19"/>
        <v>187392</v>
      </c>
      <c r="AR29" s="209">
        <f t="shared" si="19"/>
        <v>59</v>
      </c>
      <c r="AS29" s="207">
        <f t="shared" si="19"/>
        <v>60416</v>
      </c>
      <c r="AT29" s="209">
        <f t="shared" si="19"/>
        <v>300</v>
      </c>
      <c r="AU29" s="207">
        <f t="shared" si="19"/>
        <v>591000</v>
      </c>
      <c r="AV29" s="210">
        <f t="shared" si="19"/>
        <v>838808</v>
      </c>
      <c r="AW29" s="209">
        <f t="shared" si="19"/>
        <v>161</v>
      </c>
      <c r="AX29" s="207">
        <f t="shared" si="19"/>
        <v>1395387</v>
      </c>
      <c r="AY29" s="209">
        <f t="shared" si="19"/>
        <v>1232</v>
      </c>
      <c r="AZ29" s="207">
        <f t="shared" si="19"/>
        <v>22327536</v>
      </c>
      <c r="BA29" s="210">
        <f t="shared" si="19"/>
        <v>23722923</v>
      </c>
      <c r="BB29" s="211">
        <f t="shared" si="17"/>
        <v>79198261</v>
      </c>
      <c r="BC29" s="212"/>
    </row>
    <row r="30" spans="1:55" ht="33" customHeight="1" thickBot="1" x14ac:dyDescent="0.3">
      <c r="A30" s="213" t="s">
        <v>124</v>
      </c>
      <c r="B30" s="513">
        <f>C29/BB29</f>
        <v>1.7163255642696499E-2</v>
      </c>
      <c r="C30" s="506"/>
      <c r="D30" s="506">
        <f>E29/BB29</f>
        <v>7.555812368152881E-2</v>
      </c>
      <c r="E30" s="506"/>
      <c r="F30" s="506">
        <f>G29/BB29</f>
        <v>8.3060207597234995E-2</v>
      </c>
      <c r="G30" s="506"/>
      <c r="H30" s="506">
        <f>I29/BB29</f>
        <v>0.20660286972715222</v>
      </c>
      <c r="I30" s="506"/>
      <c r="J30" s="506">
        <f>K29/BB29</f>
        <v>1.5083765538740806E-2</v>
      </c>
      <c r="K30" s="506"/>
      <c r="L30" s="506">
        <f>M29/BB29</f>
        <v>8.5567535378081093E-4</v>
      </c>
      <c r="M30" s="506"/>
      <c r="N30" s="214">
        <f>N29/BB29</f>
        <v>0.39832389754113412</v>
      </c>
      <c r="O30" s="513">
        <f>P29/BB29</f>
        <v>8.0099738553602844E-3</v>
      </c>
      <c r="P30" s="506"/>
      <c r="Q30" s="506">
        <f>R29/BB29</f>
        <v>3.186395721491915E-2</v>
      </c>
      <c r="R30" s="506"/>
      <c r="S30" s="506">
        <f>T29/BB29</f>
        <v>4.877349516550622E-2</v>
      </c>
      <c r="T30" s="506"/>
      <c r="U30" s="506">
        <f>V29/BB29</f>
        <v>0.10733750833241149</v>
      </c>
      <c r="V30" s="506"/>
      <c r="W30" s="214">
        <f>W29/BB29</f>
        <v>0.19598493456819716</v>
      </c>
      <c r="X30" s="506">
        <f>Y29/BB29</f>
        <v>7.8000803578250288E-2</v>
      </c>
      <c r="Y30" s="506"/>
      <c r="Z30" s="506">
        <f>AA29/BB29</f>
        <v>4.1785008385474528E-3</v>
      </c>
      <c r="AA30" s="506"/>
      <c r="AB30" s="506">
        <f>AC29/BB29</f>
        <v>1.4626078721602233E-3</v>
      </c>
      <c r="AC30" s="506"/>
      <c r="AD30" s="214">
        <f>AD29/BB29</f>
        <v>8.3641912288957967E-2</v>
      </c>
      <c r="AE30" s="513">
        <f>AF29/BB29</f>
        <v>0</v>
      </c>
      <c r="AF30" s="506"/>
      <c r="AG30" s="506">
        <f>AH29/BB29</f>
        <v>0</v>
      </c>
      <c r="AH30" s="506"/>
      <c r="AI30" s="506">
        <f>AJ29/BB29</f>
        <v>4.9796547931778455E-3</v>
      </c>
      <c r="AJ30" s="506"/>
      <c r="AK30" s="506">
        <f>AL29/BB29</f>
        <v>0</v>
      </c>
      <c r="AL30" s="506"/>
      <c r="AM30" s="506">
        <f>AN29/BB29</f>
        <v>6.9399251076990185E-3</v>
      </c>
      <c r="AN30" s="506"/>
      <c r="AO30" s="214">
        <f>AO29/BB29</f>
        <v>1.1919579900876864E-2</v>
      </c>
      <c r="AP30" s="506">
        <f>AQ29/BB29</f>
        <v>2.3661125589613642E-3</v>
      </c>
      <c r="AQ30" s="506"/>
      <c r="AR30" s="506">
        <f>AS29/BB29</f>
        <v>7.628450326706037E-4</v>
      </c>
      <c r="AS30" s="506"/>
      <c r="AT30" s="506">
        <f>AU29/BB29</f>
        <v>7.4622850620419557E-3</v>
      </c>
      <c r="AU30" s="506"/>
      <c r="AV30" s="214">
        <f>AV29/BB29</f>
        <v>1.0591242653673923E-2</v>
      </c>
      <c r="AW30" s="506">
        <f>AX29/BB29</f>
        <v>1.7618909586916309E-2</v>
      </c>
      <c r="AX30" s="506"/>
      <c r="AY30" s="506">
        <f>AZ29/BB29</f>
        <v>0.28191952346024363</v>
      </c>
      <c r="AZ30" s="506"/>
      <c r="BA30" s="214">
        <f>BA29/BB29</f>
        <v>0.29953843304715994</v>
      </c>
      <c r="BB30" s="215"/>
      <c r="BC30" s="216"/>
    </row>
    <row r="33" spans="1:55" ht="15.75" customHeight="1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t="15.75" customHeight="1" x14ac:dyDescent="0.25">
      <c r="A34" s="518" t="s">
        <v>4</v>
      </c>
      <c r="B34" s="454" t="s">
        <v>84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5"/>
      <c r="O34" s="457" t="s">
        <v>85</v>
      </c>
      <c r="P34" s="457"/>
      <c r="Q34" s="457"/>
      <c r="R34" s="457"/>
      <c r="S34" s="457"/>
      <c r="T34" s="457"/>
      <c r="U34" s="457"/>
      <c r="V34" s="457"/>
      <c r="W34" s="458"/>
      <c r="X34" s="460" t="s">
        <v>86</v>
      </c>
      <c r="Y34" s="460"/>
      <c r="Z34" s="460"/>
      <c r="AA34" s="460"/>
      <c r="AB34" s="460"/>
      <c r="AC34" s="460"/>
      <c r="AD34" s="461"/>
      <c r="AE34" s="463" t="s">
        <v>87</v>
      </c>
      <c r="AF34" s="463"/>
      <c r="AG34" s="463"/>
      <c r="AH34" s="463"/>
      <c r="AI34" s="463"/>
      <c r="AJ34" s="463"/>
      <c r="AK34" s="463"/>
      <c r="AL34" s="463"/>
      <c r="AM34" s="463"/>
      <c r="AN34" s="463"/>
      <c r="AO34" s="464"/>
      <c r="AP34" s="448" t="s">
        <v>88</v>
      </c>
      <c r="AQ34" s="448"/>
      <c r="AR34" s="448"/>
      <c r="AS34" s="448"/>
      <c r="AT34" s="448"/>
      <c r="AU34" s="448"/>
      <c r="AV34" s="449"/>
      <c r="AW34" s="520" t="s">
        <v>89</v>
      </c>
      <c r="AX34" s="520"/>
      <c r="AY34" s="520"/>
      <c r="AZ34" s="520"/>
      <c r="BA34" s="521"/>
      <c r="BB34" s="522" t="s">
        <v>123</v>
      </c>
      <c r="BC34" s="507" t="s">
        <v>124</v>
      </c>
    </row>
    <row r="35" spans="1:55" ht="15" customHeight="1" x14ac:dyDescent="0.25">
      <c r="A35" s="519"/>
      <c r="B35" s="466" t="s">
        <v>90</v>
      </c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7"/>
      <c r="O35" s="469" t="s">
        <v>90</v>
      </c>
      <c r="P35" s="469"/>
      <c r="Q35" s="469"/>
      <c r="R35" s="469"/>
      <c r="S35" s="469"/>
      <c r="T35" s="469"/>
      <c r="U35" s="469"/>
      <c r="V35" s="469"/>
      <c r="W35" s="470"/>
      <c r="X35" s="472" t="s">
        <v>90</v>
      </c>
      <c r="Y35" s="472"/>
      <c r="Z35" s="472"/>
      <c r="AA35" s="472"/>
      <c r="AB35" s="472"/>
      <c r="AC35" s="472"/>
      <c r="AD35" s="473"/>
      <c r="AE35" s="475" t="s">
        <v>90</v>
      </c>
      <c r="AF35" s="475"/>
      <c r="AG35" s="475"/>
      <c r="AH35" s="475"/>
      <c r="AI35" s="475"/>
      <c r="AJ35" s="475"/>
      <c r="AK35" s="475"/>
      <c r="AL35" s="475"/>
      <c r="AM35" s="475"/>
      <c r="AN35" s="475"/>
      <c r="AO35" s="476"/>
      <c r="AP35" s="442" t="s">
        <v>90</v>
      </c>
      <c r="AQ35" s="442"/>
      <c r="AR35" s="442"/>
      <c r="AS35" s="442"/>
      <c r="AT35" s="442"/>
      <c r="AU35" s="442"/>
      <c r="AV35" s="443"/>
      <c r="AW35" s="509" t="s">
        <v>90</v>
      </c>
      <c r="AX35" s="509"/>
      <c r="AY35" s="509"/>
      <c r="AZ35" s="509"/>
      <c r="BA35" s="510"/>
      <c r="BB35" s="523"/>
      <c r="BC35" s="508"/>
    </row>
    <row r="36" spans="1:55" ht="15.75" customHeight="1" x14ac:dyDescent="0.25">
      <c r="A36" s="519"/>
      <c r="B36" s="556" t="s">
        <v>92</v>
      </c>
      <c r="C36" s="557"/>
      <c r="D36" s="556" t="s">
        <v>93</v>
      </c>
      <c r="E36" s="557"/>
      <c r="F36" s="558" t="s">
        <v>94</v>
      </c>
      <c r="G36" s="557"/>
      <c r="H36" s="558" t="s">
        <v>95</v>
      </c>
      <c r="I36" s="557"/>
      <c r="J36" s="558" t="s">
        <v>96</v>
      </c>
      <c r="K36" s="557"/>
      <c r="L36" s="558" t="s">
        <v>97</v>
      </c>
      <c r="M36" s="557"/>
      <c r="N36" s="559" t="s">
        <v>125</v>
      </c>
      <c r="O36" s="530" t="s">
        <v>92</v>
      </c>
      <c r="P36" s="501"/>
      <c r="Q36" s="500" t="s">
        <v>93</v>
      </c>
      <c r="R36" s="501"/>
      <c r="S36" s="500" t="s">
        <v>94</v>
      </c>
      <c r="T36" s="501"/>
      <c r="U36" s="500" t="s">
        <v>95</v>
      </c>
      <c r="V36" s="501"/>
      <c r="W36" s="549" t="s">
        <v>125</v>
      </c>
      <c r="X36" s="551" t="s">
        <v>95</v>
      </c>
      <c r="Y36" s="552"/>
      <c r="Z36" s="551" t="s">
        <v>96</v>
      </c>
      <c r="AA36" s="552"/>
      <c r="AB36" s="551" t="s">
        <v>97</v>
      </c>
      <c r="AC36" s="552"/>
      <c r="AD36" s="547" t="s">
        <v>125</v>
      </c>
      <c r="AE36" s="542" t="s">
        <v>98</v>
      </c>
      <c r="AF36" s="543"/>
      <c r="AG36" s="544" t="s">
        <v>99</v>
      </c>
      <c r="AH36" s="543"/>
      <c r="AI36" s="544" t="s">
        <v>100</v>
      </c>
      <c r="AJ36" s="543"/>
      <c r="AK36" s="544" t="s">
        <v>101</v>
      </c>
      <c r="AL36" s="543"/>
      <c r="AM36" s="544" t="s">
        <v>102</v>
      </c>
      <c r="AN36" s="543"/>
      <c r="AO36" s="545" t="s">
        <v>125</v>
      </c>
      <c r="AP36" s="531" t="s">
        <v>103</v>
      </c>
      <c r="AQ36" s="532"/>
      <c r="AR36" s="531" t="s">
        <v>104</v>
      </c>
      <c r="AS36" s="532"/>
      <c r="AT36" s="531" t="s">
        <v>105</v>
      </c>
      <c r="AU36" s="532"/>
      <c r="AV36" s="533" t="s">
        <v>125</v>
      </c>
      <c r="AW36" s="526" t="s">
        <v>106</v>
      </c>
      <c r="AX36" s="527"/>
      <c r="AY36" s="526" t="s">
        <v>107</v>
      </c>
      <c r="AZ36" s="527"/>
      <c r="BA36" s="553" t="s">
        <v>125</v>
      </c>
      <c r="BB36" s="523"/>
      <c r="BC36" s="508"/>
    </row>
    <row r="37" spans="1:55" ht="16.5" customHeight="1" thickBot="1" x14ac:dyDescent="0.3">
      <c r="A37" s="519"/>
      <c r="B37" s="502">
        <v>1195</v>
      </c>
      <c r="C37" s="503"/>
      <c r="D37" s="502">
        <v>1594</v>
      </c>
      <c r="E37" s="503"/>
      <c r="F37" s="561">
        <v>3187</v>
      </c>
      <c r="G37" s="503"/>
      <c r="H37" s="561">
        <v>6374</v>
      </c>
      <c r="I37" s="503"/>
      <c r="J37" s="561">
        <v>3187</v>
      </c>
      <c r="K37" s="503"/>
      <c r="L37" s="511">
        <v>1594</v>
      </c>
      <c r="M37" s="512"/>
      <c r="N37" s="560"/>
      <c r="O37" s="555">
        <v>896</v>
      </c>
      <c r="P37" s="505"/>
      <c r="Q37" s="504">
        <v>1195</v>
      </c>
      <c r="R37" s="505"/>
      <c r="S37" s="504">
        <v>2390</v>
      </c>
      <c r="T37" s="505"/>
      <c r="U37" s="504">
        <v>4781</v>
      </c>
      <c r="V37" s="505"/>
      <c r="W37" s="550"/>
      <c r="X37" s="524">
        <v>15936</v>
      </c>
      <c r="Y37" s="525"/>
      <c r="Z37" s="524">
        <v>11155</v>
      </c>
      <c r="AA37" s="525"/>
      <c r="AB37" s="535">
        <v>5578</v>
      </c>
      <c r="AC37" s="536"/>
      <c r="AD37" s="548"/>
      <c r="AE37" s="537">
        <v>239</v>
      </c>
      <c r="AF37" s="515"/>
      <c r="AG37" s="514">
        <v>478</v>
      </c>
      <c r="AH37" s="515"/>
      <c r="AI37" s="514">
        <v>637</v>
      </c>
      <c r="AJ37" s="515"/>
      <c r="AK37" s="514">
        <v>956</v>
      </c>
      <c r="AL37" s="515"/>
      <c r="AM37" s="516">
        <v>1195</v>
      </c>
      <c r="AN37" s="517"/>
      <c r="AO37" s="546"/>
      <c r="AP37" s="538">
        <v>1036</v>
      </c>
      <c r="AQ37" s="539"/>
      <c r="AR37" s="538">
        <v>1036</v>
      </c>
      <c r="AS37" s="539"/>
      <c r="AT37" s="540">
        <v>1992</v>
      </c>
      <c r="AU37" s="541"/>
      <c r="AV37" s="534"/>
      <c r="AW37" s="528">
        <v>8765</v>
      </c>
      <c r="AX37" s="529"/>
      <c r="AY37" s="528">
        <v>18326</v>
      </c>
      <c r="AZ37" s="529"/>
      <c r="BA37" s="554"/>
      <c r="BB37" s="523"/>
      <c r="BC37" s="508"/>
    </row>
    <row r="38" spans="1:55" x14ac:dyDescent="0.25">
      <c r="A38" s="173" t="s">
        <v>50</v>
      </c>
      <c r="B38" s="174"/>
      <c r="C38" s="175" t="str">
        <f>IF(ISBLANK(B38),"", B38*B37)</f>
        <v/>
      </c>
      <c r="D38" s="174"/>
      <c r="E38" s="175" t="str">
        <f>IF(ISBLANK(D38),"", D38*D37)</f>
        <v/>
      </c>
      <c r="F38" s="176"/>
      <c r="G38" s="175" t="str">
        <f>IF(ISBLANK(F38),"", F38*F37)</f>
        <v/>
      </c>
      <c r="H38" s="176">
        <v>349</v>
      </c>
      <c r="I38" s="175">
        <f>IF(ISBLANK(H38),"", H38*H37)</f>
        <v>2224526</v>
      </c>
      <c r="J38" s="176">
        <v>0</v>
      </c>
      <c r="K38" s="175">
        <f>IF(ISBLANK(J38),"", J38*J37)</f>
        <v>0</v>
      </c>
      <c r="L38" s="177">
        <v>7</v>
      </c>
      <c r="M38" s="175">
        <f>IF(ISBLANK(L38),"", L38*L37)</f>
        <v>11158</v>
      </c>
      <c r="N38" s="178">
        <f t="shared" ref="N38:N44" si="20">SUM(C38,E38,G38,I38,K38,M38)</f>
        <v>2235684</v>
      </c>
      <c r="O38" s="174"/>
      <c r="P38" s="175" t="str">
        <f>IF(ISBLANK(O38),"", O38*O37)</f>
        <v/>
      </c>
      <c r="Q38" s="176"/>
      <c r="R38" s="175" t="str">
        <f>IF(ISBLANK(Q38),"", Q38*Q37)</f>
        <v/>
      </c>
      <c r="S38" s="176"/>
      <c r="T38" s="175" t="str">
        <f>IF(ISBLANK(S38),"", S38*S37)</f>
        <v/>
      </c>
      <c r="U38" s="176">
        <v>288</v>
      </c>
      <c r="V38" s="175">
        <f>IF(ISBLANK(U38),"", U38*U37)</f>
        <v>1376928</v>
      </c>
      <c r="W38" s="178">
        <f t="shared" ref="W38:W44" si="21">SUM(P38,R38,T38,V38)</f>
        <v>1376928</v>
      </c>
      <c r="X38" s="176">
        <v>215</v>
      </c>
      <c r="Y38" s="175">
        <f>IF(ISBLANK(X38),"", X38*X37)</f>
        <v>3426240</v>
      </c>
      <c r="Z38" s="176">
        <v>0</v>
      </c>
      <c r="AA38" s="175">
        <f>IF(ISBLANK(Z38),"", Z38*Z37)</f>
        <v>0</v>
      </c>
      <c r="AB38" s="177">
        <v>5</v>
      </c>
      <c r="AC38" s="175">
        <f>IF(ISBLANK(AB38),"", AB38*AB37)</f>
        <v>27890</v>
      </c>
      <c r="AD38" s="178">
        <f t="shared" ref="AD38:AD44" si="22">SUM(Y38,AA38,AC38)</f>
        <v>3454130</v>
      </c>
      <c r="AE38" s="174"/>
      <c r="AF38" s="175" t="str">
        <f>IF(ISBLANK(AE38),"", AE38*AE37)</f>
        <v/>
      </c>
      <c r="AG38" s="176"/>
      <c r="AH38" s="175" t="str">
        <f>IF(ISBLANK(AG38),"", AG38*AG37)</f>
        <v/>
      </c>
      <c r="AI38" s="176"/>
      <c r="AJ38" s="175" t="str">
        <f>IF(ISBLANK(AI38),"", AI38*AI37)</f>
        <v/>
      </c>
      <c r="AK38" s="176"/>
      <c r="AL38" s="175" t="str">
        <f>IF(ISBLANK(AK38),"", AK38*AK37)</f>
        <v/>
      </c>
      <c r="AM38" s="177"/>
      <c r="AN38" s="175" t="str">
        <f>IF(ISBLANK(AM38),"", AM38*AM37)</f>
        <v/>
      </c>
      <c r="AO38" s="178">
        <f t="shared" ref="AO38:AO44" si="23">SUM(AF38,AH38,AJ38,AL38,AN38)</f>
        <v>0</v>
      </c>
      <c r="AP38" s="176"/>
      <c r="AQ38" s="175" t="str">
        <f>IF(ISBLANK(AP38),"", AP38*AP37)</f>
        <v/>
      </c>
      <c r="AR38" s="176"/>
      <c r="AS38" s="175" t="str">
        <f>IF(ISBLANK(AR38),"", AR38*AR37)</f>
        <v/>
      </c>
      <c r="AT38" s="177"/>
      <c r="AU38" s="175" t="str">
        <f>IF(ISBLANK(AT38),"", AT38*AT37)</f>
        <v/>
      </c>
      <c r="AV38" s="178">
        <f t="shared" ref="AV38:AV44" si="24">SUM(AQ38,AS38,AU38)</f>
        <v>0</v>
      </c>
      <c r="AW38" s="176"/>
      <c r="AX38" s="175" t="str">
        <f>IF(ISBLANK(AW38),"", AW38*AW37)</f>
        <v/>
      </c>
      <c r="AY38" s="176">
        <v>332</v>
      </c>
      <c r="AZ38" s="175">
        <f>IF(ISBLANK(AY38),"", AY38*AY37)</f>
        <v>6084232</v>
      </c>
      <c r="BA38" s="178">
        <f t="shared" ref="BA38:BA44" si="25">SUM(AX38,AZ38)</f>
        <v>6084232</v>
      </c>
      <c r="BB38" s="179">
        <f t="shared" ref="BB38:BB45" si="26">SUM(N38,W38,AD38,AO38,AV38,BA38)</f>
        <v>13150974</v>
      </c>
      <c r="BC38" s="180">
        <f>BB38/BB57</f>
        <v>0.16421093356291694</v>
      </c>
    </row>
    <row r="39" spans="1:55" x14ac:dyDescent="0.25">
      <c r="A39" s="122" t="s">
        <v>55</v>
      </c>
      <c r="B39" s="177"/>
      <c r="C39" s="181" t="str">
        <f>IF(ISBLANK(B39),"", B39*B37)</f>
        <v/>
      </c>
      <c r="D39" s="177"/>
      <c r="E39" s="181" t="str">
        <f>IF(ISBLANK(D39),"", D39*D37)</f>
        <v/>
      </c>
      <c r="F39" s="182"/>
      <c r="G39" s="181" t="str">
        <f>IF(ISBLANK(F39),"", F39*F37)</f>
        <v/>
      </c>
      <c r="H39" s="182">
        <v>152</v>
      </c>
      <c r="I39" s="181">
        <f>IF(ISBLANK(H39),"", H39*H37)</f>
        <v>968848</v>
      </c>
      <c r="J39" s="182">
        <v>19</v>
      </c>
      <c r="K39" s="181">
        <f>IF(ISBLANK(J39),"", J39*J37)</f>
        <v>60553</v>
      </c>
      <c r="L39" s="177">
        <v>0</v>
      </c>
      <c r="M39" s="181">
        <f>IF(ISBLANK(L39),"", L39*L37)</f>
        <v>0</v>
      </c>
      <c r="N39" s="178">
        <f t="shared" si="20"/>
        <v>1029401</v>
      </c>
      <c r="O39" s="177"/>
      <c r="P39" s="181" t="str">
        <f>IF(ISBLANK(O39),"", O39*O37)</f>
        <v/>
      </c>
      <c r="Q39" s="182"/>
      <c r="R39" s="181" t="str">
        <f>IF(ISBLANK(Q39),"", Q39*Q37)</f>
        <v/>
      </c>
      <c r="S39" s="182"/>
      <c r="T39" s="181" t="str">
        <f>IF(ISBLANK(S39),"", S39*S37)</f>
        <v/>
      </c>
      <c r="U39" s="182">
        <v>79</v>
      </c>
      <c r="V39" s="181">
        <f>IF(ISBLANK(U39),"", U39*U37)</f>
        <v>377699</v>
      </c>
      <c r="W39" s="178">
        <f t="shared" si="21"/>
        <v>377699</v>
      </c>
      <c r="X39" s="182"/>
      <c r="Y39" s="181" t="str">
        <f>IF(ISBLANK(X39),"", X39*X37)</f>
        <v/>
      </c>
      <c r="Z39" s="182"/>
      <c r="AA39" s="181" t="str">
        <f>IF(ISBLANK(Z39),"", Z39*Z37)</f>
        <v/>
      </c>
      <c r="AB39" s="177"/>
      <c r="AC39" s="181" t="str">
        <f>IF(ISBLANK(AB39),"", AB39*AB37)</f>
        <v/>
      </c>
      <c r="AD39" s="178">
        <f t="shared" si="22"/>
        <v>0</v>
      </c>
      <c r="AE39" s="177"/>
      <c r="AF39" s="181" t="str">
        <f>IF(ISBLANK(AE39),"", AE39*AE37)</f>
        <v/>
      </c>
      <c r="AG39" s="182"/>
      <c r="AH39" s="181" t="str">
        <f>IF(ISBLANK(AG39),"", AG39*AG37)</f>
        <v/>
      </c>
      <c r="AI39" s="182">
        <v>37</v>
      </c>
      <c r="AJ39" s="181">
        <f>IF(ISBLANK(AI39),"", AI39*AI37)</f>
        <v>23569</v>
      </c>
      <c r="AK39" s="182"/>
      <c r="AL39" s="181" t="str">
        <f>IF(ISBLANK(AK39),"", AK39*AK37)</f>
        <v/>
      </c>
      <c r="AM39" s="177">
        <v>46</v>
      </c>
      <c r="AN39" s="181">
        <f>IF(ISBLANK(AM39),"", AM39*AM37)</f>
        <v>54970</v>
      </c>
      <c r="AO39" s="178">
        <f t="shared" si="23"/>
        <v>78539</v>
      </c>
      <c r="AP39" s="182"/>
      <c r="AQ39" s="181" t="str">
        <f>IF(ISBLANK(AP39),"", AP39*AP37)</f>
        <v/>
      </c>
      <c r="AR39" s="182"/>
      <c r="AS39" s="181" t="str">
        <f>IF(ISBLANK(AR39),"", AR39*AR37)</f>
        <v/>
      </c>
      <c r="AT39" s="177"/>
      <c r="AU39" s="181" t="str">
        <f>IF(ISBLANK(AT39),"", AT39*AT37)</f>
        <v/>
      </c>
      <c r="AV39" s="178">
        <f t="shared" si="24"/>
        <v>0</v>
      </c>
      <c r="AW39" s="182"/>
      <c r="AX39" s="181" t="str">
        <f>IF(ISBLANK(AW39),"", AW39*AW37)</f>
        <v/>
      </c>
      <c r="AY39" s="182">
        <v>19</v>
      </c>
      <c r="AZ39" s="181">
        <f>IF(ISBLANK(AY39),"", AY39*AY37)</f>
        <v>348194</v>
      </c>
      <c r="BA39" s="178">
        <f t="shared" si="25"/>
        <v>348194</v>
      </c>
      <c r="BB39" s="179">
        <f t="shared" si="26"/>
        <v>1833833</v>
      </c>
      <c r="BC39" s="180">
        <f>BB39/BB57</f>
        <v>2.2898336574042701E-2</v>
      </c>
    </row>
    <row r="40" spans="1:55" x14ac:dyDescent="0.25">
      <c r="A40" s="122" t="s">
        <v>56</v>
      </c>
      <c r="B40" s="177"/>
      <c r="C40" s="181" t="str">
        <f>IF(ISBLANK(B40),"", B40*B37)</f>
        <v/>
      </c>
      <c r="D40" s="177"/>
      <c r="E40" s="181" t="str">
        <f>IF(ISBLANK(D40),"", D40*D37)</f>
        <v/>
      </c>
      <c r="F40" s="182"/>
      <c r="G40" s="181" t="str">
        <f>IF(ISBLANK(F40),"", F40*F37)</f>
        <v/>
      </c>
      <c r="H40" s="182">
        <v>118</v>
      </c>
      <c r="I40" s="181">
        <f>IF(ISBLANK(H40),"", H40*H37)</f>
        <v>752132</v>
      </c>
      <c r="J40" s="182">
        <v>0</v>
      </c>
      <c r="K40" s="181">
        <f>IF(ISBLANK(J40),"", J40*J37)</f>
        <v>0</v>
      </c>
      <c r="L40" s="177">
        <v>0</v>
      </c>
      <c r="M40" s="181">
        <f>IF(ISBLANK(L40),"", L40*L37)</f>
        <v>0</v>
      </c>
      <c r="N40" s="178">
        <f t="shared" si="20"/>
        <v>752132</v>
      </c>
      <c r="O40" s="177"/>
      <c r="P40" s="181" t="str">
        <f>IF(ISBLANK(O40),"", O40*O37)</f>
        <v/>
      </c>
      <c r="Q40" s="182"/>
      <c r="R40" s="181" t="str">
        <f>IF(ISBLANK(Q40),"", Q40*Q37)</f>
        <v/>
      </c>
      <c r="S40" s="182"/>
      <c r="T40" s="181" t="str">
        <f>IF(ISBLANK(S40),"", S40*S37)</f>
        <v/>
      </c>
      <c r="U40" s="182">
        <v>83</v>
      </c>
      <c r="V40" s="181">
        <f>IF(ISBLANK(U40),"", U40*U37)</f>
        <v>396823</v>
      </c>
      <c r="W40" s="178">
        <f t="shared" si="21"/>
        <v>396823</v>
      </c>
      <c r="X40" s="182"/>
      <c r="Y40" s="181" t="str">
        <f>IF(ISBLANK(X40),"", X40*X37)</f>
        <v/>
      </c>
      <c r="Z40" s="182"/>
      <c r="AA40" s="181" t="str">
        <f>IF(ISBLANK(Z40),"", Z40*Z37)</f>
        <v/>
      </c>
      <c r="AB40" s="177"/>
      <c r="AC40" s="181" t="str">
        <f>IF(ISBLANK(AB40),"", AB40*AB37)</f>
        <v/>
      </c>
      <c r="AD40" s="178">
        <f t="shared" si="22"/>
        <v>0</v>
      </c>
      <c r="AE40" s="177"/>
      <c r="AF40" s="181" t="str">
        <f>IF(ISBLANK(AE40),"", AE40*AE37)</f>
        <v/>
      </c>
      <c r="AG40" s="182"/>
      <c r="AH40" s="181" t="str">
        <f>IF(ISBLANK(AG40),"", AG40*AG37)</f>
        <v/>
      </c>
      <c r="AI40" s="182">
        <v>147</v>
      </c>
      <c r="AJ40" s="181">
        <f>IF(ISBLANK(AI40),"", AI40*AI37)</f>
        <v>93639</v>
      </c>
      <c r="AK40" s="182"/>
      <c r="AL40" s="181" t="str">
        <f>IF(ISBLANK(AK40),"", AK40*AK37)</f>
        <v/>
      </c>
      <c r="AM40" s="177">
        <v>112</v>
      </c>
      <c r="AN40" s="181">
        <f>IF(ISBLANK(AM40),"", AM40*AM37)</f>
        <v>133840</v>
      </c>
      <c r="AO40" s="178">
        <f t="shared" si="23"/>
        <v>227479</v>
      </c>
      <c r="AP40" s="182"/>
      <c r="AQ40" s="181" t="str">
        <f>IF(ISBLANK(AP40),"", AP40*AP37)</f>
        <v/>
      </c>
      <c r="AR40" s="182"/>
      <c r="AS40" s="181" t="str">
        <f>IF(ISBLANK(AR40),"", AR40*AR37)</f>
        <v/>
      </c>
      <c r="AT40" s="177"/>
      <c r="AU40" s="181" t="str">
        <f>IF(ISBLANK(AT40),"", AT40*AT37)</f>
        <v/>
      </c>
      <c r="AV40" s="178">
        <f t="shared" si="24"/>
        <v>0</v>
      </c>
      <c r="AW40" s="182"/>
      <c r="AX40" s="181" t="str">
        <f>IF(ISBLANK(AW40),"", AW40*AW37)</f>
        <v/>
      </c>
      <c r="AY40" s="182">
        <v>28</v>
      </c>
      <c r="AZ40" s="181">
        <f>IF(ISBLANK(AY40),"", AY40*AY37)</f>
        <v>513128</v>
      </c>
      <c r="BA40" s="178">
        <f t="shared" si="25"/>
        <v>513128</v>
      </c>
      <c r="BB40" s="179">
        <f t="shared" si="26"/>
        <v>1889562</v>
      </c>
      <c r="BC40" s="180">
        <f>BB40/BB57</f>
        <v>2.3594202227531773E-2</v>
      </c>
    </row>
    <row r="41" spans="1:55" x14ac:dyDescent="0.25">
      <c r="A41" s="122" t="s">
        <v>57</v>
      </c>
      <c r="B41" s="177"/>
      <c r="C41" s="181" t="str">
        <f>IF(ISBLANK(B41),"", B41*B37)</f>
        <v/>
      </c>
      <c r="D41" s="177"/>
      <c r="E41" s="181" t="str">
        <f>IF(ISBLANK(D41),"", D41*D37)</f>
        <v/>
      </c>
      <c r="F41" s="182"/>
      <c r="G41" s="181" t="str">
        <f>IF(ISBLANK(F41),"", F41*F37)</f>
        <v/>
      </c>
      <c r="H41" s="182">
        <v>81</v>
      </c>
      <c r="I41" s="181">
        <f>IF(ISBLANK(H41),"", H41*H37)</f>
        <v>516294</v>
      </c>
      <c r="J41" s="182">
        <v>0</v>
      </c>
      <c r="K41" s="181">
        <f>IF(ISBLANK(J41),"", J41*J37)</f>
        <v>0</v>
      </c>
      <c r="L41" s="177">
        <v>0</v>
      </c>
      <c r="M41" s="181">
        <f>IF(ISBLANK(L41),"", L41*L37)</f>
        <v>0</v>
      </c>
      <c r="N41" s="178">
        <f t="shared" si="20"/>
        <v>516294</v>
      </c>
      <c r="O41" s="177"/>
      <c r="P41" s="181" t="str">
        <f>IF(ISBLANK(O41),"", O41*O37)</f>
        <v/>
      </c>
      <c r="Q41" s="182"/>
      <c r="R41" s="181" t="str">
        <f>IF(ISBLANK(Q41),"", Q41*Q37)</f>
        <v/>
      </c>
      <c r="S41" s="182"/>
      <c r="T41" s="181" t="str">
        <f>IF(ISBLANK(S41),"", S41*S37)</f>
        <v/>
      </c>
      <c r="U41" s="182">
        <v>49</v>
      </c>
      <c r="V41" s="181">
        <f>IF(ISBLANK(U41),"", U41*U37)</f>
        <v>234269</v>
      </c>
      <c r="W41" s="178">
        <f t="shared" si="21"/>
        <v>234269</v>
      </c>
      <c r="X41" s="182"/>
      <c r="Y41" s="181" t="str">
        <f>IF(ISBLANK(X41),"", X41*X37)</f>
        <v/>
      </c>
      <c r="Z41" s="182"/>
      <c r="AA41" s="181" t="str">
        <f>IF(ISBLANK(Z41),"", Z41*Z37)</f>
        <v/>
      </c>
      <c r="AB41" s="177"/>
      <c r="AC41" s="181" t="str">
        <f>IF(ISBLANK(AB41),"", AB41*AB37)</f>
        <v/>
      </c>
      <c r="AD41" s="178">
        <f t="shared" si="22"/>
        <v>0</v>
      </c>
      <c r="AE41" s="177"/>
      <c r="AF41" s="181" t="str">
        <f>IF(ISBLANK(AE41),"", AE41*AE37)</f>
        <v/>
      </c>
      <c r="AG41" s="182"/>
      <c r="AH41" s="181" t="str">
        <f>IF(ISBLANK(AG41),"", AG41*AG37)</f>
        <v/>
      </c>
      <c r="AI41" s="182">
        <v>4</v>
      </c>
      <c r="AJ41" s="181">
        <f>IF(ISBLANK(AI41),"", AI41*AI37)</f>
        <v>2548</v>
      </c>
      <c r="AK41" s="182"/>
      <c r="AL41" s="181" t="str">
        <f>IF(ISBLANK(AK41),"", AK41*AK37)</f>
        <v/>
      </c>
      <c r="AM41" s="177">
        <v>1</v>
      </c>
      <c r="AN41" s="181">
        <f>IF(ISBLANK(AM41),"", AM41*AM37)</f>
        <v>1195</v>
      </c>
      <c r="AO41" s="178">
        <f t="shared" si="23"/>
        <v>3743</v>
      </c>
      <c r="AP41" s="182"/>
      <c r="AQ41" s="181" t="str">
        <f>IF(ISBLANK(AP41),"", AP41*AP37)</f>
        <v/>
      </c>
      <c r="AR41" s="182"/>
      <c r="AS41" s="181" t="str">
        <f>IF(ISBLANK(AR41),"", AR41*AR37)</f>
        <v/>
      </c>
      <c r="AT41" s="177"/>
      <c r="AU41" s="181" t="str">
        <f>IF(ISBLANK(AT41),"", AT41*AT37)</f>
        <v/>
      </c>
      <c r="AV41" s="178">
        <f t="shared" si="24"/>
        <v>0</v>
      </c>
      <c r="AW41" s="182"/>
      <c r="AX41" s="181" t="str">
        <f>IF(ISBLANK(AW41),"", AW41*AW37)</f>
        <v/>
      </c>
      <c r="AY41" s="182">
        <v>5</v>
      </c>
      <c r="AZ41" s="181">
        <f>IF(ISBLANK(AY41),"", AY41*AY37)</f>
        <v>91630</v>
      </c>
      <c r="BA41" s="178">
        <f t="shared" si="25"/>
        <v>91630</v>
      </c>
      <c r="BB41" s="179">
        <f t="shared" si="26"/>
        <v>845936</v>
      </c>
      <c r="BC41" s="180">
        <f>BB41/BB57</f>
        <v>1.0562863274954364E-2</v>
      </c>
    </row>
    <row r="42" spans="1:55" x14ac:dyDescent="0.25">
      <c r="A42" s="122" t="s">
        <v>58</v>
      </c>
      <c r="B42" s="177"/>
      <c r="C42" s="181" t="str">
        <f>IF(ISBLANK(B42),"", B42*B37)</f>
        <v/>
      </c>
      <c r="D42" s="177"/>
      <c r="E42" s="181" t="str">
        <f>IF(ISBLANK(D42),"", D42*D37)</f>
        <v/>
      </c>
      <c r="F42" s="182"/>
      <c r="G42" s="181" t="str">
        <f>IF(ISBLANK(F42),"", F42*F37)</f>
        <v/>
      </c>
      <c r="H42" s="182">
        <v>346</v>
      </c>
      <c r="I42" s="181">
        <f>IF(ISBLANK(H42),"", H42*H37)</f>
        <v>2205404</v>
      </c>
      <c r="J42" s="182">
        <v>0</v>
      </c>
      <c r="K42" s="181">
        <f>IF(ISBLANK(J42),"", J42*J37)</f>
        <v>0</v>
      </c>
      <c r="L42" s="177">
        <v>8</v>
      </c>
      <c r="M42" s="181">
        <f>IF(ISBLANK(L42),"", L42*L37)</f>
        <v>12752</v>
      </c>
      <c r="N42" s="178">
        <f t="shared" si="20"/>
        <v>2218156</v>
      </c>
      <c r="O42" s="177"/>
      <c r="P42" s="181" t="str">
        <f>IF(ISBLANK(O42),"", O42*O37)</f>
        <v/>
      </c>
      <c r="Q42" s="182"/>
      <c r="R42" s="181" t="str">
        <f>IF(ISBLANK(Q42),"", Q42*Q37)</f>
        <v/>
      </c>
      <c r="S42" s="182"/>
      <c r="T42" s="181" t="str">
        <f>IF(ISBLANK(S42),"", S42*S37)</f>
        <v/>
      </c>
      <c r="U42" s="182">
        <v>431</v>
      </c>
      <c r="V42" s="181">
        <f>IF(ISBLANK(U42),"", U42*U37)</f>
        <v>2060611</v>
      </c>
      <c r="W42" s="178">
        <f t="shared" si="21"/>
        <v>2060611</v>
      </c>
      <c r="X42" s="182">
        <v>98</v>
      </c>
      <c r="Y42" s="181">
        <f>IF(ISBLANK(X42),"", X42*X37)</f>
        <v>1561728</v>
      </c>
      <c r="Z42" s="182">
        <v>0</v>
      </c>
      <c r="AA42" s="181">
        <f>IF(ISBLANK(Z42),"", Z42*Z37)</f>
        <v>0</v>
      </c>
      <c r="AB42" s="177">
        <v>1</v>
      </c>
      <c r="AC42" s="181">
        <f>IF(ISBLANK(AB42),"", AB42*AB37)</f>
        <v>5578</v>
      </c>
      <c r="AD42" s="178">
        <f t="shared" si="22"/>
        <v>1567306</v>
      </c>
      <c r="AE42" s="177"/>
      <c r="AF42" s="181" t="str">
        <f>IF(ISBLANK(AE42),"", AE42*AE37)</f>
        <v/>
      </c>
      <c r="AG42" s="182"/>
      <c r="AH42" s="181" t="str">
        <f>IF(ISBLANK(AG42),"", AG42*AG37)</f>
        <v/>
      </c>
      <c r="AI42" s="182"/>
      <c r="AJ42" s="181" t="str">
        <f>IF(ISBLANK(AI42),"", AI42*AI37)</f>
        <v/>
      </c>
      <c r="AK42" s="182"/>
      <c r="AL42" s="181" t="str">
        <f>IF(ISBLANK(AK42),"", AK42*AK37)</f>
        <v/>
      </c>
      <c r="AM42" s="177"/>
      <c r="AN42" s="181" t="str">
        <f>IF(ISBLANK(AM42),"", AM42*AM37)</f>
        <v/>
      </c>
      <c r="AO42" s="178">
        <f t="shared" si="23"/>
        <v>0</v>
      </c>
      <c r="AP42" s="182"/>
      <c r="AQ42" s="181" t="str">
        <f>IF(ISBLANK(AP42),"", AP42*AP37)</f>
        <v/>
      </c>
      <c r="AR42" s="182"/>
      <c r="AS42" s="181" t="str">
        <f>IF(ISBLANK(AR42),"", AR42*AR37)</f>
        <v/>
      </c>
      <c r="AT42" s="177"/>
      <c r="AU42" s="181" t="str">
        <f>IF(ISBLANK(AT42),"", AT42*AT37)</f>
        <v/>
      </c>
      <c r="AV42" s="178">
        <f t="shared" si="24"/>
        <v>0</v>
      </c>
      <c r="AW42" s="182"/>
      <c r="AX42" s="181" t="str">
        <f>IF(ISBLANK(AW42),"", AW42*AW37)</f>
        <v/>
      </c>
      <c r="AY42" s="182">
        <v>97</v>
      </c>
      <c r="AZ42" s="181">
        <f>IF(ISBLANK(AY42),"", AY42*AY37)</f>
        <v>1777622</v>
      </c>
      <c r="BA42" s="178">
        <f t="shared" si="25"/>
        <v>1777622</v>
      </c>
      <c r="BB42" s="179">
        <f t="shared" si="26"/>
        <v>7623695</v>
      </c>
      <c r="BC42" s="180">
        <f>BB42/BB57</f>
        <v>9.5194019328830093E-2</v>
      </c>
    </row>
    <row r="43" spans="1:55" x14ac:dyDescent="0.25">
      <c r="A43" s="122" t="s">
        <v>59</v>
      </c>
      <c r="B43" s="177"/>
      <c r="C43" s="181" t="str">
        <f>IF(ISBLANK(B43),"", B43*B37)</f>
        <v/>
      </c>
      <c r="D43" s="177"/>
      <c r="E43" s="181" t="str">
        <f>IF(ISBLANK(D43),"", D43*D37)</f>
        <v/>
      </c>
      <c r="F43" s="182"/>
      <c r="G43" s="181" t="str">
        <f>IF(ISBLANK(F43),"", F43*F37)</f>
        <v/>
      </c>
      <c r="H43" s="182">
        <v>156</v>
      </c>
      <c r="I43" s="181">
        <f>IF(ISBLANK(H43),"", H43*H37)</f>
        <v>994344</v>
      </c>
      <c r="J43" s="182">
        <v>0</v>
      </c>
      <c r="K43" s="181">
        <f>IF(ISBLANK(J43),"", J43*J37)</f>
        <v>0</v>
      </c>
      <c r="L43" s="177">
        <v>0</v>
      </c>
      <c r="M43" s="181">
        <f>IF(ISBLANK(L43),"", L43*L37)</f>
        <v>0</v>
      </c>
      <c r="N43" s="178">
        <f t="shared" si="20"/>
        <v>994344</v>
      </c>
      <c r="O43" s="177"/>
      <c r="P43" s="181" t="str">
        <f>IF(ISBLANK(O43),"", O43*O37)</f>
        <v/>
      </c>
      <c r="Q43" s="182"/>
      <c r="R43" s="181" t="str">
        <f>IF(ISBLANK(Q43),"", Q43*Q37)</f>
        <v/>
      </c>
      <c r="S43" s="182"/>
      <c r="T43" s="181" t="str">
        <f>IF(ISBLANK(S43),"", S43*S37)</f>
        <v/>
      </c>
      <c r="U43" s="182">
        <v>129</v>
      </c>
      <c r="V43" s="181">
        <f>IF(ISBLANK(U43),"", U43*U37)</f>
        <v>616749</v>
      </c>
      <c r="W43" s="178">
        <f t="shared" si="21"/>
        <v>616749</v>
      </c>
      <c r="X43" s="182"/>
      <c r="Y43" s="181" t="str">
        <f>IF(ISBLANK(X43),"", X43*X37)</f>
        <v/>
      </c>
      <c r="Z43" s="182"/>
      <c r="AA43" s="181" t="str">
        <f>IF(ISBLANK(Z43),"", Z43*Z37)</f>
        <v/>
      </c>
      <c r="AB43" s="177"/>
      <c r="AC43" s="181" t="str">
        <f>IF(ISBLANK(AB43),"", AB43*AB37)</f>
        <v/>
      </c>
      <c r="AD43" s="178">
        <f t="shared" si="22"/>
        <v>0</v>
      </c>
      <c r="AE43" s="177"/>
      <c r="AF43" s="181" t="str">
        <f>IF(ISBLANK(AE43),"", AE43*AE37)</f>
        <v/>
      </c>
      <c r="AG43" s="182"/>
      <c r="AH43" s="181" t="str">
        <f>IF(ISBLANK(AG43),"", AG43*AG37)</f>
        <v/>
      </c>
      <c r="AI43" s="182">
        <v>0</v>
      </c>
      <c r="AJ43" s="181">
        <f>IF(ISBLANK(AI43),"", AI43*AI37)</f>
        <v>0</v>
      </c>
      <c r="AK43" s="182"/>
      <c r="AL43" s="181" t="str">
        <f>IF(ISBLANK(AK43),"", AK43*AK37)</f>
        <v/>
      </c>
      <c r="AM43" s="177">
        <v>0</v>
      </c>
      <c r="AN43" s="181">
        <f>IF(ISBLANK(AM43),"", AM43*AM37)</f>
        <v>0</v>
      </c>
      <c r="AO43" s="178">
        <f t="shared" si="23"/>
        <v>0</v>
      </c>
      <c r="AP43" s="182"/>
      <c r="AQ43" s="181" t="str">
        <f>IF(ISBLANK(AP43),"", AP43*AP37)</f>
        <v/>
      </c>
      <c r="AR43" s="182"/>
      <c r="AS43" s="181" t="str">
        <f>IF(ISBLANK(AR43),"", AR43*AR37)</f>
        <v/>
      </c>
      <c r="AT43" s="177"/>
      <c r="AU43" s="181" t="str">
        <f>IF(ISBLANK(AT43),"", AT43*AT37)</f>
        <v/>
      </c>
      <c r="AV43" s="178">
        <f t="shared" si="24"/>
        <v>0</v>
      </c>
      <c r="AW43" s="182"/>
      <c r="AX43" s="181" t="str">
        <f>IF(ISBLANK(AW43),"", AW43*AW37)</f>
        <v/>
      </c>
      <c r="AY43" s="182">
        <v>18</v>
      </c>
      <c r="AZ43" s="181">
        <f>IF(ISBLANK(AY43),"", AY43*AY37)</f>
        <v>329868</v>
      </c>
      <c r="BA43" s="178">
        <f t="shared" si="25"/>
        <v>329868</v>
      </c>
      <c r="BB43" s="179">
        <f t="shared" si="26"/>
        <v>1940961</v>
      </c>
      <c r="BC43" s="180">
        <f>BB43/BB57</f>
        <v>2.4236000909074323E-2</v>
      </c>
    </row>
    <row r="44" spans="1:55" ht="15.75" customHeight="1" thickBot="1" x14ac:dyDescent="0.3">
      <c r="A44" s="122" t="s">
        <v>60</v>
      </c>
      <c r="B44" s="177"/>
      <c r="C44" s="181" t="str">
        <f>IF(ISBLANK(B44),"", B44*B37)</f>
        <v/>
      </c>
      <c r="D44" s="177"/>
      <c r="E44" s="181" t="str">
        <f>IF(ISBLANK(D44),"", D44*D37)</f>
        <v/>
      </c>
      <c r="F44" s="182"/>
      <c r="G44" s="181" t="str">
        <f>IF(ISBLANK(F44),"", F44*F37)</f>
        <v/>
      </c>
      <c r="H44" s="182">
        <v>93</v>
      </c>
      <c r="I44" s="181">
        <f>IF(ISBLANK(H44),"", H44*H37)</f>
        <v>592782</v>
      </c>
      <c r="J44" s="182">
        <v>0</v>
      </c>
      <c r="K44" s="181">
        <f>IF(ISBLANK(J44),"", J44*J37)</f>
        <v>0</v>
      </c>
      <c r="L44" s="177">
        <v>0</v>
      </c>
      <c r="M44" s="181">
        <f>IF(ISBLANK(L44),"", L44*L37)</f>
        <v>0</v>
      </c>
      <c r="N44" s="178">
        <f t="shared" si="20"/>
        <v>592782</v>
      </c>
      <c r="O44" s="177"/>
      <c r="P44" s="181" t="str">
        <f>IF(ISBLANK(O44),"", O44*O37)</f>
        <v/>
      </c>
      <c r="Q44" s="182"/>
      <c r="R44" s="181" t="str">
        <f>IF(ISBLANK(Q44),"", Q44*Q37)</f>
        <v/>
      </c>
      <c r="S44" s="182"/>
      <c r="T44" s="181" t="str">
        <f>IF(ISBLANK(S44),"", S44*S37)</f>
        <v/>
      </c>
      <c r="U44" s="182">
        <v>88</v>
      </c>
      <c r="V44" s="181">
        <f>IF(ISBLANK(U44),"", U44*U37)</f>
        <v>420728</v>
      </c>
      <c r="W44" s="178">
        <f t="shared" si="21"/>
        <v>420728</v>
      </c>
      <c r="X44" s="182"/>
      <c r="Y44" s="181" t="str">
        <f>IF(ISBLANK(X44),"", X44*X37)</f>
        <v/>
      </c>
      <c r="Z44" s="182"/>
      <c r="AA44" s="181" t="str">
        <f>IF(ISBLANK(Z44),"", Z44*Z37)</f>
        <v/>
      </c>
      <c r="AB44" s="177"/>
      <c r="AC44" s="181" t="str">
        <f>IF(ISBLANK(AB44),"", AB44*AB37)</f>
        <v/>
      </c>
      <c r="AD44" s="178">
        <f t="shared" si="22"/>
        <v>0</v>
      </c>
      <c r="AE44" s="177"/>
      <c r="AF44" s="181" t="str">
        <f>IF(ISBLANK(AE44),"", AE44*AE37)</f>
        <v/>
      </c>
      <c r="AG44" s="182"/>
      <c r="AH44" s="181" t="str">
        <f>IF(ISBLANK(AG44),"", AG44*AG37)</f>
        <v/>
      </c>
      <c r="AI44" s="182">
        <v>62</v>
      </c>
      <c r="AJ44" s="181">
        <f>IF(ISBLANK(AI44),"", AI44*AI37)</f>
        <v>39494</v>
      </c>
      <c r="AK44" s="182"/>
      <c r="AL44" s="181" t="str">
        <f>IF(ISBLANK(AK44),"", AK44*AK37)</f>
        <v/>
      </c>
      <c r="AM44" s="177">
        <v>0</v>
      </c>
      <c r="AN44" s="181">
        <f>IF(ISBLANK(AM44),"", AM44*AM37)</f>
        <v>0</v>
      </c>
      <c r="AO44" s="178">
        <f t="shared" si="23"/>
        <v>39494</v>
      </c>
      <c r="AP44" s="182"/>
      <c r="AQ44" s="181" t="str">
        <f>IF(ISBLANK(AP44),"", AP44*AP37)</f>
        <v/>
      </c>
      <c r="AR44" s="182"/>
      <c r="AS44" s="181" t="str">
        <f>IF(ISBLANK(AR44),"", AR44*AR37)</f>
        <v/>
      </c>
      <c r="AT44" s="177"/>
      <c r="AU44" s="181" t="str">
        <f>IF(ISBLANK(AT44),"", AT44*AT37)</f>
        <v/>
      </c>
      <c r="AV44" s="178">
        <f t="shared" si="24"/>
        <v>0</v>
      </c>
      <c r="AW44" s="182"/>
      <c r="AX44" s="181" t="str">
        <f>IF(ISBLANK(AW44),"", AW44*AW37)</f>
        <v/>
      </c>
      <c r="AY44" s="182">
        <v>25</v>
      </c>
      <c r="AZ44" s="181">
        <f>IF(ISBLANK(AY44),"", AY44*AY37)</f>
        <v>458150</v>
      </c>
      <c r="BA44" s="178">
        <f t="shared" si="25"/>
        <v>458150</v>
      </c>
      <c r="BB44" s="183">
        <f t="shared" si="26"/>
        <v>1511154</v>
      </c>
      <c r="BC44" s="184">
        <f>BB44/BB57</f>
        <v>1.8869173423758285E-2</v>
      </c>
    </row>
    <row r="45" spans="1:55" ht="15.75" customHeight="1" thickTop="1" x14ac:dyDescent="0.25">
      <c r="A45" s="185" t="s">
        <v>126</v>
      </c>
      <c r="B45" s="186" t="str">
        <f t="shared" ref="B45:M45" si="27">IF(COUNT(B38:B44) = 0, "", SUM(B38:B44))</f>
        <v/>
      </c>
      <c r="C45" s="187" t="str">
        <f t="shared" si="27"/>
        <v/>
      </c>
      <c r="D45" s="186" t="str">
        <f t="shared" si="27"/>
        <v/>
      </c>
      <c r="E45" s="187" t="str">
        <f t="shared" si="27"/>
        <v/>
      </c>
      <c r="F45" s="188" t="str">
        <f t="shared" si="27"/>
        <v/>
      </c>
      <c r="G45" s="187" t="str">
        <f t="shared" si="27"/>
        <v/>
      </c>
      <c r="H45" s="188">
        <f t="shared" si="27"/>
        <v>1295</v>
      </c>
      <c r="I45" s="187">
        <f t="shared" si="27"/>
        <v>8254330</v>
      </c>
      <c r="J45" s="188">
        <f t="shared" si="27"/>
        <v>19</v>
      </c>
      <c r="K45" s="187">
        <f t="shared" si="27"/>
        <v>60553</v>
      </c>
      <c r="L45" s="186">
        <f t="shared" si="27"/>
        <v>15</v>
      </c>
      <c r="M45" s="187">
        <f t="shared" si="27"/>
        <v>23910</v>
      </c>
      <c r="N45" s="189">
        <f>SUM(N38:N44)</f>
        <v>8338793</v>
      </c>
      <c r="O45" s="186" t="str">
        <f t="shared" ref="O45:V45" si="28">IF(COUNT(O38:O44) = 0, "", SUM(O38:O44))</f>
        <v/>
      </c>
      <c r="P45" s="187" t="str">
        <f t="shared" si="28"/>
        <v/>
      </c>
      <c r="Q45" s="188" t="str">
        <f t="shared" si="28"/>
        <v/>
      </c>
      <c r="R45" s="187" t="str">
        <f t="shared" si="28"/>
        <v/>
      </c>
      <c r="S45" s="188" t="str">
        <f t="shared" si="28"/>
        <v/>
      </c>
      <c r="T45" s="187" t="str">
        <f t="shared" si="28"/>
        <v/>
      </c>
      <c r="U45" s="188">
        <f t="shared" si="28"/>
        <v>1147</v>
      </c>
      <c r="V45" s="187">
        <f t="shared" si="28"/>
        <v>5483807</v>
      </c>
      <c r="W45" s="189">
        <f>SUM(W38:W44)</f>
        <v>5483807</v>
      </c>
      <c r="X45" s="188">
        <f t="shared" ref="X45:AC45" si="29">IF(COUNT(X38:X44) = 0, "", SUM(X38:X44))</f>
        <v>313</v>
      </c>
      <c r="Y45" s="187">
        <f t="shared" si="29"/>
        <v>4987968</v>
      </c>
      <c r="Z45" s="188">
        <f t="shared" si="29"/>
        <v>0</v>
      </c>
      <c r="AA45" s="187">
        <f t="shared" si="29"/>
        <v>0</v>
      </c>
      <c r="AB45" s="186">
        <f t="shared" si="29"/>
        <v>6</v>
      </c>
      <c r="AC45" s="187">
        <f t="shared" si="29"/>
        <v>33468</v>
      </c>
      <c r="AD45" s="189">
        <f>SUM(AD38:AD44)</f>
        <v>5021436</v>
      </c>
      <c r="AE45" s="186" t="str">
        <f t="shared" ref="AE45:AN45" si="30">IF(COUNT(AE38:AE44) = 0, "", SUM(AE38:AE44))</f>
        <v/>
      </c>
      <c r="AF45" s="187" t="str">
        <f t="shared" si="30"/>
        <v/>
      </c>
      <c r="AG45" s="188" t="str">
        <f t="shared" si="30"/>
        <v/>
      </c>
      <c r="AH45" s="187" t="str">
        <f t="shared" si="30"/>
        <v/>
      </c>
      <c r="AI45" s="188">
        <f t="shared" si="30"/>
        <v>250</v>
      </c>
      <c r="AJ45" s="187">
        <f t="shared" si="30"/>
        <v>159250</v>
      </c>
      <c r="AK45" s="188" t="str">
        <f t="shared" si="30"/>
        <v/>
      </c>
      <c r="AL45" s="187" t="str">
        <f t="shared" si="30"/>
        <v/>
      </c>
      <c r="AM45" s="186">
        <f t="shared" si="30"/>
        <v>159</v>
      </c>
      <c r="AN45" s="187">
        <f t="shared" si="30"/>
        <v>190005</v>
      </c>
      <c r="AO45" s="189">
        <f>SUM(AO38:AO44)</f>
        <v>349255</v>
      </c>
      <c r="AP45" s="188" t="str">
        <f t="shared" ref="AP45:AU45" si="31">IF(COUNT(AP38:AP44) = 0, "", SUM(AP38:AP44))</f>
        <v/>
      </c>
      <c r="AQ45" s="187" t="str">
        <f t="shared" si="31"/>
        <v/>
      </c>
      <c r="AR45" s="188" t="str">
        <f t="shared" si="31"/>
        <v/>
      </c>
      <c r="AS45" s="187" t="str">
        <f t="shared" si="31"/>
        <v/>
      </c>
      <c r="AT45" s="186" t="str">
        <f t="shared" si="31"/>
        <v/>
      </c>
      <c r="AU45" s="187" t="str">
        <f t="shared" si="31"/>
        <v/>
      </c>
      <c r="AV45" s="189">
        <f>SUM(AV38:AV44)</f>
        <v>0</v>
      </c>
      <c r="AW45" s="188" t="str">
        <f>IF(COUNT(AW38:AW44) = 0, "", SUM(AW38:AW44))</f>
        <v/>
      </c>
      <c r="AX45" s="187" t="str">
        <f>IF(COUNT(AX38:AX44) = 0, "", SUM(AX38:AX44))</f>
        <v/>
      </c>
      <c r="AY45" s="188">
        <f>IF(COUNT(AY38:AY44) = 0, "", SUM(AY38:AY44))</f>
        <v>524</v>
      </c>
      <c r="AZ45" s="187">
        <f>IF(COUNT(AZ38:AZ44) = 0, "", SUM(AZ38:AZ44))</f>
        <v>9602824</v>
      </c>
      <c r="BA45" s="189">
        <f>SUM(BA38:BA44)</f>
        <v>9602824</v>
      </c>
      <c r="BB45" s="190">
        <f t="shared" si="26"/>
        <v>28796115</v>
      </c>
      <c r="BC45" s="191">
        <f>BB45/BB57</f>
        <v>0.35956552930110847</v>
      </c>
    </row>
    <row r="46" spans="1:55" x14ac:dyDescent="0.25">
      <c r="A46" s="192"/>
      <c r="B46" s="193"/>
      <c r="C46" s="194"/>
      <c r="D46" s="195"/>
      <c r="E46" s="195"/>
      <c r="F46" s="196"/>
      <c r="G46" s="194"/>
      <c r="H46" s="196"/>
      <c r="I46" s="194"/>
      <c r="J46" s="196"/>
      <c r="K46" s="194"/>
      <c r="L46" s="193"/>
      <c r="M46" s="194"/>
      <c r="N46" s="197"/>
      <c r="O46" s="193"/>
      <c r="P46" s="194"/>
      <c r="Q46" s="195"/>
      <c r="R46" s="195"/>
      <c r="S46" s="196"/>
      <c r="T46" s="194"/>
      <c r="U46" s="196"/>
      <c r="V46" s="194"/>
      <c r="W46" s="197"/>
      <c r="X46" s="196"/>
      <c r="Y46" s="194"/>
      <c r="Z46" s="196"/>
      <c r="AA46" s="194"/>
      <c r="AB46" s="193"/>
      <c r="AC46" s="194"/>
      <c r="AD46" s="197"/>
      <c r="AE46" s="193"/>
      <c r="AF46" s="194"/>
      <c r="AG46" s="196"/>
      <c r="AH46" s="194"/>
      <c r="AI46" s="196"/>
      <c r="AJ46" s="194"/>
      <c r="AK46" s="196"/>
      <c r="AL46" s="194"/>
      <c r="AM46" s="193"/>
      <c r="AN46" s="194"/>
      <c r="AO46" s="197"/>
      <c r="AP46" s="196"/>
      <c r="AQ46" s="194"/>
      <c r="AR46" s="196"/>
      <c r="AS46" s="194"/>
      <c r="AT46" s="193"/>
      <c r="AU46" s="194"/>
      <c r="AV46" s="197"/>
      <c r="AW46" s="196"/>
      <c r="AX46" s="194"/>
      <c r="AY46" s="196"/>
      <c r="AZ46" s="194"/>
      <c r="BA46" s="197"/>
      <c r="BB46" s="198"/>
      <c r="BC46" s="199"/>
    </row>
    <row r="47" spans="1:55" x14ac:dyDescent="0.25">
      <c r="A47" s="122" t="s">
        <v>66</v>
      </c>
      <c r="B47" s="177"/>
      <c r="C47" s="181" t="str">
        <f>IF(ISBLANK(B47),"", B47*B37)</f>
        <v/>
      </c>
      <c r="D47" s="177"/>
      <c r="E47" s="181" t="str">
        <f>IF(ISBLANK(D47),"", D47*D37)</f>
        <v/>
      </c>
      <c r="F47" s="182"/>
      <c r="G47" s="181" t="str">
        <f>IF(ISBLANK(F47),"", F47*F37)</f>
        <v/>
      </c>
      <c r="H47" s="182">
        <v>0</v>
      </c>
      <c r="I47" s="181">
        <f>IF(ISBLANK(H47),"", H47*H37)</f>
        <v>0</v>
      </c>
      <c r="J47" s="182">
        <v>32</v>
      </c>
      <c r="K47" s="181">
        <f>IF(ISBLANK(J47),"", J47*J37)</f>
        <v>101984</v>
      </c>
      <c r="L47" s="177">
        <v>11</v>
      </c>
      <c r="M47" s="181">
        <f>IF(ISBLANK(L47),"", L47*L37)</f>
        <v>17534</v>
      </c>
      <c r="N47" s="178">
        <f>SUM(C47,E47,G47,I47,K47,M47)</f>
        <v>119518</v>
      </c>
      <c r="O47" s="177"/>
      <c r="P47" s="181" t="str">
        <f>IF(ISBLANK(O47),"", O47*O37)</f>
        <v/>
      </c>
      <c r="Q47" s="182"/>
      <c r="R47" s="181" t="str">
        <f>IF(ISBLANK(Q47),"", Q47*Q37)</f>
        <v/>
      </c>
      <c r="S47" s="182"/>
      <c r="T47" s="181" t="str">
        <f>IF(ISBLANK(S47),"", S47*S37)</f>
        <v/>
      </c>
      <c r="U47" s="182">
        <v>57</v>
      </c>
      <c r="V47" s="181">
        <f>IF(ISBLANK(U47),"", U47*U37)</f>
        <v>272517</v>
      </c>
      <c r="W47" s="178">
        <f>SUM(P47,R47,T47,V47)</f>
        <v>272517</v>
      </c>
      <c r="X47" s="182">
        <v>0</v>
      </c>
      <c r="Y47" s="181">
        <f>IF(ISBLANK(X47),"", X47*X37)</f>
        <v>0</v>
      </c>
      <c r="Z47" s="182">
        <v>30</v>
      </c>
      <c r="AA47" s="181">
        <f>IF(ISBLANK(Z47),"", Z47*Z37)</f>
        <v>334650</v>
      </c>
      <c r="AB47" s="177">
        <v>15</v>
      </c>
      <c r="AC47" s="181">
        <f>IF(ISBLANK(AB47),"", AB47*AB37)</f>
        <v>83670</v>
      </c>
      <c r="AD47" s="178">
        <f>SUM(Y47,AA47,AC47)</f>
        <v>418320</v>
      </c>
      <c r="AE47" s="177"/>
      <c r="AF47" s="181" t="str">
        <f>IF(ISBLANK(AE47),"", AE47*AE37)</f>
        <v/>
      </c>
      <c r="AG47" s="182"/>
      <c r="AH47" s="181" t="str">
        <f>IF(ISBLANK(AG47),"", AG47*AG37)</f>
        <v/>
      </c>
      <c r="AI47" s="182"/>
      <c r="AJ47" s="181" t="str">
        <f>IF(ISBLANK(AI47),"", AI47*AI37)</f>
        <v/>
      </c>
      <c r="AK47" s="182"/>
      <c r="AL47" s="181" t="str">
        <f>IF(ISBLANK(AK47),"", AK47*AK37)</f>
        <v/>
      </c>
      <c r="AM47" s="177"/>
      <c r="AN47" s="181" t="str">
        <f>IF(ISBLANK(AM47),"", AM47*AM37)</f>
        <v/>
      </c>
      <c r="AO47" s="178">
        <f>SUM(AF47,AH47,AJ47,AL47,AN47)</f>
        <v>0</v>
      </c>
      <c r="AP47" s="182"/>
      <c r="AQ47" s="181" t="str">
        <f>IF(ISBLANK(AP47),"", AP47*AP37)</f>
        <v/>
      </c>
      <c r="AR47" s="182"/>
      <c r="AS47" s="181" t="str">
        <f>IF(ISBLANK(AR47),"", AR47*AR37)</f>
        <v/>
      </c>
      <c r="AT47" s="177"/>
      <c r="AU47" s="181" t="str">
        <f>IF(ISBLANK(AT47),"", AT47*AT37)</f>
        <v/>
      </c>
      <c r="AV47" s="178">
        <f>SUM(AQ47,AS47,AU47)</f>
        <v>0</v>
      </c>
      <c r="AW47" s="182"/>
      <c r="AX47" s="181" t="str">
        <f>IF(ISBLANK(AW47),"", AW47*AW37)</f>
        <v/>
      </c>
      <c r="AY47" s="182">
        <v>229</v>
      </c>
      <c r="AZ47" s="181">
        <f>IF(ISBLANK(AY47),"", AY47*AY37)</f>
        <v>4196654</v>
      </c>
      <c r="BA47" s="178">
        <f>SUM(AX47,AZ47)</f>
        <v>4196654</v>
      </c>
      <c r="BB47" s="179">
        <f>SUM(N47,W47,AD47,AO47,AV47,BA47)</f>
        <v>5007009</v>
      </c>
      <c r="BC47" s="180">
        <f>BB47/BB57</f>
        <v>6.2520511579440968E-2</v>
      </c>
    </row>
    <row r="48" spans="1:55" x14ac:dyDescent="0.25">
      <c r="A48" s="122" t="s">
        <v>67</v>
      </c>
      <c r="B48" s="177"/>
      <c r="C48" s="181" t="str">
        <f>IF(ISBLANK(B48),"", B48*B37)</f>
        <v/>
      </c>
      <c r="D48" s="177"/>
      <c r="E48" s="181" t="str">
        <f>IF(ISBLANK(D48),"", D48*D37)</f>
        <v/>
      </c>
      <c r="F48" s="182"/>
      <c r="G48" s="181" t="str">
        <f>IF(ISBLANK(F48),"", F48*F37)</f>
        <v/>
      </c>
      <c r="H48" s="182">
        <v>305</v>
      </c>
      <c r="I48" s="181">
        <f>IF(ISBLANK(H48),"", H48*H37)</f>
        <v>1944070</v>
      </c>
      <c r="J48" s="182">
        <v>132</v>
      </c>
      <c r="K48" s="181">
        <f>IF(ISBLANK(J48),"", J48*J37)</f>
        <v>420684</v>
      </c>
      <c r="L48" s="177">
        <v>0</v>
      </c>
      <c r="M48" s="181">
        <f>IF(ISBLANK(L48),"", L48*L37)</f>
        <v>0</v>
      </c>
      <c r="N48" s="178">
        <f>SUM(C48,E48,G48,I48,K48,M48)</f>
        <v>2364754</v>
      </c>
      <c r="O48" s="177"/>
      <c r="P48" s="181" t="str">
        <f>IF(ISBLANK(O48),"", O48*O37)</f>
        <v/>
      </c>
      <c r="Q48" s="182"/>
      <c r="R48" s="181" t="str">
        <f>IF(ISBLANK(Q48),"", Q48*Q37)</f>
        <v/>
      </c>
      <c r="S48" s="182"/>
      <c r="T48" s="181" t="str">
        <f>IF(ISBLANK(S48),"", S48*S37)</f>
        <v/>
      </c>
      <c r="U48" s="182">
        <v>107</v>
      </c>
      <c r="V48" s="181">
        <f>IF(ISBLANK(U48),"", U48*U37)</f>
        <v>511567</v>
      </c>
      <c r="W48" s="178">
        <f>SUM(P48,R48,T48,V48)</f>
        <v>511567</v>
      </c>
      <c r="X48" s="182"/>
      <c r="Y48" s="181" t="str">
        <f>IF(ISBLANK(X48),"", X48*X37)</f>
        <v/>
      </c>
      <c r="Z48" s="182"/>
      <c r="AA48" s="181" t="str">
        <f>IF(ISBLANK(Z48),"", Z48*Z37)</f>
        <v/>
      </c>
      <c r="AB48" s="177"/>
      <c r="AC48" s="181" t="str">
        <f>IF(ISBLANK(AB48),"", AB48*AB37)</f>
        <v/>
      </c>
      <c r="AD48" s="178">
        <f>SUM(Y48,AA48,AC48)</f>
        <v>0</v>
      </c>
      <c r="AE48" s="177"/>
      <c r="AF48" s="181" t="str">
        <f>IF(ISBLANK(AE48),"", AE48*AE37)</f>
        <v/>
      </c>
      <c r="AG48" s="182"/>
      <c r="AH48" s="181" t="str">
        <f>IF(ISBLANK(AG48),"", AG48*AG37)</f>
        <v/>
      </c>
      <c r="AI48" s="182">
        <v>0</v>
      </c>
      <c r="AJ48" s="181">
        <f>IF(ISBLANK(AI48),"", AI48*AI37)</f>
        <v>0</v>
      </c>
      <c r="AK48" s="182"/>
      <c r="AL48" s="181" t="str">
        <f>IF(ISBLANK(AK48),"", AK48*AK37)</f>
        <v/>
      </c>
      <c r="AM48" s="177">
        <v>0</v>
      </c>
      <c r="AN48" s="181">
        <f>IF(ISBLANK(AM48),"", AM48*AM37)</f>
        <v>0</v>
      </c>
      <c r="AO48" s="178">
        <f>SUM(AF48,AH48,AJ48,AL48,AN48)</f>
        <v>0</v>
      </c>
      <c r="AP48" s="182"/>
      <c r="AQ48" s="181" t="str">
        <f>IF(ISBLANK(AP48),"", AP48*AP37)</f>
        <v/>
      </c>
      <c r="AR48" s="182"/>
      <c r="AS48" s="181" t="str">
        <f>IF(ISBLANK(AR48),"", AR48*AR37)</f>
        <v/>
      </c>
      <c r="AT48" s="177"/>
      <c r="AU48" s="181" t="str">
        <f>IF(ISBLANK(AT48),"", AT48*AT37)</f>
        <v/>
      </c>
      <c r="AV48" s="178">
        <f>SUM(AQ48,AS48,AU48)</f>
        <v>0</v>
      </c>
      <c r="AW48" s="182"/>
      <c r="AX48" s="181" t="str">
        <f>IF(ISBLANK(AW48),"", AW48*AW37)</f>
        <v/>
      </c>
      <c r="AY48" s="182">
        <v>44</v>
      </c>
      <c r="AZ48" s="181">
        <f>IF(ISBLANK(AY48),"", AY48*AY37)</f>
        <v>806344</v>
      </c>
      <c r="BA48" s="178">
        <f>SUM(AX48,AZ48)</f>
        <v>806344</v>
      </c>
      <c r="BB48" s="179">
        <f>SUM(N48,W48,AD48,AO48,AV48,BA48)</f>
        <v>3682665</v>
      </c>
      <c r="BC48" s="180">
        <f>BB48/BB57</f>
        <v>4.5983959640516318E-2</v>
      </c>
    </row>
    <row r="49" spans="1:55" ht="15.75" customHeight="1" thickBot="1" x14ac:dyDescent="0.3">
      <c r="A49" s="122" t="s">
        <v>68</v>
      </c>
      <c r="B49" s="177"/>
      <c r="C49" s="181" t="str">
        <f>IF(ISBLANK(B49),"", B49*B37)</f>
        <v/>
      </c>
      <c r="D49" s="177"/>
      <c r="E49" s="181" t="str">
        <f>IF(ISBLANK(D49),"", D49*D37)</f>
        <v/>
      </c>
      <c r="F49" s="182"/>
      <c r="G49" s="181" t="str">
        <f>IF(ISBLANK(F49),"", F49*F37)</f>
        <v/>
      </c>
      <c r="H49" s="182">
        <v>173</v>
      </c>
      <c r="I49" s="181">
        <f>IF(ISBLANK(H49),"", H49*H37)</f>
        <v>1102702</v>
      </c>
      <c r="J49" s="182">
        <v>0</v>
      </c>
      <c r="K49" s="181">
        <f>IF(ISBLANK(J49),"", J49*J37)</f>
        <v>0</v>
      </c>
      <c r="L49" s="177">
        <v>0</v>
      </c>
      <c r="M49" s="181">
        <f>IF(ISBLANK(L49),"", L49*L37)</f>
        <v>0</v>
      </c>
      <c r="N49" s="178">
        <f>SUM(C49,E49,G49,I49,K49,M49)</f>
        <v>1102702</v>
      </c>
      <c r="O49" s="177"/>
      <c r="P49" s="181" t="str">
        <f>IF(ISBLANK(O49),"", O49*O37)</f>
        <v/>
      </c>
      <c r="Q49" s="182"/>
      <c r="R49" s="181" t="str">
        <f>IF(ISBLANK(Q49),"", Q49*Q37)</f>
        <v/>
      </c>
      <c r="S49" s="182"/>
      <c r="T49" s="181" t="str">
        <f>IF(ISBLANK(S49),"", S49*S37)</f>
        <v/>
      </c>
      <c r="U49" s="182">
        <v>143</v>
      </c>
      <c r="V49" s="181">
        <f>IF(ISBLANK(U49),"", U49*U37)</f>
        <v>683683</v>
      </c>
      <c r="W49" s="178">
        <f>SUM(P49,R49,T49,V49)</f>
        <v>683683</v>
      </c>
      <c r="X49" s="182"/>
      <c r="Y49" s="181" t="str">
        <f>IF(ISBLANK(X49),"", X49*X37)</f>
        <v/>
      </c>
      <c r="Z49" s="182"/>
      <c r="AA49" s="181" t="str">
        <f>IF(ISBLANK(Z49),"", Z49*Z37)</f>
        <v/>
      </c>
      <c r="AB49" s="177"/>
      <c r="AC49" s="181" t="str">
        <f>IF(ISBLANK(AB49),"", AB49*AB37)</f>
        <v/>
      </c>
      <c r="AD49" s="178">
        <f>SUM(Y49,AA49,AC49)</f>
        <v>0</v>
      </c>
      <c r="AE49" s="177"/>
      <c r="AF49" s="181" t="str">
        <f>IF(ISBLANK(AE49),"", AE49*AE37)</f>
        <v/>
      </c>
      <c r="AG49" s="182"/>
      <c r="AH49" s="181" t="str">
        <f>IF(ISBLANK(AG49),"", AG49*AG37)</f>
        <v/>
      </c>
      <c r="AI49" s="182">
        <v>0</v>
      </c>
      <c r="AJ49" s="181">
        <f>IF(ISBLANK(AI49),"", AI49*AI37)</f>
        <v>0</v>
      </c>
      <c r="AK49" s="182"/>
      <c r="AL49" s="181" t="str">
        <f>IF(ISBLANK(AK49),"", AK49*AK37)</f>
        <v/>
      </c>
      <c r="AM49" s="177">
        <v>0</v>
      </c>
      <c r="AN49" s="181">
        <f>IF(ISBLANK(AM49),"", AM49*AM37)</f>
        <v>0</v>
      </c>
      <c r="AO49" s="178">
        <f>SUM(AF49,AH49,AJ49,AL49,AN49)</f>
        <v>0</v>
      </c>
      <c r="AP49" s="182"/>
      <c r="AQ49" s="181" t="str">
        <f>IF(ISBLANK(AP49),"", AP49*AP37)</f>
        <v/>
      </c>
      <c r="AR49" s="182"/>
      <c r="AS49" s="181" t="str">
        <f>IF(ISBLANK(AR49),"", AR49*AR37)</f>
        <v/>
      </c>
      <c r="AT49" s="177"/>
      <c r="AU49" s="181" t="str">
        <f>IF(ISBLANK(AT49),"", AT49*AT37)</f>
        <v/>
      </c>
      <c r="AV49" s="178">
        <f>SUM(AQ49,AS49,AU49)</f>
        <v>0</v>
      </c>
      <c r="AW49" s="182"/>
      <c r="AX49" s="181" t="str">
        <f>IF(ISBLANK(AW49),"", AW49*AW37)</f>
        <v/>
      </c>
      <c r="AY49" s="182">
        <v>42</v>
      </c>
      <c r="AZ49" s="181">
        <f>IF(ISBLANK(AY49),"", AY49*AY37)</f>
        <v>769692</v>
      </c>
      <c r="BA49" s="178">
        <f>SUM(AX49,AZ49)</f>
        <v>769692</v>
      </c>
      <c r="BB49" s="183">
        <f>SUM(N49,W49,AD49,AO49,AV49,BA49)</f>
        <v>2556077</v>
      </c>
      <c r="BC49" s="184">
        <f>BB49/BB57</f>
        <v>3.1916707494722446E-2</v>
      </c>
    </row>
    <row r="50" spans="1:55" ht="15.75" customHeight="1" thickTop="1" x14ac:dyDescent="0.25">
      <c r="A50" s="185" t="s">
        <v>127</v>
      </c>
      <c r="B50" s="186" t="str">
        <f t="shared" ref="B50:M50" si="32">IF(COUNT(B47:B49) = 0, "", SUM(B47:B49))</f>
        <v/>
      </c>
      <c r="C50" s="187" t="str">
        <f t="shared" si="32"/>
        <v/>
      </c>
      <c r="D50" s="186" t="str">
        <f t="shared" si="32"/>
        <v/>
      </c>
      <c r="E50" s="187" t="str">
        <f t="shared" si="32"/>
        <v/>
      </c>
      <c r="F50" s="188" t="str">
        <f t="shared" si="32"/>
        <v/>
      </c>
      <c r="G50" s="187" t="str">
        <f t="shared" si="32"/>
        <v/>
      </c>
      <c r="H50" s="188">
        <f t="shared" si="32"/>
        <v>478</v>
      </c>
      <c r="I50" s="187">
        <f t="shared" si="32"/>
        <v>3046772</v>
      </c>
      <c r="J50" s="188">
        <f t="shared" si="32"/>
        <v>164</v>
      </c>
      <c r="K50" s="187">
        <f t="shared" si="32"/>
        <v>522668</v>
      </c>
      <c r="L50" s="186">
        <f t="shared" si="32"/>
        <v>11</v>
      </c>
      <c r="M50" s="187">
        <f t="shared" si="32"/>
        <v>17534</v>
      </c>
      <c r="N50" s="189">
        <f>SUM(N47:N49)</f>
        <v>3586974</v>
      </c>
      <c r="O50" s="186" t="str">
        <f t="shared" ref="O50:V50" si="33">IF(COUNT(O47:O49) = 0, "", SUM(O47:O49))</f>
        <v/>
      </c>
      <c r="P50" s="187" t="str">
        <f t="shared" si="33"/>
        <v/>
      </c>
      <c r="Q50" s="188" t="str">
        <f t="shared" si="33"/>
        <v/>
      </c>
      <c r="R50" s="187" t="str">
        <f t="shared" si="33"/>
        <v/>
      </c>
      <c r="S50" s="188" t="str">
        <f t="shared" si="33"/>
        <v/>
      </c>
      <c r="T50" s="187" t="str">
        <f t="shared" si="33"/>
        <v/>
      </c>
      <c r="U50" s="188">
        <f t="shared" si="33"/>
        <v>307</v>
      </c>
      <c r="V50" s="187">
        <f t="shared" si="33"/>
        <v>1467767</v>
      </c>
      <c r="W50" s="189">
        <f>SUM(W47:W49)</f>
        <v>1467767</v>
      </c>
      <c r="X50" s="188">
        <f t="shared" ref="X50:AC50" si="34">IF(COUNT(X47:X49) = 0, "", SUM(X47:X49))</f>
        <v>0</v>
      </c>
      <c r="Y50" s="187">
        <f t="shared" si="34"/>
        <v>0</v>
      </c>
      <c r="Z50" s="188">
        <f t="shared" si="34"/>
        <v>30</v>
      </c>
      <c r="AA50" s="187">
        <f t="shared" si="34"/>
        <v>334650</v>
      </c>
      <c r="AB50" s="186">
        <f t="shared" si="34"/>
        <v>15</v>
      </c>
      <c r="AC50" s="187">
        <f t="shared" si="34"/>
        <v>83670</v>
      </c>
      <c r="AD50" s="189">
        <f>SUM(AD47:AD49)</f>
        <v>418320</v>
      </c>
      <c r="AE50" s="186" t="str">
        <f t="shared" ref="AE50:AN50" si="35">IF(COUNT(AE47:AE49) = 0, "", SUM(AE47:AE49))</f>
        <v/>
      </c>
      <c r="AF50" s="187" t="str">
        <f t="shared" si="35"/>
        <v/>
      </c>
      <c r="AG50" s="188" t="str">
        <f t="shared" si="35"/>
        <v/>
      </c>
      <c r="AH50" s="187" t="str">
        <f t="shared" si="35"/>
        <v/>
      </c>
      <c r="AI50" s="188">
        <f t="shared" si="35"/>
        <v>0</v>
      </c>
      <c r="AJ50" s="187">
        <f t="shared" si="35"/>
        <v>0</v>
      </c>
      <c r="AK50" s="188" t="str">
        <f t="shared" si="35"/>
        <v/>
      </c>
      <c r="AL50" s="187" t="str">
        <f t="shared" si="35"/>
        <v/>
      </c>
      <c r="AM50" s="186">
        <f t="shared" si="35"/>
        <v>0</v>
      </c>
      <c r="AN50" s="187">
        <f t="shared" si="35"/>
        <v>0</v>
      </c>
      <c r="AO50" s="189">
        <f>SUM(AO47:AO49)</f>
        <v>0</v>
      </c>
      <c r="AP50" s="188" t="str">
        <f t="shared" ref="AP50:AU50" si="36">IF(COUNT(AP47:AP49) = 0, "", SUM(AP47:AP49))</f>
        <v/>
      </c>
      <c r="AQ50" s="187" t="str">
        <f t="shared" si="36"/>
        <v/>
      </c>
      <c r="AR50" s="188" t="str">
        <f t="shared" si="36"/>
        <v/>
      </c>
      <c r="AS50" s="187" t="str">
        <f t="shared" si="36"/>
        <v/>
      </c>
      <c r="AT50" s="186" t="str">
        <f t="shared" si="36"/>
        <v/>
      </c>
      <c r="AU50" s="187" t="str">
        <f t="shared" si="36"/>
        <v/>
      </c>
      <c r="AV50" s="189">
        <f>SUM(AV47:AV49)</f>
        <v>0</v>
      </c>
      <c r="AW50" s="188" t="str">
        <f>IF(COUNT(AW47:AW49) = 0, "", SUM(AW47:AW49))</f>
        <v/>
      </c>
      <c r="AX50" s="187" t="str">
        <f>IF(COUNT(AX47:AX49) = 0, "", SUM(AX47:AX49))</f>
        <v/>
      </c>
      <c r="AY50" s="188">
        <f>IF(COUNT(AY47:AY49) = 0, "", SUM(AY47:AY49))</f>
        <v>315</v>
      </c>
      <c r="AZ50" s="187">
        <f>IF(COUNT(AZ47:AZ49) = 0, "", SUM(AZ47:AZ49))</f>
        <v>5772690</v>
      </c>
      <c r="BA50" s="189">
        <f>SUM(BA47:BA49)</f>
        <v>5772690</v>
      </c>
      <c r="BB50" s="190">
        <f>SUM(N50,W50,AD50,AO50,AV50,BA50)</f>
        <v>11245751</v>
      </c>
      <c r="BC50" s="191">
        <f>BB50/BB57</f>
        <v>0.14042117871467974</v>
      </c>
    </row>
    <row r="51" spans="1:55" x14ac:dyDescent="0.25">
      <c r="A51" s="192"/>
      <c r="B51" s="200"/>
      <c r="C51" s="201"/>
      <c r="D51" s="202"/>
      <c r="E51" s="202"/>
      <c r="F51" s="203"/>
      <c r="G51" s="201"/>
      <c r="H51" s="203"/>
      <c r="I51" s="201"/>
      <c r="J51" s="203"/>
      <c r="K51" s="201"/>
      <c r="L51" s="200"/>
      <c r="M51" s="201"/>
      <c r="N51" s="204"/>
      <c r="O51" s="200"/>
      <c r="P51" s="201"/>
      <c r="Q51" s="202"/>
      <c r="R51" s="202"/>
      <c r="S51" s="203"/>
      <c r="T51" s="201"/>
      <c r="U51" s="203"/>
      <c r="V51" s="201"/>
      <c r="W51" s="204"/>
      <c r="X51" s="203"/>
      <c r="Y51" s="201"/>
      <c r="Z51" s="203"/>
      <c r="AA51" s="201"/>
      <c r="AB51" s="200"/>
      <c r="AC51" s="201"/>
      <c r="AD51" s="204"/>
      <c r="AE51" s="200"/>
      <c r="AF51" s="201"/>
      <c r="AG51" s="203"/>
      <c r="AH51" s="201"/>
      <c r="AI51" s="203"/>
      <c r="AJ51" s="201"/>
      <c r="AK51" s="203"/>
      <c r="AL51" s="201"/>
      <c r="AM51" s="200"/>
      <c r="AN51" s="201"/>
      <c r="AO51" s="204"/>
      <c r="AP51" s="203"/>
      <c r="AQ51" s="201"/>
      <c r="AR51" s="203"/>
      <c r="AS51" s="201"/>
      <c r="AT51" s="200"/>
      <c r="AU51" s="201"/>
      <c r="AV51" s="204"/>
      <c r="AW51" s="203"/>
      <c r="AX51" s="201"/>
      <c r="AY51" s="203"/>
      <c r="AZ51" s="201"/>
      <c r="BA51" s="204"/>
      <c r="BB51" s="198"/>
      <c r="BC51" s="199"/>
    </row>
    <row r="52" spans="1:55" x14ac:dyDescent="0.25">
      <c r="A52" s="122" t="s">
        <v>72</v>
      </c>
      <c r="B52" s="177"/>
      <c r="C52" s="181" t="str">
        <f>IF(ISBLANK(B52),"", B52*B37)</f>
        <v/>
      </c>
      <c r="D52" s="177"/>
      <c r="E52" s="181" t="str">
        <f>IF(ISBLANK(D52),"", D52*D37)</f>
        <v/>
      </c>
      <c r="F52" s="182"/>
      <c r="G52" s="181" t="str">
        <f>IF(ISBLANK(F52),"", F52*F37)</f>
        <v/>
      </c>
      <c r="H52" s="182">
        <v>487</v>
      </c>
      <c r="I52" s="181">
        <f>IF(ISBLANK(H52),"", H52*H37)</f>
        <v>3104138</v>
      </c>
      <c r="J52" s="182">
        <v>115</v>
      </c>
      <c r="K52" s="181">
        <f>IF(ISBLANK(J52),"", J52*J37)</f>
        <v>366505</v>
      </c>
      <c r="L52" s="177">
        <v>10</v>
      </c>
      <c r="M52" s="181">
        <f>IF(ISBLANK(L52),"", L52*L37)</f>
        <v>15940</v>
      </c>
      <c r="N52" s="178">
        <f>SUM(C52,E52,G52,I52,K52,M52)</f>
        <v>3486583</v>
      </c>
      <c r="O52" s="177"/>
      <c r="P52" s="181" t="str">
        <f>IF(ISBLANK(O52),"", O52*O37)</f>
        <v/>
      </c>
      <c r="Q52" s="182"/>
      <c r="R52" s="181" t="str">
        <f>IF(ISBLANK(Q52),"", Q52*Q37)</f>
        <v/>
      </c>
      <c r="S52" s="182"/>
      <c r="T52" s="181" t="str">
        <f>IF(ISBLANK(S52),"", S52*S37)</f>
        <v/>
      </c>
      <c r="U52" s="182">
        <v>220</v>
      </c>
      <c r="V52" s="181">
        <f>IF(ISBLANK(U52),"", U52*U37)</f>
        <v>1051820</v>
      </c>
      <c r="W52" s="178">
        <f>SUM(P52,R52,T52,V52)</f>
        <v>1051820</v>
      </c>
      <c r="X52" s="182">
        <v>79</v>
      </c>
      <c r="Y52" s="181">
        <f>IF(ISBLANK(X52),"", X52*X37)</f>
        <v>1258944</v>
      </c>
      <c r="Z52" s="182">
        <v>0</v>
      </c>
      <c r="AA52" s="181">
        <f>IF(ISBLANK(Z52),"", Z52*Z37)</f>
        <v>0</v>
      </c>
      <c r="AB52" s="177">
        <v>0</v>
      </c>
      <c r="AC52" s="181">
        <f>IF(ISBLANK(AB52),"", AB52*AB37)</f>
        <v>0</v>
      </c>
      <c r="AD52" s="178">
        <f>SUM(Y52,AA52,AC52)</f>
        <v>1258944</v>
      </c>
      <c r="AE52" s="177"/>
      <c r="AF52" s="181" t="str">
        <f>IF(ISBLANK(AE52),"", AE52*AE37)</f>
        <v/>
      </c>
      <c r="AG52" s="182"/>
      <c r="AH52" s="181" t="str">
        <f>IF(ISBLANK(AG52),"", AG52*AG37)</f>
        <v/>
      </c>
      <c r="AI52" s="182"/>
      <c r="AJ52" s="181" t="str">
        <f>IF(ISBLANK(AI52),"", AI52*AI37)</f>
        <v/>
      </c>
      <c r="AK52" s="182"/>
      <c r="AL52" s="181" t="str">
        <f>IF(ISBLANK(AK52),"", AK52*AK37)</f>
        <v/>
      </c>
      <c r="AM52" s="177"/>
      <c r="AN52" s="181" t="str">
        <f>IF(ISBLANK(AM52),"", AM52*AM37)</f>
        <v/>
      </c>
      <c r="AO52" s="178">
        <f>SUM(AF52,AH52,AJ52,AL52,AN52)</f>
        <v>0</v>
      </c>
      <c r="AP52" s="182"/>
      <c r="AQ52" s="181" t="str">
        <f>IF(ISBLANK(AP52),"", AP52*AP37)</f>
        <v/>
      </c>
      <c r="AR52" s="182"/>
      <c r="AS52" s="181" t="str">
        <f>IF(ISBLANK(AR52),"", AR52*AR37)</f>
        <v/>
      </c>
      <c r="AT52" s="177"/>
      <c r="AU52" s="181" t="str">
        <f>IF(ISBLANK(AT52),"", AT52*AT37)</f>
        <v/>
      </c>
      <c r="AV52" s="178">
        <f>SUM(AQ52,AS52,AU52)</f>
        <v>0</v>
      </c>
      <c r="AW52" s="182"/>
      <c r="AX52" s="181" t="str">
        <f>IF(ISBLANK(AW52),"", AW52*AW37)</f>
        <v/>
      </c>
      <c r="AY52" s="182">
        <v>315</v>
      </c>
      <c r="AZ52" s="181">
        <f>IF(ISBLANK(AY52),"", AY52*AY37)</f>
        <v>5772690</v>
      </c>
      <c r="BA52" s="178">
        <f>SUM(AX52,AZ52)</f>
        <v>5772690</v>
      </c>
      <c r="BB52" s="179">
        <f t="shared" ref="BB52:BB57" si="37">SUM(N52,W52,AD52,AO52,AV52,BA52)</f>
        <v>11570037</v>
      </c>
      <c r="BC52" s="180">
        <f>BB52/BB57</f>
        <v>0.14447040782891751</v>
      </c>
    </row>
    <row r="53" spans="1:55" x14ac:dyDescent="0.25">
      <c r="A53" s="122" t="s">
        <v>73</v>
      </c>
      <c r="B53" s="177"/>
      <c r="C53" s="181" t="str">
        <f>IF(ISBLANK(B53),"", B53*B37)</f>
        <v/>
      </c>
      <c r="D53" s="177"/>
      <c r="E53" s="181" t="str">
        <f>IF(ISBLANK(D53),"", D53*D37)</f>
        <v/>
      </c>
      <c r="F53" s="182"/>
      <c r="G53" s="181" t="str">
        <f>IF(ISBLANK(F53),"", F53*F37)</f>
        <v/>
      </c>
      <c r="H53" s="182">
        <v>174</v>
      </c>
      <c r="I53" s="181">
        <f>IF(ISBLANK(H53),"", H53*H37)</f>
        <v>1109076</v>
      </c>
      <c r="J53" s="182">
        <v>31</v>
      </c>
      <c r="K53" s="181">
        <f>IF(ISBLANK(J53),"", J53*J37)</f>
        <v>98797</v>
      </c>
      <c r="L53" s="177">
        <v>3</v>
      </c>
      <c r="M53" s="181">
        <f>IF(ISBLANK(L53),"", L53*L37)</f>
        <v>4782</v>
      </c>
      <c r="N53" s="178">
        <f>SUM(C53,E53,G53,I53,K53,M53)</f>
        <v>1212655</v>
      </c>
      <c r="O53" s="177"/>
      <c r="P53" s="181" t="str">
        <f>IF(ISBLANK(O53),"", O53*O37)</f>
        <v/>
      </c>
      <c r="Q53" s="182"/>
      <c r="R53" s="181" t="str">
        <f>IF(ISBLANK(Q53),"", Q53*Q37)</f>
        <v/>
      </c>
      <c r="S53" s="182"/>
      <c r="T53" s="181" t="str">
        <f>IF(ISBLANK(S53),"", S53*S37)</f>
        <v/>
      </c>
      <c r="U53" s="182">
        <v>97</v>
      </c>
      <c r="V53" s="181">
        <f>IF(ISBLANK(U53),"", U53*U37)</f>
        <v>463757</v>
      </c>
      <c r="W53" s="178">
        <f>SUM(P53,R53,T53,V53)</f>
        <v>463757</v>
      </c>
      <c r="X53" s="182"/>
      <c r="Y53" s="181" t="str">
        <f>IF(ISBLANK(X53),"", X53*X37)</f>
        <v/>
      </c>
      <c r="Z53" s="182"/>
      <c r="AA53" s="181" t="str">
        <f>IF(ISBLANK(Z53),"", Z53*Z37)</f>
        <v/>
      </c>
      <c r="AB53" s="177"/>
      <c r="AC53" s="181" t="str">
        <f>IF(ISBLANK(AB53),"", AB53*AB37)</f>
        <v/>
      </c>
      <c r="AD53" s="178">
        <f>SUM(Y53,AA53,AC53)</f>
        <v>0</v>
      </c>
      <c r="AE53" s="177"/>
      <c r="AF53" s="181" t="str">
        <f>IF(ISBLANK(AE53),"", AE53*AE37)</f>
        <v/>
      </c>
      <c r="AG53" s="182"/>
      <c r="AH53" s="181" t="str">
        <f>IF(ISBLANK(AG53),"", AG53*AG37)</f>
        <v/>
      </c>
      <c r="AI53" s="182">
        <v>376</v>
      </c>
      <c r="AJ53" s="181">
        <f>IF(ISBLANK(AI53),"", AI53*AI37)</f>
        <v>239512</v>
      </c>
      <c r="AK53" s="182"/>
      <c r="AL53" s="181" t="str">
        <f>IF(ISBLANK(AK53),"", AK53*AK37)</f>
        <v/>
      </c>
      <c r="AM53" s="177">
        <v>306</v>
      </c>
      <c r="AN53" s="181">
        <f>IF(ISBLANK(AM53),"", AM53*AM37)</f>
        <v>365670</v>
      </c>
      <c r="AO53" s="178">
        <f>SUM(AF53,AH53,AJ53,AL53,AN53)</f>
        <v>605182</v>
      </c>
      <c r="AP53" s="182"/>
      <c r="AQ53" s="181" t="str">
        <f>IF(ISBLANK(AP53),"", AP53*AP37)</f>
        <v/>
      </c>
      <c r="AR53" s="182"/>
      <c r="AS53" s="181" t="str">
        <f>IF(ISBLANK(AR53),"", AR53*AR37)</f>
        <v/>
      </c>
      <c r="AT53" s="177"/>
      <c r="AU53" s="181" t="str">
        <f>IF(ISBLANK(AT53),"", AT53*AT37)</f>
        <v/>
      </c>
      <c r="AV53" s="178">
        <f>SUM(AQ53,AS53,AU53)</f>
        <v>0</v>
      </c>
      <c r="AW53" s="182"/>
      <c r="AX53" s="181" t="str">
        <f>IF(ISBLANK(AW53),"", AW53*AW37)</f>
        <v/>
      </c>
      <c r="AY53" s="182">
        <v>6</v>
      </c>
      <c r="AZ53" s="181">
        <f>IF(ISBLANK(AY53),"", AY53*AY37)</f>
        <v>109956</v>
      </c>
      <c r="BA53" s="178">
        <f>SUM(AX53,AZ53)</f>
        <v>109956</v>
      </c>
      <c r="BB53" s="179">
        <f t="shared" si="37"/>
        <v>2391550</v>
      </c>
      <c r="BC53" s="180">
        <f>BB53/BB57</f>
        <v>2.9862324886536465E-2</v>
      </c>
    </row>
    <row r="54" spans="1:55" x14ac:dyDescent="0.25">
      <c r="A54" s="122" t="s">
        <v>74</v>
      </c>
      <c r="B54" s="177"/>
      <c r="C54" s="181" t="str">
        <f>IF(ISBLANK(B54),"", B54*B37)</f>
        <v/>
      </c>
      <c r="D54" s="177"/>
      <c r="E54" s="181" t="str">
        <f>IF(ISBLANK(D54),"", D54*D37)</f>
        <v/>
      </c>
      <c r="F54" s="182"/>
      <c r="G54" s="181" t="str">
        <f>IF(ISBLANK(F54),"", F54*F37)</f>
        <v/>
      </c>
      <c r="H54" s="182">
        <v>132</v>
      </c>
      <c r="I54" s="181">
        <f>IF(ISBLANK(H54),"", H54*H37)</f>
        <v>841368</v>
      </c>
      <c r="J54" s="182">
        <v>50</v>
      </c>
      <c r="K54" s="181">
        <f>IF(ISBLANK(J54),"", J54*J37)</f>
        <v>159350</v>
      </c>
      <c r="L54" s="177">
        <v>4</v>
      </c>
      <c r="M54" s="181">
        <f>IF(ISBLANK(L54),"", L54*L37)</f>
        <v>6376</v>
      </c>
      <c r="N54" s="178">
        <f>SUM(C54,E54,G54,I54,K54,M54)</f>
        <v>1007094</v>
      </c>
      <c r="O54" s="177"/>
      <c r="P54" s="181" t="str">
        <f>IF(ISBLANK(O54),"", O54*O37)</f>
        <v/>
      </c>
      <c r="Q54" s="182"/>
      <c r="R54" s="181" t="str">
        <f>IF(ISBLANK(Q54),"", Q54*Q37)</f>
        <v/>
      </c>
      <c r="S54" s="182"/>
      <c r="T54" s="181" t="str">
        <f>IF(ISBLANK(S54),"", S54*S37)</f>
        <v/>
      </c>
      <c r="U54" s="182">
        <v>27</v>
      </c>
      <c r="V54" s="181">
        <f>IF(ISBLANK(U54),"", U54*U37)</f>
        <v>129087</v>
      </c>
      <c r="W54" s="178">
        <f>SUM(P54,R54,T54,V54)</f>
        <v>129087</v>
      </c>
      <c r="X54" s="182"/>
      <c r="Y54" s="181" t="str">
        <f>IF(ISBLANK(X54),"", X54*X37)</f>
        <v/>
      </c>
      <c r="Z54" s="182"/>
      <c r="AA54" s="181" t="str">
        <f>IF(ISBLANK(Z54),"", Z54*Z37)</f>
        <v/>
      </c>
      <c r="AB54" s="177"/>
      <c r="AC54" s="181" t="str">
        <f>IF(ISBLANK(AB54),"", AB54*AB37)</f>
        <v/>
      </c>
      <c r="AD54" s="178">
        <f>SUM(Y54,AA54,AC54)</f>
        <v>0</v>
      </c>
      <c r="AE54" s="177"/>
      <c r="AF54" s="181" t="str">
        <f>IF(ISBLANK(AE54),"", AE54*AE37)</f>
        <v/>
      </c>
      <c r="AG54" s="182"/>
      <c r="AH54" s="181" t="str">
        <f>IF(ISBLANK(AG54),"", AG54*AG37)</f>
        <v/>
      </c>
      <c r="AI54" s="182">
        <v>0</v>
      </c>
      <c r="AJ54" s="181">
        <f>IF(ISBLANK(AI54),"", AI54*AI37)</f>
        <v>0</v>
      </c>
      <c r="AK54" s="182"/>
      <c r="AL54" s="181" t="str">
        <f>IF(ISBLANK(AK54),"", AK54*AK37)</f>
        <v/>
      </c>
      <c r="AM54" s="177">
        <v>0</v>
      </c>
      <c r="AN54" s="181">
        <f>IF(ISBLANK(AM54),"", AM54*AM37)</f>
        <v>0</v>
      </c>
      <c r="AO54" s="178">
        <f>SUM(AF54,AH54,AJ54,AL54,AN54)</f>
        <v>0</v>
      </c>
      <c r="AP54" s="182"/>
      <c r="AQ54" s="181" t="str">
        <f>IF(ISBLANK(AP54),"", AP54*AP37)</f>
        <v/>
      </c>
      <c r="AR54" s="182"/>
      <c r="AS54" s="181" t="str">
        <f>IF(ISBLANK(AR54),"", AR54*AR37)</f>
        <v/>
      </c>
      <c r="AT54" s="177"/>
      <c r="AU54" s="181" t="str">
        <f>IF(ISBLANK(AT54),"", AT54*AT37)</f>
        <v/>
      </c>
      <c r="AV54" s="178">
        <f>SUM(AQ54,AS54,AU54)</f>
        <v>0</v>
      </c>
      <c r="AW54" s="182"/>
      <c r="AX54" s="181" t="str">
        <f>IF(ISBLANK(AW54),"", AW54*AW37)</f>
        <v/>
      </c>
      <c r="AY54" s="182">
        <v>63</v>
      </c>
      <c r="AZ54" s="181">
        <f>IF(ISBLANK(AY54),"", AY54*AY37)</f>
        <v>1154538</v>
      </c>
      <c r="BA54" s="178">
        <f>SUM(AX54,AZ54)</f>
        <v>1154538</v>
      </c>
      <c r="BB54" s="179">
        <f t="shared" si="37"/>
        <v>2290719</v>
      </c>
      <c r="BC54" s="180">
        <f>BB54/BB57</f>
        <v>2.8603288662901433E-2</v>
      </c>
    </row>
    <row r="55" spans="1:55" x14ac:dyDescent="0.25">
      <c r="A55" s="122" t="s">
        <v>75</v>
      </c>
      <c r="B55" s="177">
        <v>0</v>
      </c>
      <c r="C55" s="181">
        <f>IF(ISBLANK(B55),"", B55*B37)</f>
        <v>0</v>
      </c>
      <c r="D55" s="177">
        <v>410</v>
      </c>
      <c r="E55" s="181">
        <f>IF(ISBLANK(D55),"", D55*D37)</f>
        <v>653540</v>
      </c>
      <c r="F55" s="182">
        <v>358</v>
      </c>
      <c r="G55" s="181">
        <f>IF(ISBLANK(F55),"", F55*F37)</f>
        <v>1140946</v>
      </c>
      <c r="H55" s="182">
        <v>30</v>
      </c>
      <c r="I55" s="181">
        <f>IF(ISBLANK(H55),"", H55*H37)</f>
        <v>191220</v>
      </c>
      <c r="J55" s="182"/>
      <c r="K55" s="181" t="str">
        <f>IF(ISBLANK(J55),"", J55*J37)</f>
        <v/>
      </c>
      <c r="L55" s="177"/>
      <c r="M55" s="181" t="str">
        <f>IF(ISBLANK(L55),"", L55*L37)</f>
        <v/>
      </c>
      <c r="N55" s="178">
        <f>SUM(C55,E55,G55,I55,K55,M55)</f>
        <v>1985706</v>
      </c>
      <c r="O55" s="177">
        <v>0</v>
      </c>
      <c r="P55" s="181">
        <f>IF(ISBLANK(O55),"", O55*O37)</f>
        <v>0</v>
      </c>
      <c r="Q55" s="182">
        <v>189</v>
      </c>
      <c r="R55" s="181">
        <f>IF(ISBLANK(Q55),"", Q55*Q37)</f>
        <v>225855</v>
      </c>
      <c r="S55" s="182">
        <v>143</v>
      </c>
      <c r="T55" s="181">
        <f>IF(ISBLANK(S55),"", S55*S37)</f>
        <v>341770</v>
      </c>
      <c r="U55" s="182">
        <v>0</v>
      </c>
      <c r="V55" s="181">
        <f>IF(ISBLANK(U55),"", U55*U37)</f>
        <v>0</v>
      </c>
      <c r="W55" s="178">
        <f>SUM(P55,R55,T55,V55)</f>
        <v>567625</v>
      </c>
      <c r="X55" s="182"/>
      <c r="Y55" s="181" t="str">
        <f>IF(ISBLANK(X55),"", X55*X37)</f>
        <v/>
      </c>
      <c r="Z55" s="182"/>
      <c r="AA55" s="181" t="str">
        <f>IF(ISBLANK(Z55),"", Z55*Z37)</f>
        <v/>
      </c>
      <c r="AB55" s="177"/>
      <c r="AC55" s="181" t="str">
        <f>IF(ISBLANK(AB55),"", AB55*AB37)</f>
        <v/>
      </c>
      <c r="AD55" s="178">
        <f>SUM(Y55,AA55,AC55)</f>
        <v>0</v>
      </c>
      <c r="AE55" s="177">
        <v>0</v>
      </c>
      <c r="AF55" s="181">
        <f>IF(ISBLANK(AE55),"", AE55*AE37)</f>
        <v>0</v>
      </c>
      <c r="AG55" s="182">
        <v>0</v>
      </c>
      <c r="AH55" s="181">
        <f>IF(ISBLANK(AG55),"", AG55*AG37)</f>
        <v>0</v>
      </c>
      <c r="AI55" s="182"/>
      <c r="AJ55" s="181" t="str">
        <f>IF(ISBLANK(AI55),"", AI55*AI37)</f>
        <v/>
      </c>
      <c r="AK55" s="182">
        <v>0</v>
      </c>
      <c r="AL55" s="181">
        <f>IF(ISBLANK(AK55),"", AK55*AK37)</f>
        <v>0</v>
      </c>
      <c r="AM55" s="177"/>
      <c r="AN55" s="181" t="str">
        <f>IF(ISBLANK(AM55),"", AM55*AM37)</f>
        <v/>
      </c>
      <c r="AO55" s="178">
        <f>SUM(AF55,AH55,AJ55,AL55,AN55)</f>
        <v>0</v>
      </c>
      <c r="AP55" s="182">
        <v>20</v>
      </c>
      <c r="AQ55" s="181">
        <f>IF(ISBLANK(AP55),"", AP55*AP37)</f>
        <v>20720</v>
      </c>
      <c r="AR55" s="182">
        <v>11</v>
      </c>
      <c r="AS55" s="181">
        <f>IF(ISBLANK(AR55),"", AR55*AR37)</f>
        <v>11396</v>
      </c>
      <c r="AT55" s="177">
        <v>21</v>
      </c>
      <c r="AU55" s="181">
        <f>IF(ISBLANK(AT55),"", AT55*AT37)</f>
        <v>41832</v>
      </c>
      <c r="AV55" s="178">
        <f>SUM(AQ55,AS55,AU55)</f>
        <v>73948</v>
      </c>
      <c r="AW55" s="182">
        <v>34</v>
      </c>
      <c r="AX55" s="181">
        <f>IF(ISBLANK(AW55),"", AW55*AW37)</f>
        <v>298010</v>
      </c>
      <c r="AY55" s="182">
        <v>9</v>
      </c>
      <c r="AZ55" s="181">
        <f>IF(ISBLANK(AY55),"", AY55*AY37)</f>
        <v>164934</v>
      </c>
      <c r="BA55" s="178">
        <f>SUM(AX55,AZ55)</f>
        <v>462944</v>
      </c>
      <c r="BB55" s="179">
        <f t="shared" si="37"/>
        <v>3090223</v>
      </c>
      <c r="BC55" s="180">
        <f>BB55/BB57</f>
        <v>3.8586374191569218E-2</v>
      </c>
    </row>
    <row r="56" spans="1:55" ht="15.75" customHeight="1" thickBot="1" x14ac:dyDescent="0.3">
      <c r="A56" s="132" t="s">
        <v>76</v>
      </c>
      <c r="B56" s="177">
        <v>1150</v>
      </c>
      <c r="C56" s="181">
        <f>IF(ISBLANK(B56),"", B56*B37)</f>
        <v>1374250</v>
      </c>
      <c r="D56" s="177">
        <v>3387</v>
      </c>
      <c r="E56" s="181">
        <f>IF(ISBLANK(D56),"", D56*D37)</f>
        <v>5398878</v>
      </c>
      <c r="F56" s="182">
        <v>1729</v>
      </c>
      <c r="G56" s="181">
        <f>IF(ISBLANK(F56),"", F56*F37)</f>
        <v>5510323</v>
      </c>
      <c r="H56" s="182"/>
      <c r="I56" s="181" t="str">
        <f>IF(ISBLANK(H56),"", H56*H37)</f>
        <v/>
      </c>
      <c r="J56" s="182"/>
      <c r="K56" s="181" t="str">
        <f>IF(ISBLANK(J56),"", J56*J37)</f>
        <v/>
      </c>
      <c r="L56" s="177"/>
      <c r="M56" s="181" t="str">
        <f>IF(ISBLANK(L56),"", L56*L37)</f>
        <v/>
      </c>
      <c r="N56" s="178">
        <f>SUM(C56,E56,G56,I56,K56,M56)</f>
        <v>12283451</v>
      </c>
      <c r="O56" s="177">
        <v>716</v>
      </c>
      <c r="P56" s="181">
        <f>IF(ISBLANK(O56),"", O56*O37)</f>
        <v>641536</v>
      </c>
      <c r="Q56" s="182">
        <v>1946</v>
      </c>
      <c r="R56" s="181">
        <f>IF(ISBLANK(Q56),"", Q56*Q37)</f>
        <v>2325470</v>
      </c>
      <c r="S56" s="182">
        <v>1491</v>
      </c>
      <c r="T56" s="181">
        <f>IF(ISBLANK(S56),"", S56*S37)</f>
        <v>3563490</v>
      </c>
      <c r="U56" s="182"/>
      <c r="V56" s="181" t="str">
        <f>IF(ISBLANK(U56),"", U56*U37)</f>
        <v/>
      </c>
      <c r="W56" s="178">
        <f>SUM(P56,R56,T56,V56)</f>
        <v>6530496</v>
      </c>
      <c r="X56" s="182"/>
      <c r="Y56" s="181" t="str">
        <f>IF(ISBLANK(X56),"", X56*X37)</f>
        <v/>
      </c>
      <c r="Z56" s="182"/>
      <c r="AA56" s="181" t="str">
        <f>IF(ISBLANK(Z56),"", Z56*Z37)</f>
        <v/>
      </c>
      <c r="AB56" s="177"/>
      <c r="AC56" s="181" t="str">
        <f>IF(ISBLANK(AB56),"", AB56*AB37)</f>
        <v/>
      </c>
      <c r="AD56" s="178">
        <f>SUM(Y56,AA56,AC56)</f>
        <v>0</v>
      </c>
      <c r="AE56" s="177">
        <v>0</v>
      </c>
      <c r="AF56" s="181">
        <f>IF(ISBLANK(AE56),"", AE56*AE37)</f>
        <v>0</v>
      </c>
      <c r="AG56" s="182">
        <v>0</v>
      </c>
      <c r="AH56" s="181">
        <f>IF(ISBLANK(AG56),"", AG56*AG37)</f>
        <v>0</v>
      </c>
      <c r="AI56" s="182"/>
      <c r="AJ56" s="181" t="str">
        <f>IF(ISBLANK(AI56),"", AI56*AI37)</f>
        <v/>
      </c>
      <c r="AK56" s="182">
        <v>0</v>
      </c>
      <c r="AL56" s="181">
        <f>IF(ISBLANK(AK56),"", AK56*AK37)</f>
        <v>0</v>
      </c>
      <c r="AM56" s="177"/>
      <c r="AN56" s="181" t="str">
        <f>IF(ISBLANK(AM56),"", AM56*AM37)</f>
        <v/>
      </c>
      <c r="AO56" s="178">
        <f>SUM(AF56,AH56,AJ56,AL56,AN56)</f>
        <v>0</v>
      </c>
      <c r="AP56" s="182">
        <v>163</v>
      </c>
      <c r="AQ56" s="181">
        <f>IF(ISBLANK(AP56),"", AP56*AP37)</f>
        <v>168868</v>
      </c>
      <c r="AR56" s="182">
        <v>48</v>
      </c>
      <c r="AS56" s="181">
        <f>IF(ISBLANK(AR56),"", AR56*AR37)</f>
        <v>49728</v>
      </c>
      <c r="AT56" s="177">
        <v>279</v>
      </c>
      <c r="AU56" s="181">
        <f>IF(ISBLANK(AT56),"", AT56*AT37)</f>
        <v>555768</v>
      </c>
      <c r="AV56" s="178">
        <f>SUM(AQ56,AS56,AU56)</f>
        <v>774364</v>
      </c>
      <c r="AW56" s="182">
        <v>127</v>
      </c>
      <c r="AX56" s="181">
        <f>IF(ISBLANK(AW56),"", AW56*AW37)</f>
        <v>1113155</v>
      </c>
      <c r="AY56" s="182"/>
      <c r="AZ56" s="181" t="str">
        <f>IF(ISBLANK(AY56),"", AY56*AY37)</f>
        <v/>
      </c>
      <c r="BA56" s="178">
        <f>SUM(AX56,AZ56)</f>
        <v>1113155</v>
      </c>
      <c r="BB56" s="183">
        <f t="shared" si="37"/>
        <v>20701466</v>
      </c>
      <c r="BC56" s="180">
        <f>BB56/BB57</f>
        <v>0.25849089641428719</v>
      </c>
    </row>
    <row r="57" spans="1:55" x14ac:dyDescent="0.25">
      <c r="A57" s="205" t="s">
        <v>47</v>
      </c>
      <c r="B57" s="206">
        <f t="shared" ref="B57:AG57" si="38">SUM(B45,B50,B52:B56)</f>
        <v>1150</v>
      </c>
      <c r="C57" s="207">
        <f t="shared" si="38"/>
        <v>1374250</v>
      </c>
      <c r="D57" s="208">
        <f t="shared" si="38"/>
        <v>3797</v>
      </c>
      <c r="E57" s="207">
        <f t="shared" si="38"/>
        <v>6052418</v>
      </c>
      <c r="F57" s="209">
        <f t="shared" si="38"/>
        <v>2087</v>
      </c>
      <c r="G57" s="207">
        <f t="shared" si="38"/>
        <v>6651269</v>
      </c>
      <c r="H57" s="209">
        <f t="shared" si="38"/>
        <v>2596</v>
      </c>
      <c r="I57" s="207">
        <f t="shared" si="38"/>
        <v>16546904</v>
      </c>
      <c r="J57" s="209">
        <f t="shared" si="38"/>
        <v>379</v>
      </c>
      <c r="K57" s="207">
        <f t="shared" si="38"/>
        <v>1207873</v>
      </c>
      <c r="L57" s="209">
        <f t="shared" si="38"/>
        <v>43</v>
      </c>
      <c r="M57" s="207">
        <f t="shared" si="38"/>
        <v>68542</v>
      </c>
      <c r="N57" s="210">
        <f t="shared" si="38"/>
        <v>31901256</v>
      </c>
      <c r="O57" s="206">
        <f t="shared" si="38"/>
        <v>716</v>
      </c>
      <c r="P57" s="207">
        <f t="shared" si="38"/>
        <v>641536</v>
      </c>
      <c r="Q57" s="209">
        <f t="shared" si="38"/>
        <v>2135</v>
      </c>
      <c r="R57" s="207">
        <f t="shared" si="38"/>
        <v>2551325</v>
      </c>
      <c r="S57" s="209">
        <f t="shared" si="38"/>
        <v>1634</v>
      </c>
      <c r="T57" s="207">
        <f t="shared" si="38"/>
        <v>3905260</v>
      </c>
      <c r="U57" s="209">
        <f t="shared" si="38"/>
        <v>1798</v>
      </c>
      <c r="V57" s="207">
        <f t="shared" si="38"/>
        <v>8596238</v>
      </c>
      <c r="W57" s="210">
        <f t="shared" si="38"/>
        <v>15694359</v>
      </c>
      <c r="X57" s="209">
        <f t="shared" si="38"/>
        <v>392</v>
      </c>
      <c r="Y57" s="207">
        <f t="shared" si="38"/>
        <v>6246912</v>
      </c>
      <c r="Z57" s="209">
        <f t="shared" si="38"/>
        <v>30</v>
      </c>
      <c r="AA57" s="207">
        <f t="shared" si="38"/>
        <v>334650</v>
      </c>
      <c r="AB57" s="209">
        <f t="shared" si="38"/>
        <v>21</v>
      </c>
      <c r="AC57" s="207">
        <f t="shared" si="38"/>
        <v>117138</v>
      </c>
      <c r="AD57" s="210">
        <f t="shared" si="38"/>
        <v>6698700</v>
      </c>
      <c r="AE57" s="206">
        <f t="shared" si="38"/>
        <v>0</v>
      </c>
      <c r="AF57" s="207">
        <f t="shared" si="38"/>
        <v>0</v>
      </c>
      <c r="AG57" s="209">
        <f t="shared" si="38"/>
        <v>0</v>
      </c>
      <c r="AH57" s="207">
        <f t="shared" ref="AH57:BA57" si="39">SUM(AH45,AH50,AH52:AH56)</f>
        <v>0</v>
      </c>
      <c r="AI57" s="209">
        <f t="shared" si="39"/>
        <v>626</v>
      </c>
      <c r="AJ57" s="207">
        <f t="shared" si="39"/>
        <v>398762</v>
      </c>
      <c r="AK57" s="209">
        <f t="shared" si="39"/>
        <v>0</v>
      </c>
      <c r="AL57" s="207">
        <f t="shared" si="39"/>
        <v>0</v>
      </c>
      <c r="AM57" s="209">
        <f t="shared" si="39"/>
        <v>465</v>
      </c>
      <c r="AN57" s="207">
        <f t="shared" si="39"/>
        <v>555675</v>
      </c>
      <c r="AO57" s="210">
        <f t="shared" si="39"/>
        <v>954437</v>
      </c>
      <c r="AP57" s="209">
        <f t="shared" si="39"/>
        <v>183</v>
      </c>
      <c r="AQ57" s="207">
        <f t="shared" si="39"/>
        <v>189588</v>
      </c>
      <c r="AR57" s="209">
        <f t="shared" si="39"/>
        <v>59</v>
      </c>
      <c r="AS57" s="207">
        <f t="shared" si="39"/>
        <v>61124</v>
      </c>
      <c r="AT57" s="209">
        <f t="shared" si="39"/>
        <v>300</v>
      </c>
      <c r="AU57" s="207">
        <f t="shared" si="39"/>
        <v>597600</v>
      </c>
      <c r="AV57" s="210">
        <f t="shared" si="39"/>
        <v>848312</v>
      </c>
      <c r="AW57" s="209">
        <f t="shared" si="39"/>
        <v>161</v>
      </c>
      <c r="AX57" s="207">
        <f t="shared" si="39"/>
        <v>1411165</v>
      </c>
      <c r="AY57" s="209">
        <f t="shared" si="39"/>
        <v>1232</v>
      </c>
      <c r="AZ57" s="207">
        <f t="shared" si="39"/>
        <v>22577632</v>
      </c>
      <c r="BA57" s="210">
        <f t="shared" si="39"/>
        <v>23988797</v>
      </c>
      <c r="BB57" s="211">
        <f t="shared" si="37"/>
        <v>80085861</v>
      </c>
      <c r="BC57" s="212"/>
    </row>
    <row r="58" spans="1:55" ht="30.75" customHeight="1" thickBot="1" x14ac:dyDescent="0.3">
      <c r="A58" s="213" t="s">
        <v>124</v>
      </c>
      <c r="B58" s="513">
        <f>C57/BB57</f>
        <v>1.7159708128754461E-2</v>
      </c>
      <c r="C58" s="506"/>
      <c r="D58" s="506">
        <f>E57/BB57</f>
        <v>7.557411413732569E-2</v>
      </c>
      <c r="E58" s="506"/>
      <c r="F58" s="506">
        <f>G57/BB57</f>
        <v>8.3051726196712805E-2</v>
      </c>
      <c r="G58" s="506"/>
      <c r="H58" s="506">
        <f>I57/BB57</f>
        <v>0.20661454835329796</v>
      </c>
      <c r="I58" s="506"/>
      <c r="J58" s="506">
        <f>K57/BB57</f>
        <v>1.508222531315484E-2</v>
      </c>
      <c r="K58" s="506"/>
      <c r="L58" s="506">
        <f>M57/BB57</f>
        <v>8.5585644137608759E-4</v>
      </c>
      <c r="M58" s="506"/>
      <c r="N58" s="214">
        <f>N57/BB57</f>
        <v>0.39833817857062187</v>
      </c>
      <c r="O58" s="513">
        <f>P57/BB57</f>
        <v>8.0106025207121144E-3</v>
      </c>
      <c r="P58" s="506"/>
      <c r="Q58" s="506">
        <f>R57/BB57</f>
        <v>3.1857371178165894E-2</v>
      </c>
      <c r="R58" s="506"/>
      <c r="S58" s="506">
        <f>T57/BB57</f>
        <v>4.8763414056321376E-2</v>
      </c>
      <c r="T58" s="506"/>
      <c r="U58" s="506">
        <f>V57/BB57</f>
        <v>0.10733777339298381</v>
      </c>
      <c r="V58" s="506"/>
      <c r="W58" s="214">
        <f>W57/BB57</f>
        <v>0.19596916114818319</v>
      </c>
      <c r="X58" s="506">
        <f>Y57/BB57</f>
        <v>7.8002682645816848E-2</v>
      </c>
      <c r="Y58" s="506"/>
      <c r="Z58" s="506">
        <f>AA57/BB57</f>
        <v>4.1786402221485764E-3</v>
      </c>
      <c r="AA58" s="506"/>
      <c r="AB58" s="506">
        <f>AC57/BB57</f>
        <v>1.4626551870373223E-3</v>
      </c>
      <c r="AC58" s="506"/>
      <c r="AD58" s="214">
        <f>AD57/BB57</f>
        <v>8.3643978055002746E-2</v>
      </c>
      <c r="AE58" s="513">
        <f>AF57/BB57</f>
        <v>0</v>
      </c>
      <c r="AF58" s="506"/>
      <c r="AG58" s="506">
        <f>AH57/BB57</f>
        <v>0</v>
      </c>
      <c r="AH58" s="506"/>
      <c r="AI58" s="506">
        <f>AJ57/BB57</f>
        <v>4.979181031717946E-3</v>
      </c>
      <c r="AJ58" s="506"/>
      <c r="AK58" s="506">
        <f>AL57/BB57</f>
        <v>0</v>
      </c>
      <c r="AL58" s="506"/>
      <c r="AM58" s="506">
        <f>AN57/BB57</f>
        <v>6.9384906781485437E-3</v>
      </c>
      <c r="AN58" s="506"/>
      <c r="AO58" s="214">
        <f>AO57/BB57</f>
        <v>1.191767170986649E-2</v>
      </c>
      <c r="AP58" s="506">
        <f>AQ57/BB57</f>
        <v>2.3673092557499006E-3</v>
      </c>
      <c r="AQ58" s="506"/>
      <c r="AR58" s="506">
        <f>AS57/BB57</f>
        <v>7.6323085294668935E-4</v>
      </c>
      <c r="AS58" s="506"/>
      <c r="AT58" s="506">
        <f>AU57/BB57</f>
        <v>7.4619913245360502E-3</v>
      </c>
      <c r="AU58" s="506"/>
      <c r="AV58" s="214">
        <f>AV57/BB57</f>
        <v>1.059253143323264E-2</v>
      </c>
      <c r="AW58" s="506">
        <f>AX57/BB57</f>
        <v>1.7620650916146108E-2</v>
      </c>
      <c r="AX58" s="506"/>
      <c r="AY58" s="506">
        <f>AZ57/BB57</f>
        <v>0.28191782816694699</v>
      </c>
      <c r="AZ58" s="506"/>
      <c r="BA58" s="214">
        <f>BA57/BB57</f>
        <v>0.29953847908309306</v>
      </c>
      <c r="BB58" s="215"/>
      <c r="BC58" s="216"/>
    </row>
  </sheetData>
  <mergeCells count="180">
    <mergeCell ref="N8:N9"/>
    <mergeCell ref="B6:N6"/>
    <mergeCell ref="B7:N7"/>
    <mergeCell ref="A6:A9"/>
    <mergeCell ref="O6:W6"/>
    <mergeCell ref="O7:W7"/>
    <mergeCell ref="O8:P8"/>
    <mergeCell ref="S8:T8"/>
    <mergeCell ref="U8:V8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O30:P30"/>
    <mergeCell ref="S30:T30"/>
    <mergeCell ref="U30:V30"/>
    <mergeCell ref="W8:W9"/>
    <mergeCell ref="O9:P9"/>
    <mergeCell ref="S9:T9"/>
    <mergeCell ref="U9:V9"/>
    <mergeCell ref="X6:AD6"/>
    <mergeCell ref="X7:AD7"/>
    <mergeCell ref="X8:Y8"/>
    <mergeCell ref="Z8:AA8"/>
    <mergeCell ref="AB8:AC8"/>
    <mergeCell ref="AD8:AD9"/>
    <mergeCell ref="X9:Y9"/>
    <mergeCell ref="Z9:AA9"/>
    <mergeCell ref="AB9:AC9"/>
    <mergeCell ref="Q8:R8"/>
    <mergeCell ref="Q9:R9"/>
    <mergeCell ref="Q30:R30"/>
    <mergeCell ref="AM9:AN9"/>
    <mergeCell ref="X30:Y30"/>
    <mergeCell ref="Z30:AA30"/>
    <mergeCell ref="AB30:AC30"/>
    <mergeCell ref="AE30:AF30"/>
    <mergeCell ref="AG30:AH30"/>
    <mergeCell ref="AI30:AJ30"/>
    <mergeCell ref="AK30:AL30"/>
    <mergeCell ref="AM30:AN30"/>
    <mergeCell ref="AP30:AQ30"/>
    <mergeCell ref="AR30:AS30"/>
    <mergeCell ref="AT30:AU30"/>
    <mergeCell ref="AE6:AO6"/>
    <mergeCell ref="AE7:AO7"/>
    <mergeCell ref="AE8:AF8"/>
    <mergeCell ref="AG8:AH8"/>
    <mergeCell ref="AI8:AJ8"/>
    <mergeCell ref="AK8:AL8"/>
    <mergeCell ref="AM8:AN8"/>
    <mergeCell ref="AO8:AO9"/>
    <mergeCell ref="AE9:AF9"/>
    <mergeCell ref="AP6:AV6"/>
    <mergeCell ref="AP7:AV7"/>
    <mergeCell ref="AP8:AQ8"/>
    <mergeCell ref="AR8:AS8"/>
    <mergeCell ref="AT8:AU8"/>
    <mergeCell ref="AV8:AV9"/>
    <mergeCell ref="AP9:AQ9"/>
    <mergeCell ref="AR9:AS9"/>
    <mergeCell ref="AT9:AU9"/>
    <mergeCell ref="AG9:AH9"/>
    <mergeCell ref="AI9:AJ9"/>
    <mergeCell ref="AK9:AL9"/>
    <mergeCell ref="BA36:BA37"/>
    <mergeCell ref="BB6:BB9"/>
    <mergeCell ref="BC6:BC9"/>
    <mergeCell ref="AW30:AX30"/>
    <mergeCell ref="AY30:AZ30"/>
    <mergeCell ref="AW6:BA6"/>
    <mergeCell ref="AW7:BA7"/>
    <mergeCell ref="AW8:AX8"/>
    <mergeCell ref="AY8:AZ8"/>
    <mergeCell ref="BA8:BA9"/>
    <mergeCell ref="AW9:AX9"/>
    <mergeCell ref="AY9:AZ9"/>
    <mergeCell ref="AD36:AD37"/>
    <mergeCell ref="S58:T58"/>
    <mergeCell ref="U58:V58"/>
    <mergeCell ref="X58:Y58"/>
    <mergeCell ref="Z58:AA58"/>
    <mergeCell ref="AB58:AC58"/>
    <mergeCell ref="S36:T36"/>
    <mergeCell ref="U36:V36"/>
    <mergeCell ref="W36:W37"/>
    <mergeCell ref="X36:Y36"/>
    <mergeCell ref="Z36:AA36"/>
    <mergeCell ref="AB36:AC36"/>
    <mergeCell ref="AP37:AQ37"/>
    <mergeCell ref="AR37:AS37"/>
    <mergeCell ref="AT37:AU37"/>
    <mergeCell ref="AE36:AF36"/>
    <mergeCell ref="AG36:AH36"/>
    <mergeCell ref="AI36:AJ36"/>
    <mergeCell ref="AK36:AL36"/>
    <mergeCell ref="AM36:AN36"/>
    <mergeCell ref="AO36:AO37"/>
    <mergeCell ref="AP36:AQ36"/>
    <mergeCell ref="A34:A37"/>
    <mergeCell ref="B34:N34"/>
    <mergeCell ref="O34:W34"/>
    <mergeCell ref="X34:AD34"/>
    <mergeCell ref="AE34:AO34"/>
    <mergeCell ref="AP34:AV34"/>
    <mergeCell ref="AW34:BA34"/>
    <mergeCell ref="BB34:BB37"/>
    <mergeCell ref="S37:T37"/>
    <mergeCell ref="U37:V37"/>
    <mergeCell ref="X37:Y37"/>
    <mergeCell ref="Z37:AA37"/>
    <mergeCell ref="AY36:AZ36"/>
    <mergeCell ref="AY37:AZ37"/>
    <mergeCell ref="O36:P36"/>
    <mergeCell ref="AR36:AS36"/>
    <mergeCell ref="AT36:AU36"/>
    <mergeCell ref="AV36:AV37"/>
    <mergeCell ref="AW36:AX36"/>
    <mergeCell ref="AW37:AX37"/>
    <mergeCell ref="AB37:AC37"/>
    <mergeCell ref="AE37:AF37"/>
    <mergeCell ref="AG37:AH37"/>
    <mergeCell ref="AI37:AJ37"/>
    <mergeCell ref="Q36:R36"/>
    <mergeCell ref="D37:E37"/>
    <mergeCell ref="Q37:R37"/>
    <mergeCell ref="D58:E58"/>
    <mergeCell ref="Q58:R58"/>
    <mergeCell ref="BC34:BC37"/>
    <mergeCell ref="O35:W35"/>
    <mergeCell ref="X35:AD35"/>
    <mergeCell ref="AE35:AO35"/>
    <mergeCell ref="AP35:AV35"/>
    <mergeCell ref="AW35:BA35"/>
    <mergeCell ref="L37:M37"/>
    <mergeCell ref="AP58:AQ58"/>
    <mergeCell ref="AR58:AS58"/>
    <mergeCell ref="AT58:AU58"/>
    <mergeCell ref="AW58:AX58"/>
    <mergeCell ref="AY58:AZ58"/>
    <mergeCell ref="AE58:AF58"/>
    <mergeCell ref="AG58:AH58"/>
    <mergeCell ref="AI58:AJ58"/>
    <mergeCell ref="AK58:AL58"/>
    <mergeCell ref="AM58:AN58"/>
    <mergeCell ref="AK37:AL37"/>
    <mergeCell ref="AM37:AN37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23" max="59" man="1"/>
    <brk id="41" max="59" man="1"/>
    <brk id="23" max="16384" man="1"/>
    <brk id="41" max="16384" man="1"/>
  </colBreaks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3.85546875" style="1" hidden="1" customWidth="1"/>
    <col min="3" max="3" width="15.7109375" style="1" customWidth="1"/>
    <col min="4" max="4" width="12.7109375" style="1" customWidth="1"/>
    <col min="5" max="5" width="15.7109375" style="1" customWidth="1"/>
    <col min="6" max="8" width="12.7109375" style="1" customWidth="1"/>
    <col min="9" max="9" width="15.7109375" style="1" customWidth="1"/>
    <col min="10" max="11" width="12.7109375" style="1" customWidth="1"/>
    <col min="12" max="14" width="15.7109375" style="1" customWidth="1"/>
    <col min="15" max="15" width="9.140625" style="1" customWidth="1"/>
    <col min="16" max="16" width="1.5703125" style="1" customWidth="1"/>
    <col min="17" max="19" width="12.7109375" style="1" customWidth="1"/>
    <col min="20" max="20" width="15.7109375" style="1" customWidth="1"/>
    <col min="21" max="22" width="12.7109375" style="1" customWidth="1"/>
    <col min="23" max="25" width="15.7109375" style="1" customWidth="1"/>
  </cols>
  <sheetData>
    <row r="1" spans="1:26" ht="15.75" customHeight="1" x14ac:dyDescent="0.25">
      <c r="A1" s="13" t="s">
        <v>128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x14ac:dyDescent="0.25">
      <c r="A4" s="15" t="s">
        <v>129</v>
      </c>
    </row>
    <row r="5" spans="1:26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5.75" customHeight="1" thickBot="1" x14ac:dyDescent="0.3">
      <c r="A6" s="426"/>
      <c r="B6" s="217"/>
      <c r="C6" s="420" t="s">
        <v>130</v>
      </c>
      <c r="D6" s="577" t="s">
        <v>131</v>
      </c>
      <c r="E6" s="578"/>
      <c r="F6" s="570" t="s">
        <v>3</v>
      </c>
      <c r="G6" s="428"/>
      <c r="H6" s="428"/>
      <c r="I6" s="428"/>
      <c r="J6" s="428"/>
      <c r="K6" s="428"/>
      <c r="L6" s="428"/>
      <c r="M6" s="428"/>
      <c r="N6" s="428"/>
      <c r="O6" s="429"/>
      <c r="P6" s="16"/>
      <c r="Q6" s="570" t="s">
        <v>4</v>
      </c>
      <c r="R6" s="428"/>
      <c r="S6" s="428"/>
      <c r="T6" s="428"/>
      <c r="U6" s="428"/>
      <c r="V6" s="428"/>
      <c r="W6" s="428"/>
      <c r="X6" s="428"/>
      <c r="Y6" s="428"/>
      <c r="Z6" s="429"/>
    </row>
    <row r="7" spans="1:26" ht="15" customHeight="1" x14ac:dyDescent="0.25">
      <c r="A7" s="562"/>
      <c r="C7" s="425"/>
      <c r="D7" s="579"/>
      <c r="E7" s="580"/>
      <c r="F7" s="573" t="s">
        <v>132</v>
      </c>
      <c r="G7" s="574"/>
      <c r="H7" s="574"/>
      <c r="I7" s="574"/>
      <c r="J7" s="575"/>
      <c r="K7" s="563" t="s">
        <v>133</v>
      </c>
      <c r="L7" s="564"/>
      <c r="M7" s="583" t="s">
        <v>134</v>
      </c>
      <c r="N7" s="589" t="s">
        <v>135</v>
      </c>
      <c r="O7" s="586" t="s">
        <v>136</v>
      </c>
      <c r="P7" s="20"/>
      <c r="Q7" s="573" t="s">
        <v>132</v>
      </c>
      <c r="R7" s="574"/>
      <c r="S7" s="574"/>
      <c r="T7" s="574"/>
      <c r="U7" s="575"/>
      <c r="V7" s="563" t="s">
        <v>133</v>
      </c>
      <c r="W7" s="564"/>
      <c r="X7" s="583" t="s">
        <v>134</v>
      </c>
      <c r="Y7" s="589" t="s">
        <v>137</v>
      </c>
      <c r="Z7" s="586" t="s">
        <v>138</v>
      </c>
    </row>
    <row r="8" spans="1:26" ht="24" customHeight="1" x14ac:dyDescent="0.25">
      <c r="A8" s="562"/>
      <c r="C8" s="425"/>
      <c r="D8" s="581" t="s">
        <v>139</v>
      </c>
      <c r="E8" s="571" t="s">
        <v>140</v>
      </c>
      <c r="F8" s="219" t="s">
        <v>141</v>
      </c>
      <c r="G8" s="565" t="s">
        <v>142</v>
      </c>
      <c r="H8" s="576" t="s">
        <v>143</v>
      </c>
      <c r="I8" s="565" t="s">
        <v>144</v>
      </c>
      <c r="J8" s="571" t="s">
        <v>145</v>
      </c>
      <c r="K8" s="220" t="s">
        <v>146</v>
      </c>
      <c r="L8" s="568" t="s">
        <v>147</v>
      </c>
      <c r="M8" s="584"/>
      <c r="N8" s="590"/>
      <c r="O8" s="587"/>
      <c r="P8" s="20"/>
      <c r="Q8" s="219" t="s">
        <v>141</v>
      </c>
      <c r="R8" s="565" t="s">
        <v>142</v>
      </c>
      <c r="S8" s="576" t="s">
        <v>143</v>
      </c>
      <c r="T8" s="565" t="s">
        <v>144</v>
      </c>
      <c r="U8" s="571" t="s">
        <v>145</v>
      </c>
      <c r="V8" s="220" t="s">
        <v>146</v>
      </c>
      <c r="W8" s="568" t="s">
        <v>147</v>
      </c>
      <c r="X8" s="584"/>
      <c r="Y8" s="590"/>
      <c r="Z8" s="587"/>
    </row>
    <row r="9" spans="1:26" ht="24" customHeight="1" thickBot="1" x14ac:dyDescent="0.3">
      <c r="A9" s="427"/>
      <c r="C9" s="425"/>
      <c r="D9" s="582"/>
      <c r="E9" s="572"/>
      <c r="F9" s="221">
        <v>5.0974999999999999E-2</v>
      </c>
      <c r="G9" s="566"/>
      <c r="H9" s="567"/>
      <c r="I9" s="567"/>
      <c r="J9" s="572"/>
      <c r="K9" s="222">
        <v>1.4999999999999999E-2</v>
      </c>
      <c r="L9" s="569"/>
      <c r="M9" s="585"/>
      <c r="N9" s="591"/>
      <c r="O9" s="588"/>
      <c r="P9" s="20"/>
      <c r="Q9" s="221">
        <v>4.0349999999999997E-2</v>
      </c>
      <c r="R9" s="566"/>
      <c r="S9" s="567"/>
      <c r="T9" s="567"/>
      <c r="U9" s="572"/>
      <c r="V9" s="222">
        <v>2.6363999999999999E-2</v>
      </c>
      <c r="W9" s="569"/>
      <c r="X9" s="585"/>
      <c r="Y9" s="591"/>
      <c r="Z9" s="588"/>
    </row>
    <row r="10" spans="1:26" ht="16.5" customHeight="1" x14ac:dyDescent="0.25">
      <c r="A10" s="223" t="s">
        <v>50</v>
      </c>
      <c r="B10" s="223">
        <v>1</v>
      </c>
      <c r="C10" s="224">
        <v>195914559</v>
      </c>
      <c r="D10" s="67">
        <v>0</v>
      </c>
      <c r="E10" s="225">
        <f t="shared" ref="E10:E18" si="0">IF($B10 = 1, C10-D10, "")</f>
        <v>195914559</v>
      </c>
      <c r="F10" s="67">
        <f t="shared" ref="F10:F18" si="1">IF($B10 = 1, ROUND(F$9*$E10, 0), "")</f>
        <v>9986745</v>
      </c>
      <c r="G10" s="150">
        <f t="shared" ref="G10:G18" si="2">IF($B10 = 1, H10-F10, "")</f>
        <v>3018299</v>
      </c>
      <c r="H10" s="65">
        <v>13005044</v>
      </c>
      <c r="I10" s="150">
        <f t="shared" ref="I10:I18" si="3">IF($B10 = 1, $E10+G10, "")</f>
        <v>198932858</v>
      </c>
      <c r="J10" s="128">
        <f t="shared" ref="J10:J18" si="4">IF($B10 = 1, H10/I10, "")</f>
        <v>6.5374036902440716E-2</v>
      </c>
      <c r="K10" s="67" t="str">
        <f t="shared" ref="K10:K18" si="5">IF($B10 = 2, ROUND(K$9*$C10, 0), "")</f>
        <v/>
      </c>
      <c r="L10" s="226" t="str">
        <f t="shared" ref="L10:L18" si="6">IF($B10 = 2, $C10+K10, "")</f>
        <v/>
      </c>
      <c r="M10" s="67">
        <v>0</v>
      </c>
      <c r="N10" s="65">
        <f t="shared" ref="N10:N18" si="7">IF($B10 = 1, I10+$D10, IF($B10 = 2, L10, 0))+M10</f>
        <v>198932858</v>
      </c>
      <c r="O10" s="151">
        <f t="shared" ref="O10:O18" si="8">IF($C10 &gt; 0, (N10-$C10)/$C10, "")</f>
        <v>1.5406200618301164E-2</v>
      </c>
      <c r="P10" s="20"/>
      <c r="Q10" s="67">
        <f t="shared" ref="Q10:Q18" si="9">IF($B10 = 1, ROUND(Q$9*$E10, 0), "")</f>
        <v>7905152</v>
      </c>
      <c r="R10" s="150">
        <f t="shared" ref="R10:R18" si="10">IF($B10 = 1, S10-Q10, "")</f>
        <v>5245822</v>
      </c>
      <c r="S10" s="65">
        <v>13150974</v>
      </c>
      <c r="T10" s="150">
        <f t="shared" ref="T10:T18" si="11">IF($B10 = 1, $E10+R10, "")</f>
        <v>201160381</v>
      </c>
      <c r="U10" s="128">
        <f t="shared" ref="U10:U18" si="12">IF($B10 = 1, S10/T10, "")</f>
        <v>6.5375567169958779E-2</v>
      </c>
      <c r="V10" s="67" t="str">
        <f t="shared" ref="V10:V18" si="13">IF($B10 = 2, ROUND(V$9*$C10, 0), "")</f>
        <v/>
      </c>
      <c r="W10" s="226" t="str">
        <f t="shared" ref="W10:W18" si="14">IF($B10 = 2, $C10+V10, "")</f>
        <v/>
      </c>
      <c r="X10" s="67">
        <v>0</v>
      </c>
      <c r="Y10" s="65">
        <f t="shared" ref="Y10:Y18" si="15">IF($B10 = 1, T10+$D10, IF($B10 = 2, W10, 0))+X10</f>
        <v>201160381</v>
      </c>
      <c r="Z10" s="151">
        <f t="shared" ref="Z10:Z18" si="16">IF($C10 &gt; 0, (Y10-$C10)/$C10, "")</f>
        <v>2.6776070276635235E-2</v>
      </c>
    </row>
    <row r="11" spans="1:26" x14ac:dyDescent="0.25">
      <c r="A11" s="227" t="s">
        <v>55</v>
      </c>
      <c r="B11" s="227">
        <v>1</v>
      </c>
      <c r="C11" s="64">
        <v>10294119</v>
      </c>
      <c r="D11" s="67">
        <v>0</v>
      </c>
      <c r="E11" s="225">
        <f t="shared" si="0"/>
        <v>10294119</v>
      </c>
      <c r="F11" s="67">
        <f t="shared" si="1"/>
        <v>524743</v>
      </c>
      <c r="G11" s="150">
        <f t="shared" si="2"/>
        <v>1288732</v>
      </c>
      <c r="H11" s="65">
        <v>1813475</v>
      </c>
      <c r="I11" s="150">
        <f t="shared" si="3"/>
        <v>11582851</v>
      </c>
      <c r="J11" s="128">
        <f t="shared" si="4"/>
        <v>0.15656551223873985</v>
      </c>
      <c r="K11" s="67" t="str">
        <f t="shared" si="5"/>
        <v/>
      </c>
      <c r="L11" s="226" t="str">
        <f t="shared" si="6"/>
        <v/>
      </c>
      <c r="M11" s="67">
        <v>0</v>
      </c>
      <c r="N11" s="65">
        <f t="shared" si="7"/>
        <v>11582851</v>
      </c>
      <c r="O11" s="151">
        <f t="shared" si="8"/>
        <v>0.12519109211774218</v>
      </c>
      <c r="P11" s="20"/>
      <c r="Q11" s="67">
        <f t="shared" si="9"/>
        <v>415368</v>
      </c>
      <c r="R11" s="150">
        <f t="shared" si="10"/>
        <v>1418465</v>
      </c>
      <c r="S11" s="65">
        <v>1833833</v>
      </c>
      <c r="T11" s="150">
        <f t="shared" si="11"/>
        <v>11712584</v>
      </c>
      <c r="U11" s="128">
        <f t="shared" si="12"/>
        <v>0.15656946409092989</v>
      </c>
      <c r="V11" s="67" t="str">
        <f t="shared" si="13"/>
        <v/>
      </c>
      <c r="W11" s="226" t="str">
        <f t="shared" si="14"/>
        <v/>
      </c>
      <c r="X11" s="67">
        <v>0</v>
      </c>
      <c r="Y11" s="65">
        <f t="shared" si="15"/>
        <v>11712584</v>
      </c>
      <c r="Z11" s="151">
        <f t="shared" si="16"/>
        <v>0.13779372474711046</v>
      </c>
    </row>
    <row r="12" spans="1:26" ht="16.5" customHeight="1" x14ac:dyDescent="0.25">
      <c r="A12" s="227" t="s">
        <v>56</v>
      </c>
      <c r="B12" s="227">
        <v>1</v>
      </c>
      <c r="C12" s="64">
        <v>12652971</v>
      </c>
      <c r="D12" s="67">
        <v>0</v>
      </c>
      <c r="E12" s="225">
        <f t="shared" si="0"/>
        <v>12652971</v>
      </c>
      <c r="F12" s="67">
        <f t="shared" si="1"/>
        <v>644985</v>
      </c>
      <c r="G12" s="150">
        <f t="shared" si="2"/>
        <v>1223631</v>
      </c>
      <c r="H12" s="65">
        <v>1868616</v>
      </c>
      <c r="I12" s="150">
        <f t="shared" si="3"/>
        <v>13876602</v>
      </c>
      <c r="J12" s="128">
        <f t="shared" si="4"/>
        <v>0.13465947931633407</v>
      </c>
      <c r="K12" s="67" t="str">
        <f t="shared" si="5"/>
        <v/>
      </c>
      <c r="L12" s="226" t="str">
        <f t="shared" si="6"/>
        <v/>
      </c>
      <c r="M12" s="67">
        <v>0</v>
      </c>
      <c r="N12" s="65">
        <f t="shared" si="7"/>
        <v>13876602</v>
      </c>
      <c r="O12" s="151">
        <f t="shared" si="8"/>
        <v>9.6707010551118786E-2</v>
      </c>
      <c r="P12" s="20"/>
      <c r="Q12" s="67">
        <f t="shared" si="9"/>
        <v>510547</v>
      </c>
      <c r="R12" s="150">
        <f t="shared" si="10"/>
        <v>1379015</v>
      </c>
      <c r="S12" s="65">
        <v>1889562</v>
      </c>
      <c r="T12" s="150">
        <f t="shared" si="11"/>
        <v>14031986</v>
      </c>
      <c r="U12" s="128">
        <f t="shared" si="12"/>
        <v>0.13466105225589592</v>
      </c>
      <c r="V12" s="67" t="str">
        <f t="shared" si="13"/>
        <v/>
      </c>
      <c r="W12" s="226" t="str">
        <f t="shared" si="14"/>
        <v/>
      </c>
      <c r="X12" s="67">
        <v>0</v>
      </c>
      <c r="Y12" s="65">
        <f t="shared" si="15"/>
        <v>14031986</v>
      </c>
      <c r="Z12" s="151">
        <f t="shared" si="16"/>
        <v>0.10898744650564678</v>
      </c>
    </row>
    <row r="13" spans="1:26" ht="16.5" customHeight="1" x14ac:dyDescent="0.25">
      <c r="A13" s="227" t="s">
        <v>57</v>
      </c>
      <c r="B13" s="227">
        <v>1</v>
      </c>
      <c r="C13" s="64">
        <v>17519911</v>
      </c>
      <c r="D13" s="67">
        <v>0</v>
      </c>
      <c r="E13" s="225">
        <f t="shared" si="0"/>
        <v>17519911</v>
      </c>
      <c r="F13" s="67">
        <f t="shared" si="1"/>
        <v>893077</v>
      </c>
      <c r="G13" s="150">
        <f t="shared" si="2"/>
        <v>-56545</v>
      </c>
      <c r="H13" s="65">
        <v>836532</v>
      </c>
      <c r="I13" s="150">
        <f t="shared" si="3"/>
        <v>17463366</v>
      </c>
      <c r="J13" s="128">
        <f t="shared" si="4"/>
        <v>4.7902105470388701E-2</v>
      </c>
      <c r="K13" s="67" t="str">
        <f t="shared" si="5"/>
        <v/>
      </c>
      <c r="L13" s="226" t="str">
        <f t="shared" si="6"/>
        <v/>
      </c>
      <c r="M13" s="67">
        <v>0</v>
      </c>
      <c r="N13" s="65">
        <f t="shared" si="7"/>
        <v>17463366</v>
      </c>
      <c r="O13" s="151">
        <f t="shared" si="8"/>
        <v>-3.2274707331561218E-3</v>
      </c>
      <c r="P13" s="20"/>
      <c r="Q13" s="67">
        <f t="shared" si="9"/>
        <v>706928</v>
      </c>
      <c r="R13" s="150">
        <f t="shared" si="10"/>
        <v>139008</v>
      </c>
      <c r="S13" s="65">
        <v>845936</v>
      </c>
      <c r="T13" s="150">
        <f t="shared" si="11"/>
        <v>17658919</v>
      </c>
      <c r="U13" s="128">
        <f t="shared" si="12"/>
        <v>4.7904178053028046E-2</v>
      </c>
      <c r="V13" s="67" t="str">
        <f t="shared" si="13"/>
        <v/>
      </c>
      <c r="W13" s="226" t="str">
        <f t="shared" si="14"/>
        <v/>
      </c>
      <c r="X13" s="67">
        <v>0</v>
      </c>
      <c r="Y13" s="65">
        <f t="shared" si="15"/>
        <v>17658919</v>
      </c>
      <c r="Z13" s="151">
        <f t="shared" si="16"/>
        <v>7.9342868807952271E-3</v>
      </c>
    </row>
    <row r="14" spans="1:26" ht="16.5" customHeight="1" x14ac:dyDescent="0.25">
      <c r="A14" s="227" t="s">
        <v>58</v>
      </c>
      <c r="B14" s="227">
        <v>1</v>
      </c>
      <c r="C14" s="64">
        <v>102523274</v>
      </c>
      <c r="D14" s="67">
        <v>0</v>
      </c>
      <c r="E14" s="225">
        <f t="shared" si="0"/>
        <v>102523274</v>
      </c>
      <c r="F14" s="67">
        <f t="shared" si="1"/>
        <v>5226124</v>
      </c>
      <c r="G14" s="150">
        <f t="shared" si="2"/>
        <v>2312919</v>
      </c>
      <c r="H14" s="65">
        <v>7539043</v>
      </c>
      <c r="I14" s="150">
        <f t="shared" si="3"/>
        <v>104836193</v>
      </c>
      <c r="J14" s="128">
        <f t="shared" si="4"/>
        <v>7.1912597970817199E-2</v>
      </c>
      <c r="K14" s="67" t="str">
        <f t="shared" si="5"/>
        <v/>
      </c>
      <c r="L14" s="226" t="str">
        <f t="shared" si="6"/>
        <v/>
      </c>
      <c r="M14" s="67">
        <v>0</v>
      </c>
      <c r="N14" s="65">
        <f t="shared" si="7"/>
        <v>104836193</v>
      </c>
      <c r="O14" s="151">
        <f t="shared" si="8"/>
        <v>2.2559940877424575E-2</v>
      </c>
      <c r="P14" s="20"/>
      <c r="Q14" s="67">
        <f t="shared" si="9"/>
        <v>4136814</v>
      </c>
      <c r="R14" s="150">
        <f t="shared" si="10"/>
        <v>3486881</v>
      </c>
      <c r="S14" s="65">
        <v>7623695</v>
      </c>
      <c r="T14" s="150">
        <f t="shared" si="11"/>
        <v>106010155</v>
      </c>
      <c r="U14" s="128">
        <f t="shared" si="12"/>
        <v>7.1914761373568406E-2</v>
      </c>
      <c r="V14" s="67" t="str">
        <f t="shared" si="13"/>
        <v/>
      </c>
      <c r="W14" s="226" t="str">
        <f t="shared" si="14"/>
        <v/>
      </c>
      <c r="X14" s="67">
        <v>0</v>
      </c>
      <c r="Y14" s="65">
        <f t="shared" si="15"/>
        <v>106010155</v>
      </c>
      <c r="Z14" s="151">
        <f t="shared" si="16"/>
        <v>3.4010628650037067E-2</v>
      </c>
    </row>
    <row r="15" spans="1:26" x14ac:dyDescent="0.25">
      <c r="A15" s="227" t="s">
        <v>59</v>
      </c>
      <c r="B15" s="227">
        <v>1</v>
      </c>
      <c r="C15" s="64">
        <v>23001758</v>
      </c>
      <c r="D15" s="67">
        <v>0</v>
      </c>
      <c r="E15" s="225">
        <f t="shared" si="0"/>
        <v>23001758</v>
      </c>
      <c r="F15" s="67">
        <f t="shared" si="1"/>
        <v>1172515</v>
      </c>
      <c r="G15" s="150">
        <f t="shared" si="2"/>
        <v>746879</v>
      </c>
      <c r="H15" s="65">
        <v>1919394</v>
      </c>
      <c r="I15" s="150">
        <f t="shared" si="3"/>
        <v>23748637</v>
      </c>
      <c r="J15" s="128">
        <f t="shared" si="4"/>
        <v>8.0821227761407946E-2</v>
      </c>
      <c r="K15" s="67" t="str">
        <f t="shared" si="5"/>
        <v/>
      </c>
      <c r="L15" s="226" t="str">
        <f t="shared" si="6"/>
        <v/>
      </c>
      <c r="M15" s="67">
        <v>0</v>
      </c>
      <c r="N15" s="65">
        <f t="shared" si="7"/>
        <v>23748637</v>
      </c>
      <c r="O15" s="151">
        <f t="shared" si="8"/>
        <v>3.2470518123006074E-2</v>
      </c>
      <c r="P15" s="20"/>
      <c r="Q15" s="67">
        <f t="shared" si="9"/>
        <v>928121</v>
      </c>
      <c r="R15" s="150">
        <f t="shared" si="10"/>
        <v>1012840</v>
      </c>
      <c r="S15" s="65">
        <v>1940961</v>
      </c>
      <c r="T15" s="150">
        <f t="shared" si="11"/>
        <v>24014598</v>
      </c>
      <c r="U15" s="128">
        <f t="shared" si="12"/>
        <v>8.082421367203399E-2</v>
      </c>
      <c r="V15" s="67" t="str">
        <f t="shared" si="13"/>
        <v/>
      </c>
      <c r="W15" s="226" t="str">
        <f t="shared" si="14"/>
        <v/>
      </c>
      <c r="X15" s="67">
        <v>0</v>
      </c>
      <c r="Y15" s="65">
        <f t="shared" si="15"/>
        <v>24014598</v>
      </c>
      <c r="Z15" s="151">
        <f t="shared" si="16"/>
        <v>4.4033156074418309E-2</v>
      </c>
    </row>
    <row r="16" spans="1:26" ht="16.5" customHeight="1" x14ac:dyDescent="0.25">
      <c r="A16" s="227" t="s">
        <v>60</v>
      </c>
      <c r="B16" s="227">
        <v>1</v>
      </c>
      <c r="C16" s="64">
        <v>19450392</v>
      </c>
      <c r="D16" s="67">
        <v>0</v>
      </c>
      <c r="E16" s="225">
        <f t="shared" si="0"/>
        <v>19450392</v>
      </c>
      <c r="F16" s="67">
        <f t="shared" si="1"/>
        <v>991484</v>
      </c>
      <c r="G16" s="150">
        <f t="shared" si="2"/>
        <v>502894</v>
      </c>
      <c r="H16" s="65">
        <v>1494378</v>
      </c>
      <c r="I16" s="150">
        <f t="shared" si="3"/>
        <v>19953286</v>
      </c>
      <c r="J16" s="128">
        <f t="shared" si="4"/>
        <v>7.4893829517604274E-2</v>
      </c>
      <c r="K16" s="67" t="str">
        <f t="shared" si="5"/>
        <v/>
      </c>
      <c r="L16" s="226" t="str">
        <f t="shared" si="6"/>
        <v/>
      </c>
      <c r="M16" s="67">
        <v>0</v>
      </c>
      <c r="N16" s="65">
        <f t="shared" si="7"/>
        <v>19953286</v>
      </c>
      <c r="O16" s="151">
        <f t="shared" si="8"/>
        <v>2.5855211555633428E-2</v>
      </c>
      <c r="P16" s="20"/>
      <c r="Q16" s="67">
        <f t="shared" si="9"/>
        <v>784823</v>
      </c>
      <c r="R16" s="150">
        <f t="shared" si="10"/>
        <v>726331</v>
      </c>
      <c r="S16" s="65">
        <v>1511154</v>
      </c>
      <c r="T16" s="150">
        <f t="shared" si="11"/>
        <v>20176723</v>
      </c>
      <c r="U16" s="128">
        <f t="shared" si="12"/>
        <v>7.4895908517949125E-2</v>
      </c>
      <c r="V16" s="67" t="str">
        <f t="shared" si="13"/>
        <v/>
      </c>
      <c r="W16" s="226" t="str">
        <f t="shared" si="14"/>
        <v/>
      </c>
      <c r="X16" s="67">
        <v>0</v>
      </c>
      <c r="Y16" s="65">
        <f t="shared" si="15"/>
        <v>20176723</v>
      </c>
      <c r="Z16" s="151">
        <f t="shared" si="16"/>
        <v>3.7342743529282081E-2</v>
      </c>
    </row>
    <row r="17" spans="1:26" x14ac:dyDescent="0.25">
      <c r="A17" s="227" t="s">
        <v>61</v>
      </c>
      <c r="B17" s="227">
        <v>2</v>
      </c>
      <c r="C17" s="64">
        <v>116348719</v>
      </c>
      <c r="D17" s="67"/>
      <c r="E17" s="225" t="str">
        <f t="shared" si="0"/>
        <v/>
      </c>
      <c r="F17" s="67" t="str">
        <f t="shared" si="1"/>
        <v/>
      </c>
      <c r="G17" s="150" t="str">
        <f t="shared" si="2"/>
        <v/>
      </c>
      <c r="H17" s="65"/>
      <c r="I17" s="150" t="str">
        <f t="shared" si="3"/>
        <v/>
      </c>
      <c r="J17" s="128" t="str">
        <f t="shared" si="4"/>
        <v/>
      </c>
      <c r="K17" s="67">
        <f t="shared" si="5"/>
        <v>1745231</v>
      </c>
      <c r="L17" s="226">
        <f t="shared" si="6"/>
        <v>118093950</v>
      </c>
      <c r="M17" s="67">
        <v>0</v>
      </c>
      <c r="N17" s="65">
        <f t="shared" si="7"/>
        <v>118093950</v>
      </c>
      <c r="O17" s="151">
        <f t="shared" si="8"/>
        <v>1.5000001847893144E-2</v>
      </c>
      <c r="P17" s="20"/>
      <c r="Q17" s="67" t="str">
        <f t="shared" si="9"/>
        <v/>
      </c>
      <c r="R17" s="150" t="str">
        <f t="shared" si="10"/>
        <v/>
      </c>
      <c r="S17" s="65"/>
      <c r="T17" s="150" t="str">
        <f t="shared" si="11"/>
        <v/>
      </c>
      <c r="U17" s="128" t="str">
        <f t="shared" si="12"/>
        <v/>
      </c>
      <c r="V17" s="67">
        <f t="shared" si="13"/>
        <v>3067418</v>
      </c>
      <c r="W17" s="226">
        <f t="shared" si="14"/>
        <v>119416137</v>
      </c>
      <c r="X17" s="67">
        <v>0</v>
      </c>
      <c r="Y17" s="65">
        <f t="shared" si="15"/>
        <v>119416137</v>
      </c>
      <c r="Z17" s="151">
        <f t="shared" si="16"/>
        <v>2.6364003199725816E-2</v>
      </c>
    </row>
    <row r="18" spans="1:26" ht="15.75" customHeight="1" thickBot="1" x14ac:dyDescent="0.3">
      <c r="A18" s="227" t="s">
        <v>62</v>
      </c>
      <c r="B18" s="227">
        <v>3</v>
      </c>
      <c r="C18" s="64">
        <v>0</v>
      </c>
      <c r="D18" s="67"/>
      <c r="E18" s="225" t="str">
        <f t="shared" si="0"/>
        <v/>
      </c>
      <c r="F18" s="67" t="str">
        <f t="shared" si="1"/>
        <v/>
      </c>
      <c r="G18" s="150" t="str">
        <f t="shared" si="2"/>
        <v/>
      </c>
      <c r="H18" s="65"/>
      <c r="I18" s="150" t="str">
        <f t="shared" si="3"/>
        <v/>
      </c>
      <c r="J18" s="128" t="str">
        <f t="shared" si="4"/>
        <v/>
      </c>
      <c r="K18" s="67" t="str">
        <f t="shared" si="5"/>
        <v/>
      </c>
      <c r="L18" s="226" t="str">
        <f t="shared" si="6"/>
        <v/>
      </c>
      <c r="M18" s="67">
        <v>0</v>
      </c>
      <c r="N18" s="65">
        <f t="shared" si="7"/>
        <v>0</v>
      </c>
      <c r="O18" s="151" t="str">
        <f t="shared" si="8"/>
        <v/>
      </c>
      <c r="P18" s="20"/>
      <c r="Q18" s="67" t="str">
        <f t="shared" si="9"/>
        <v/>
      </c>
      <c r="R18" s="150" t="str">
        <f t="shared" si="10"/>
        <v/>
      </c>
      <c r="S18" s="65"/>
      <c r="T18" s="150" t="str">
        <f t="shared" si="11"/>
        <v/>
      </c>
      <c r="U18" s="128" t="str">
        <f t="shared" si="12"/>
        <v/>
      </c>
      <c r="V18" s="67" t="str">
        <f t="shared" si="13"/>
        <v/>
      </c>
      <c r="W18" s="226" t="str">
        <f t="shared" si="14"/>
        <v/>
      </c>
      <c r="X18" s="67">
        <v>4850000</v>
      </c>
      <c r="Y18" s="65">
        <f t="shared" si="15"/>
        <v>4850000</v>
      </c>
      <c r="Z18" s="151" t="str">
        <f t="shared" si="16"/>
        <v/>
      </c>
    </row>
    <row r="19" spans="1:26" ht="15.75" customHeight="1" thickTop="1" x14ac:dyDescent="0.25">
      <c r="A19" s="228" t="s">
        <v>126</v>
      </c>
      <c r="B19" s="228"/>
      <c r="C19" s="229">
        <f t="shared" ref="C19:I19" si="17">SUM(C10:C18)</f>
        <v>497705703</v>
      </c>
      <c r="D19" s="230">
        <f t="shared" si="17"/>
        <v>0</v>
      </c>
      <c r="E19" s="231">
        <f t="shared" si="17"/>
        <v>381356984</v>
      </c>
      <c r="F19" s="230">
        <f t="shared" si="17"/>
        <v>19439673</v>
      </c>
      <c r="G19" s="232">
        <f t="shared" si="17"/>
        <v>9036809</v>
      </c>
      <c r="H19" s="233">
        <f t="shared" si="17"/>
        <v>28476482</v>
      </c>
      <c r="I19" s="232">
        <f t="shared" si="17"/>
        <v>390393793</v>
      </c>
      <c r="J19" s="234">
        <f>H19/I19</f>
        <v>7.2942968127569591E-2</v>
      </c>
      <c r="K19" s="230">
        <f>SUM(K10:K18)</f>
        <v>1745231</v>
      </c>
      <c r="L19" s="231">
        <f>SUM(L10:L18)</f>
        <v>118093950</v>
      </c>
      <c r="M19" s="230">
        <f>SUM(M10:M18)</f>
        <v>0</v>
      </c>
      <c r="N19" s="233">
        <f>SUM(N10:N18)</f>
        <v>508487743</v>
      </c>
      <c r="O19" s="234">
        <f>(N19-$C19)/$C19</f>
        <v>2.1663484937001012E-2</v>
      </c>
      <c r="P19" s="192"/>
      <c r="Q19" s="230">
        <f>SUM(Q10:Q18)</f>
        <v>15387753</v>
      </c>
      <c r="R19" s="232">
        <f>SUM(R10:R18)</f>
        <v>13408362</v>
      </c>
      <c r="S19" s="233">
        <f>SUM(S10:S18)</f>
        <v>28796115</v>
      </c>
      <c r="T19" s="232">
        <f>SUM(T10:T18)</f>
        <v>394765346</v>
      </c>
      <c r="U19" s="234">
        <f>S19/T19</f>
        <v>7.2944890659171494E-2</v>
      </c>
      <c r="V19" s="230">
        <f>SUM(V10:V18)</f>
        <v>3067418</v>
      </c>
      <c r="W19" s="231">
        <f>SUM(W10:W18)</f>
        <v>119416137</v>
      </c>
      <c r="X19" s="230">
        <f>SUM(X10:X18)</f>
        <v>4850000</v>
      </c>
      <c r="Y19" s="233">
        <f>SUM(Y10:Y18)</f>
        <v>519031483</v>
      </c>
      <c r="Z19" s="234">
        <f>(Y19-$C19)/$C19</f>
        <v>4.284817286893737E-2</v>
      </c>
    </row>
    <row r="20" spans="1:26" x14ac:dyDescent="0.25">
      <c r="A20" s="235"/>
      <c r="B20" s="235"/>
      <c r="C20" s="236"/>
      <c r="D20" s="237"/>
      <c r="E20" s="238"/>
      <c r="F20" s="237"/>
      <c r="G20" s="239"/>
      <c r="H20" s="240"/>
      <c r="I20" s="239"/>
      <c r="J20" s="241"/>
      <c r="K20" s="237"/>
      <c r="L20" s="242"/>
      <c r="M20" s="237"/>
      <c r="N20" s="240"/>
      <c r="O20" s="243"/>
      <c r="P20" s="20"/>
      <c r="Q20" s="237"/>
      <c r="R20" s="239"/>
      <c r="S20" s="240"/>
      <c r="T20" s="239"/>
      <c r="U20" s="241"/>
      <c r="V20" s="237"/>
      <c r="W20" s="242"/>
      <c r="X20" s="237"/>
      <c r="Y20" s="240"/>
      <c r="Z20" s="243"/>
    </row>
    <row r="21" spans="1:26" x14ac:dyDescent="0.25">
      <c r="A21" s="227" t="s">
        <v>66</v>
      </c>
      <c r="B21" s="227">
        <v>1</v>
      </c>
      <c r="C21" s="64">
        <v>242087025</v>
      </c>
      <c r="D21" s="67">
        <v>0</v>
      </c>
      <c r="E21" s="225">
        <f>IF($B21 = 1, C21-D21, "")</f>
        <v>242087025</v>
      </c>
      <c r="F21" s="67">
        <f>IF($B21 = 1, ROUND(F$9*$E21, 0), "")</f>
        <v>12340386</v>
      </c>
      <c r="G21" s="150">
        <f>IF($B21 = 1, H21-F21, "")</f>
        <v>-7388853</v>
      </c>
      <c r="H21" s="65">
        <v>4951533</v>
      </c>
      <c r="I21" s="150">
        <f>IF($B21 = 1, $E21+G21, "")</f>
        <v>234698172</v>
      </c>
      <c r="J21" s="128">
        <f>IF($B21 = 1, H21/I21, "")</f>
        <v>2.1097450217890917E-2</v>
      </c>
      <c r="K21" s="67" t="str">
        <f>IF($B21 = 2, ROUND(K$9*$C21, 0), "")</f>
        <v/>
      </c>
      <c r="L21" s="226" t="str">
        <f>IF($B21 = 2, $C21+K21, "")</f>
        <v/>
      </c>
      <c r="M21" s="67">
        <v>0</v>
      </c>
      <c r="N21" s="65">
        <f>IF($B21 = 1, I21+$D21, IF($B21 = 2, L21, 0))+M21</f>
        <v>234698172</v>
      </c>
      <c r="O21" s="151">
        <f>IF($C21 &gt; 0, (N21-$C21)/$C21, "")</f>
        <v>-3.0521474663914763E-2</v>
      </c>
      <c r="P21" s="20"/>
      <c r="Q21" s="67">
        <f>IF($B21 = 1, ROUND(Q$9*$E21, 0), "")</f>
        <v>9768211</v>
      </c>
      <c r="R21" s="150">
        <f>IF($B21 = 1, S21-Q21, "")</f>
        <v>-4761202</v>
      </c>
      <c r="S21" s="65">
        <v>5007009</v>
      </c>
      <c r="T21" s="150">
        <f>IF($B21 = 1, $E21+R21, "")</f>
        <v>237325823</v>
      </c>
      <c r="U21" s="128">
        <f>IF($B21 = 1, S21/T21, "")</f>
        <v>2.109761566064389E-2</v>
      </c>
      <c r="V21" s="67" t="str">
        <f>IF($B21 = 2, ROUND(V$9*$C21, 0), "")</f>
        <v/>
      </c>
      <c r="W21" s="226" t="str">
        <f>IF($B21 = 2, $C21+V21, "")</f>
        <v/>
      </c>
      <c r="X21" s="67">
        <v>0</v>
      </c>
      <c r="Y21" s="65">
        <f>IF($B21 = 1, T21+$D21, IF($B21 = 2, W21, 0))+X21</f>
        <v>237325823</v>
      </c>
      <c r="Z21" s="151">
        <f>IF($C21 &gt; 0, (Y21-$C21)/$C21, "")</f>
        <v>-1.9667315916662615E-2</v>
      </c>
    </row>
    <row r="22" spans="1:26" x14ac:dyDescent="0.25">
      <c r="A22" s="227" t="s">
        <v>67</v>
      </c>
      <c r="B22" s="227">
        <v>1</v>
      </c>
      <c r="C22" s="64">
        <v>42234228</v>
      </c>
      <c r="D22" s="67">
        <v>0</v>
      </c>
      <c r="E22" s="225">
        <f>IF($B22 = 1, C22-D22, "")</f>
        <v>42234228</v>
      </c>
      <c r="F22" s="67">
        <f>IF($B22 = 1, ROUND(F$9*$E22, 0), "")</f>
        <v>2152890</v>
      </c>
      <c r="G22" s="150">
        <f>IF($B22 = 1, H22-F22, "")</f>
        <v>1488897</v>
      </c>
      <c r="H22" s="65">
        <v>3641787</v>
      </c>
      <c r="I22" s="150">
        <f>IF($B22 = 1, $E22+G22, "")</f>
        <v>43723125</v>
      </c>
      <c r="J22" s="128">
        <f>IF($B22 = 1, H22/I22, "")</f>
        <v>8.3292010806638367E-2</v>
      </c>
      <c r="K22" s="67" t="str">
        <f>IF($B22 = 2, ROUND(K$9*$C22, 0), "")</f>
        <v/>
      </c>
      <c r="L22" s="226" t="str">
        <f>IF($B22 = 2, $C22+K22, "")</f>
        <v/>
      </c>
      <c r="M22" s="67">
        <v>0</v>
      </c>
      <c r="N22" s="65">
        <f>IF($B22 = 1, I22+$D22, IF($B22 = 2, L22, 0))+M22</f>
        <v>43723125</v>
      </c>
      <c r="O22" s="151">
        <f>IF($C22 &gt; 0, (N22-$C22)/$C22, "")</f>
        <v>3.5253325809577955E-2</v>
      </c>
      <c r="P22" s="20"/>
      <c r="Q22" s="67">
        <f>IF($B22 = 1, ROUND(Q$9*$E22, 0), "")</f>
        <v>1704151</v>
      </c>
      <c r="R22" s="150">
        <f>IF($B22 = 1, S22-Q22, "")</f>
        <v>1978514</v>
      </c>
      <c r="S22" s="65">
        <v>3682665</v>
      </c>
      <c r="T22" s="150">
        <f>IF($B22 = 1, $E22+R22, "")</f>
        <v>44212742</v>
      </c>
      <c r="U22" s="128">
        <f>IF($B22 = 1, S22/T22, "")</f>
        <v>8.3294200572314653E-2</v>
      </c>
      <c r="V22" s="67" t="str">
        <f>IF($B22 = 2, ROUND(V$9*$C22, 0), "")</f>
        <v/>
      </c>
      <c r="W22" s="226" t="str">
        <f>IF($B22 = 2, $C22+V22, "")</f>
        <v/>
      </c>
      <c r="X22" s="67">
        <v>0</v>
      </c>
      <c r="Y22" s="65">
        <f>IF($B22 = 1, T22+$D22, IF($B22 = 2, W22, 0))+X22</f>
        <v>44212742</v>
      </c>
      <c r="Z22" s="151">
        <f>IF($C22 &gt; 0, (Y22-$C22)/$C22, "")</f>
        <v>4.6846221505457614E-2</v>
      </c>
    </row>
    <row r="23" spans="1:26" x14ac:dyDescent="0.25">
      <c r="A23" s="227" t="s">
        <v>68</v>
      </c>
      <c r="B23" s="227">
        <v>1</v>
      </c>
      <c r="C23" s="64">
        <v>41810093</v>
      </c>
      <c r="D23" s="67">
        <v>0</v>
      </c>
      <c r="E23" s="225">
        <f>IF($B23 = 1, C23-D23, "")</f>
        <v>41810093</v>
      </c>
      <c r="F23" s="67">
        <f>IF($B23 = 1, ROUND(F$9*$E23, 0), "")</f>
        <v>2131269</v>
      </c>
      <c r="G23" s="150">
        <f>IF($B23 = 1, H23-F23, "")</f>
        <v>396420</v>
      </c>
      <c r="H23" s="65">
        <v>2527689</v>
      </c>
      <c r="I23" s="150">
        <f>IF($B23 = 1, $E23+G23, "")</f>
        <v>42206513</v>
      </c>
      <c r="J23" s="128">
        <f>IF($B23 = 1, H23/I23, "")</f>
        <v>5.988860060531416E-2</v>
      </c>
      <c r="K23" s="67" t="str">
        <f>IF($B23 = 2, ROUND(K$9*$C23, 0), "")</f>
        <v/>
      </c>
      <c r="L23" s="226" t="str">
        <f>IF($B23 = 2, $C23+K23, "")</f>
        <v/>
      </c>
      <c r="M23" s="67">
        <v>0</v>
      </c>
      <c r="N23" s="65">
        <f>IF($B23 = 1, I23+$D23, IF($B23 = 2, L23, 0))+M23</f>
        <v>42206513</v>
      </c>
      <c r="O23" s="151">
        <f>IF($C23 &gt; 0, (N23-$C23)/$C23, "")</f>
        <v>9.4814426746192594E-3</v>
      </c>
      <c r="P23" s="20"/>
      <c r="Q23" s="67">
        <f>IF($B23 = 1, ROUND(Q$9*$E23, 0), "")</f>
        <v>1687037</v>
      </c>
      <c r="R23" s="150">
        <f>IF($B23 = 1, S23-Q23, "")</f>
        <v>869040</v>
      </c>
      <c r="S23" s="65">
        <v>2556077</v>
      </c>
      <c r="T23" s="150">
        <f>IF($B23 = 1, $E23+R23, "")</f>
        <v>42679133</v>
      </c>
      <c r="U23" s="128">
        <f>IF($B23 = 1, S23/T23, "")</f>
        <v>5.9890555883597728E-2</v>
      </c>
      <c r="V23" s="67" t="str">
        <f>IF($B23 = 2, ROUND(V$9*$C23, 0), "")</f>
        <v/>
      </c>
      <c r="W23" s="226" t="str">
        <f>IF($B23 = 2, $C23+V23, "")</f>
        <v/>
      </c>
      <c r="X23" s="67">
        <v>0</v>
      </c>
      <c r="Y23" s="65">
        <f>IF($B23 = 1, T23+$D23, IF($B23 = 2, W23, 0))+X23</f>
        <v>42679133</v>
      </c>
      <c r="Z23" s="151">
        <f>IF($C23 &gt; 0, (Y23-$C23)/$C23, "")</f>
        <v>2.07854117904019E-2</v>
      </c>
    </row>
    <row r="24" spans="1:26" ht="15.75" customHeight="1" thickBot="1" x14ac:dyDescent="0.3">
      <c r="A24" s="227" t="s">
        <v>69</v>
      </c>
      <c r="B24" s="227">
        <v>3</v>
      </c>
      <c r="C24" s="64">
        <v>0</v>
      </c>
      <c r="D24" s="67"/>
      <c r="E24" s="225" t="str">
        <f>IF($B24 = 1, C24-D24, "")</f>
        <v/>
      </c>
      <c r="F24" s="67" t="str">
        <f>IF($B24 = 1, ROUND(F$9*$E24, 0), "")</f>
        <v/>
      </c>
      <c r="G24" s="150" t="str">
        <f>IF($B24 = 1, H24-F24, "")</f>
        <v/>
      </c>
      <c r="H24" s="65"/>
      <c r="I24" s="150" t="str">
        <f>IF($B24 = 1, $E24+G24, "")</f>
        <v/>
      </c>
      <c r="J24" s="128" t="str">
        <f>IF($B24 = 1, H24/I24, "")</f>
        <v/>
      </c>
      <c r="K24" s="67" t="str">
        <f>IF($B24 = 2, ROUND(K$9*$C24, 0), "")</f>
        <v/>
      </c>
      <c r="L24" s="226" t="str">
        <f>IF($B24 = 2, $C24+K24, "")</f>
        <v/>
      </c>
      <c r="M24" s="67">
        <v>0</v>
      </c>
      <c r="N24" s="65">
        <f>IF($B24 = 1, I24+$D24, IF($B24 = 2, L24, 0))+M24</f>
        <v>0</v>
      </c>
      <c r="O24" s="151" t="str">
        <f>IF($C24 &gt; 0, (N24-$C24)/$C24, "")</f>
        <v/>
      </c>
      <c r="P24" s="20"/>
      <c r="Q24" s="67" t="str">
        <f>IF($B24 = 1, ROUND(Q$9*$E24, 0), "")</f>
        <v/>
      </c>
      <c r="R24" s="150" t="str">
        <f>IF($B24 = 1, S24-Q24, "")</f>
        <v/>
      </c>
      <c r="S24" s="65"/>
      <c r="T24" s="150" t="str">
        <f>IF($B24 = 1, $E24+R24, "")</f>
        <v/>
      </c>
      <c r="U24" s="128" t="str">
        <f>IF($B24 = 1, S24/T24, "")</f>
        <v/>
      </c>
      <c r="V24" s="67" t="str">
        <f>IF($B24 = 2, ROUND(V$9*$C24, 0), "")</f>
        <v/>
      </c>
      <c r="W24" s="226" t="str">
        <f>IF($B24 = 2, $C24+V24, "")</f>
        <v/>
      </c>
      <c r="X24" s="67">
        <v>0</v>
      </c>
      <c r="Y24" s="65">
        <f>IF($B24 = 1, T24+$D24, IF($B24 = 2, W24, 0))+X24</f>
        <v>0</v>
      </c>
      <c r="Z24" s="151" t="str">
        <f>IF($C24 &gt; 0, (Y24-$C24)/$C24, "")</f>
        <v/>
      </c>
    </row>
    <row r="25" spans="1:26" ht="15.75" customHeight="1" thickTop="1" x14ac:dyDescent="0.25">
      <c r="A25" s="228" t="s">
        <v>127</v>
      </c>
      <c r="B25" s="228"/>
      <c r="C25" s="229">
        <f t="shared" ref="C25:I25" si="18">SUM(C21:C24)</f>
        <v>326131346</v>
      </c>
      <c r="D25" s="230">
        <f t="shared" si="18"/>
        <v>0</v>
      </c>
      <c r="E25" s="233">
        <f t="shared" si="18"/>
        <v>326131346</v>
      </c>
      <c r="F25" s="230">
        <f t="shared" si="18"/>
        <v>16624545</v>
      </c>
      <c r="G25" s="232">
        <f t="shared" si="18"/>
        <v>-5503536</v>
      </c>
      <c r="H25" s="233">
        <f t="shared" si="18"/>
        <v>11121009</v>
      </c>
      <c r="I25" s="232">
        <f t="shared" si="18"/>
        <v>320627810</v>
      </c>
      <c r="J25" s="234">
        <f>H25/I25</f>
        <v>3.4685104202283636E-2</v>
      </c>
      <c r="K25" s="230">
        <f>SUM(K21:K24)</f>
        <v>0</v>
      </c>
      <c r="L25" s="231">
        <f>SUM(L21:L24)</f>
        <v>0</v>
      </c>
      <c r="M25" s="230">
        <f>SUM(M21:M24)</f>
        <v>0</v>
      </c>
      <c r="N25" s="233">
        <f>SUM(N21:N24)</f>
        <v>320627810</v>
      </c>
      <c r="O25" s="234">
        <f>(N25-$C25)/$C25</f>
        <v>-1.687521321547546E-2</v>
      </c>
      <c r="P25" s="192"/>
      <c r="Q25" s="230">
        <f>SUM(Q21:Q24)</f>
        <v>13159399</v>
      </c>
      <c r="R25" s="232">
        <f>SUM(R21:R24)</f>
        <v>-1913648</v>
      </c>
      <c r="S25" s="233">
        <f>SUM(S21:S24)</f>
        <v>11245751</v>
      </c>
      <c r="T25" s="232">
        <f>SUM(T21:T24)</f>
        <v>324217698</v>
      </c>
      <c r="U25" s="234">
        <f>S25/T25</f>
        <v>3.4685802377142284E-2</v>
      </c>
      <c r="V25" s="230">
        <f>SUM(V21:V24)</f>
        <v>0</v>
      </c>
      <c r="W25" s="231">
        <f>SUM(W21:W24)</f>
        <v>0</v>
      </c>
      <c r="X25" s="230">
        <f>SUM(X21:X24)</f>
        <v>0</v>
      </c>
      <c r="Y25" s="233">
        <f>SUM(Y21:Y24)</f>
        <v>324217698</v>
      </c>
      <c r="Z25" s="234">
        <f>(Y25-$C25)/$C25</f>
        <v>-5.8677217736684533E-3</v>
      </c>
    </row>
    <row r="26" spans="1:26" x14ac:dyDescent="0.25">
      <c r="A26" s="235"/>
      <c r="B26" s="235"/>
      <c r="C26" s="236"/>
      <c r="D26" s="237"/>
      <c r="E26" s="238"/>
      <c r="F26" s="237"/>
      <c r="G26" s="239"/>
      <c r="H26" s="240"/>
      <c r="I26" s="239"/>
      <c r="J26" s="241"/>
      <c r="K26" s="237"/>
      <c r="L26" s="242"/>
      <c r="M26" s="237"/>
      <c r="N26" s="240"/>
      <c r="O26" s="243"/>
      <c r="P26" s="20"/>
      <c r="Q26" s="237"/>
      <c r="R26" s="239"/>
      <c r="S26" s="240"/>
      <c r="T26" s="239"/>
      <c r="U26" s="241"/>
      <c r="V26" s="237"/>
      <c r="W26" s="242"/>
      <c r="X26" s="237"/>
      <c r="Y26" s="240"/>
      <c r="Z26" s="243"/>
    </row>
    <row r="27" spans="1:26" x14ac:dyDescent="0.25">
      <c r="A27" s="227" t="s">
        <v>72</v>
      </c>
      <c r="B27" s="227">
        <v>1</v>
      </c>
      <c r="C27" s="64">
        <v>126221115</v>
      </c>
      <c r="D27" s="67">
        <v>0</v>
      </c>
      <c r="E27" s="225">
        <f>IF($B27 = 1, C27-D27, "")</f>
        <v>126221115</v>
      </c>
      <c r="F27" s="67">
        <f>IF($B27 = 1, ROUND(F$9*$E27, 0), "")</f>
        <v>6434121</v>
      </c>
      <c r="G27" s="150">
        <f>IF($B27 = 1, H27-F27, "")</f>
        <v>5007546</v>
      </c>
      <c r="H27" s="65">
        <v>11441667</v>
      </c>
      <c r="I27" s="150">
        <f>IF($B27 = 1, $E27+G27, "")</f>
        <v>131228661</v>
      </c>
      <c r="J27" s="128">
        <f>IF($B27 = 1, H27/I27, "")</f>
        <v>8.7188781115430269E-2</v>
      </c>
      <c r="K27" s="67" t="str">
        <f>IF($B27 = 2, ROUND(K$9*$C27, 0), "")</f>
        <v/>
      </c>
      <c r="L27" s="226" t="str">
        <f>IF($B27 = 2, $C27+K27, "")</f>
        <v/>
      </c>
      <c r="M27" s="67">
        <v>0</v>
      </c>
      <c r="N27" s="65">
        <f>IF($B27 = 1, I27+$D27, IF($B27 = 2, L27, 0))+M27</f>
        <v>131228661</v>
      </c>
      <c r="O27" s="151">
        <f>IF($C27 &gt; 0, (N27-$C27)/$C27, "")</f>
        <v>3.9672807517189178E-2</v>
      </c>
      <c r="P27" s="20"/>
      <c r="Q27" s="67">
        <f>IF($B27 = 1, ROUND(Q$9*$E27, 0), "")</f>
        <v>5093022</v>
      </c>
      <c r="R27" s="150">
        <f>IF($B27 = 1, S27-Q27, "")</f>
        <v>6477015</v>
      </c>
      <c r="S27" s="65">
        <v>11570037</v>
      </c>
      <c r="T27" s="150">
        <f>IF($B27 = 1, $E27+R27, "")</f>
        <v>132698130</v>
      </c>
      <c r="U27" s="128">
        <f>IF($B27 = 1, S27/T27, "")</f>
        <v>8.7190655964782621E-2</v>
      </c>
      <c r="V27" s="67" t="str">
        <f>IF($B27 = 2, ROUND(V$9*$C27, 0), "")</f>
        <v/>
      </c>
      <c r="W27" s="226" t="str">
        <f>IF($B27 = 2, $C27+V27, "")</f>
        <v/>
      </c>
      <c r="X27" s="67">
        <v>0</v>
      </c>
      <c r="Y27" s="65">
        <f>IF($B27 = 1, T27+$D27, IF($B27 = 2, W27, 0))+X27</f>
        <v>132698130</v>
      </c>
      <c r="Z27" s="151">
        <f>IF($C27 &gt; 0, (Y27-$C27)/$C27, "")</f>
        <v>5.1314829535454506E-2</v>
      </c>
    </row>
    <row r="28" spans="1:26" x14ac:dyDescent="0.25">
      <c r="A28" s="227" t="s">
        <v>73</v>
      </c>
      <c r="B28" s="227">
        <v>1</v>
      </c>
      <c r="C28" s="64">
        <v>65929201</v>
      </c>
      <c r="D28" s="67">
        <v>0</v>
      </c>
      <c r="E28" s="225">
        <f>IF($B28 = 1, C28-D28, "")</f>
        <v>65929201</v>
      </c>
      <c r="F28" s="67">
        <f>IF($B28 = 1, ROUND(F$9*$E28, 0), "")</f>
        <v>3360741</v>
      </c>
      <c r="G28" s="150">
        <f>IF($B28 = 1, H28-F28, "")</f>
        <v>-995653</v>
      </c>
      <c r="H28" s="65">
        <v>2365088</v>
      </c>
      <c r="I28" s="150">
        <f>IF($B28 = 1, $E28+G28, "")</f>
        <v>64933548</v>
      </c>
      <c r="J28" s="128">
        <f>IF($B28 = 1, H28/I28, "")</f>
        <v>3.642320607523248E-2</v>
      </c>
      <c r="K28" s="67" t="str">
        <f>IF($B28 = 2, ROUND(K$9*$C28, 0), "")</f>
        <v/>
      </c>
      <c r="L28" s="226" t="str">
        <f>IF($B28 = 2, $C28+K28, "")</f>
        <v/>
      </c>
      <c r="M28" s="67">
        <v>0</v>
      </c>
      <c r="N28" s="65">
        <f>IF($B28 = 1, I28+$D28, IF($B28 = 2, L28, 0))+M28</f>
        <v>64933548</v>
      </c>
      <c r="O28" s="151">
        <f>IF($C28 &gt; 0, (N28-$C28)/$C28, "")</f>
        <v>-1.5101851454259244E-2</v>
      </c>
      <c r="P28" s="20"/>
      <c r="Q28" s="67">
        <f>IF($B28 = 1, ROUND(Q$9*$E28, 0), "")</f>
        <v>2660243</v>
      </c>
      <c r="R28" s="150">
        <f>IF($B28 = 1, S28-Q28, "")</f>
        <v>-268693</v>
      </c>
      <c r="S28" s="65">
        <v>2391550</v>
      </c>
      <c r="T28" s="150">
        <f>IF($B28 = 1, $E28+R28, "")</f>
        <v>65660508</v>
      </c>
      <c r="U28" s="128">
        <f>IF($B28 = 1, S28/T28, "")</f>
        <v>3.6422959140066352E-2</v>
      </c>
      <c r="V28" s="67" t="str">
        <f>IF($B28 = 2, ROUND(V$9*$C28, 0), "")</f>
        <v/>
      </c>
      <c r="W28" s="226" t="str">
        <f>IF($B28 = 2, $C28+V28, "")</f>
        <v/>
      </c>
      <c r="X28" s="67">
        <v>0</v>
      </c>
      <c r="Y28" s="65">
        <f>IF($B28 = 1, T28+$D28, IF($B28 = 2, W28, 0))+X28</f>
        <v>65660508</v>
      </c>
      <c r="Z28" s="151">
        <f>IF($C28 &gt; 0, (Y28-$C28)/$C28, "")</f>
        <v>-4.0754778751224364E-3</v>
      </c>
    </row>
    <row r="29" spans="1:26" x14ac:dyDescent="0.25">
      <c r="A29" s="227" t="s">
        <v>74</v>
      </c>
      <c r="B29" s="227">
        <v>1</v>
      </c>
      <c r="C29" s="64">
        <v>44858559</v>
      </c>
      <c r="D29" s="67">
        <v>0</v>
      </c>
      <c r="E29" s="225">
        <f>IF($B29 = 1, C29-D29, "")</f>
        <v>44858559</v>
      </c>
      <c r="F29" s="67">
        <f>IF($B29 = 1, ROUND(F$9*$E29, 0), "")</f>
        <v>2286665</v>
      </c>
      <c r="G29" s="150">
        <f>IF($B29 = 1, H29-F29, "")</f>
        <v>-21360</v>
      </c>
      <c r="H29" s="65">
        <v>2265305</v>
      </c>
      <c r="I29" s="150">
        <f>IF($B29 = 1, $E29+G29, "")</f>
        <v>44837199</v>
      </c>
      <c r="J29" s="128">
        <f>IF($B29 = 1, H29/I29, "")</f>
        <v>5.0522892832801619E-2</v>
      </c>
      <c r="K29" s="67" t="str">
        <f>IF($B29 = 2, ROUND(K$9*$C29, 0), "")</f>
        <v/>
      </c>
      <c r="L29" s="226" t="str">
        <f>IF($B29 = 2, $C29+K29, "")</f>
        <v/>
      </c>
      <c r="M29" s="67">
        <v>0</v>
      </c>
      <c r="N29" s="65">
        <f>IF($B29 = 1, I29+$D29, IF($B29 = 2, L29, 0))+M29</f>
        <v>44837199</v>
      </c>
      <c r="O29" s="151">
        <f>IF($C29 &gt; 0, (N29-$C29)/$C29, "")</f>
        <v>-4.7616331144297345E-4</v>
      </c>
      <c r="P29" s="20"/>
      <c r="Q29" s="67">
        <f>IF($B29 = 1, ROUND(Q$9*$E29, 0), "")</f>
        <v>1810043</v>
      </c>
      <c r="R29" s="150">
        <f>IF($B29 = 1, S29-Q29, "")</f>
        <v>480676</v>
      </c>
      <c r="S29" s="65">
        <v>2290719</v>
      </c>
      <c r="T29" s="150">
        <f>IF($B29 = 1, $E29+R29, "")</f>
        <v>45339235</v>
      </c>
      <c r="U29" s="128">
        <f>IF($B29 = 1, S29/T29, "")</f>
        <v>5.0523988770432494E-2</v>
      </c>
      <c r="V29" s="67" t="str">
        <f>IF($B29 = 2, ROUND(V$9*$C29, 0), "")</f>
        <v/>
      </c>
      <c r="W29" s="226" t="str">
        <f>IF($B29 = 2, $C29+V29, "")</f>
        <v/>
      </c>
      <c r="X29" s="67">
        <v>0</v>
      </c>
      <c r="Y29" s="65">
        <f>IF($B29 = 1, T29+$D29, IF($B29 = 2, W29, 0))+X29</f>
        <v>45339235</v>
      </c>
      <c r="Z29" s="151">
        <f>IF($C29 &gt; 0, (Y29-$C29)/$C29, "")</f>
        <v>1.0715368721496381E-2</v>
      </c>
    </row>
    <row r="30" spans="1:26" x14ac:dyDescent="0.25">
      <c r="A30" s="227" t="s">
        <v>75</v>
      </c>
      <c r="B30" s="227">
        <v>1</v>
      </c>
      <c r="C30" s="64">
        <v>39683252</v>
      </c>
      <c r="D30" s="67">
        <v>0</v>
      </c>
      <c r="E30" s="225">
        <f>IF($B30 = 1, C30-D30, "")</f>
        <v>39683252</v>
      </c>
      <c r="F30" s="67">
        <f>IF($B30 = 1, ROUND(F$9*$E30, 0), "")</f>
        <v>2022854</v>
      </c>
      <c r="G30" s="150">
        <f>IF($B30 = 1, H30-F30, "")</f>
        <v>1033161</v>
      </c>
      <c r="H30" s="65">
        <v>3056015</v>
      </c>
      <c r="I30" s="150">
        <f>IF($B30 = 1, $E30+G30, "")</f>
        <v>40716413</v>
      </c>
      <c r="J30" s="128">
        <f>IF($B30 = 1, H30/I30, "")</f>
        <v>7.5056095928686062E-2</v>
      </c>
      <c r="K30" s="67" t="str">
        <f>IF($B30 = 2, ROUND(K$9*$C30, 0), "")</f>
        <v/>
      </c>
      <c r="L30" s="226" t="str">
        <f>IF($B30 = 2, $C30+K30, "")</f>
        <v/>
      </c>
      <c r="M30" s="67">
        <v>0</v>
      </c>
      <c r="N30" s="65">
        <f>IF($B30 = 1, I30+$D30, IF($B30 = 2, L30, 0))+M30</f>
        <v>40716413</v>
      </c>
      <c r="O30" s="151">
        <f>IF($C30 &gt; 0, (N30-$C30)/$C30, "")</f>
        <v>2.6035189857927975E-2</v>
      </c>
      <c r="P30" s="20"/>
      <c r="Q30" s="67">
        <f>IF($B30 = 1, ROUND(Q$9*$E30, 0), "")</f>
        <v>1601219</v>
      </c>
      <c r="R30" s="150">
        <f>IF($B30 = 1, S30-Q30, "")</f>
        <v>1489004</v>
      </c>
      <c r="S30" s="65">
        <v>3090223</v>
      </c>
      <c r="T30" s="150">
        <f>IF($B30 = 1, $E30+R30, "")</f>
        <v>41172256</v>
      </c>
      <c r="U30" s="128">
        <f>IF($B30 = 1, S30/T30, "")</f>
        <v>7.5055955155821433E-2</v>
      </c>
      <c r="V30" s="67" t="str">
        <f>IF($B30 = 2, ROUND(V$9*$C30, 0), "")</f>
        <v/>
      </c>
      <c r="W30" s="226" t="str">
        <f>IF($B30 = 2, $C30+V30, "")</f>
        <v/>
      </c>
      <c r="X30" s="67">
        <v>0</v>
      </c>
      <c r="Y30" s="65">
        <f>IF($B30 = 1, T30+$D30, IF($B30 = 2, W30, 0))+X30</f>
        <v>41172256</v>
      </c>
      <c r="Z30" s="151">
        <f>IF($C30 &gt; 0, (Y30-$C30)/$C30, "")</f>
        <v>3.7522227261011773E-2</v>
      </c>
    </row>
    <row r="31" spans="1:26" ht="15.75" customHeight="1" thickBot="1" x14ac:dyDescent="0.3">
      <c r="A31" s="227" t="s">
        <v>76</v>
      </c>
      <c r="B31" s="227">
        <v>1</v>
      </c>
      <c r="C31" s="64">
        <v>216256680</v>
      </c>
      <c r="D31" s="67">
        <v>0</v>
      </c>
      <c r="E31" s="225">
        <f>IF($B31 = 1, C31-D31, "")</f>
        <v>216256680</v>
      </c>
      <c r="F31" s="67">
        <f>IF($B31 = 1, ROUND(F$9*$E31, 0), "")</f>
        <v>11023684</v>
      </c>
      <c r="G31" s="150">
        <f>IF($B31 = 1, H31-F31, "")</f>
        <v>9449011</v>
      </c>
      <c r="H31" s="65">
        <v>20472695</v>
      </c>
      <c r="I31" s="150">
        <f>IF($B31 = 1, $E31+G31, "")</f>
        <v>225705691</v>
      </c>
      <c r="J31" s="128">
        <f>IF($B31 = 1, H31/I31, "")</f>
        <v>9.0705267152523861E-2</v>
      </c>
      <c r="K31" s="67" t="str">
        <f>IF($B31 = 2, ROUND(K$9*$C31, 0), "")</f>
        <v/>
      </c>
      <c r="L31" s="226" t="str">
        <f>IF($B31 = 2, $C31+K31, "")</f>
        <v/>
      </c>
      <c r="M31" s="67">
        <v>0</v>
      </c>
      <c r="N31" s="65">
        <f>IF($B31 = 1, I31+$D31, IF($B31 = 2, L31, 0))+M31</f>
        <v>225705691</v>
      </c>
      <c r="O31" s="151">
        <f>IF($C31 &gt; 0, (N31-$C31)/$C31, "")</f>
        <v>4.3693498855156748E-2</v>
      </c>
      <c r="P31" s="20"/>
      <c r="Q31" s="67">
        <f>IF($B31 = 1, ROUND(Q$9*$E31, 0), "")</f>
        <v>8725957</v>
      </c>
      <c r="R31" s="150">
        <f>IF($B31 = 1, S31-Q31, "")</f>
        <v>11975509</v>
      </c>
      <c r="S31" s="65">
        <v>20701466</v>
      </c>
      <c r="T31" s="150">
        <f>IF($B31 = 1, $E31+R31, "")</f>
        <v>228232189</v>
      </c>
      <c r="U31" s="128">
        <f>IF($B31 = 1, S31/T31, "")</f>
        <v>9.0703533496758429E-2</v>
      </c>
      <c r="V31" s="67" t="str">
        <f>IF($B31 = 2, ROUND(V$9*$C31, 0), "")</f>
        <v/>
      </c>
      <c r="W31" s="226" t="str">
        <f>IF($B31 = 2, $C31+V31, "")</f>
        <v/>
      </c>
      <c r="X31" s="67">
        <v>0</v>
      </c>
      <c r="Y31" s="65">
        <f>IF($B31 = 1, T31+$D31, IF($B31 = 2, W31, 0))+X31</f>
        <v>228232189</v>
      </c>
      <c r="Z31" s="151">
        <f>IF($C31 &gt; 0, (Y31-$C31)/$C31, "")</f>
        <v>5.5376365715038262E-2</v>
      </c>
    </row>
    <row r="32" spans="1:26" ht="15.75" customHeight="1" thickBot="1" x14ac:dyDescent="0.3">
      <c r="A32" s="244" t="s">
        <v>47</v>
      </c>
      <c r="B32" s="245"/>
      <c r="C32" s="246">
        <f t="shared" ref="C32:I32" si="19">SUM(C19,C25,C27:C31)</f>
        <v>1316785856</v>
      </c>
      <c r="D32" s="103">
        <f t="shared" si="19"/>
        <v>0</v>
      </c>
      <c r="E32" s="247">
        <f t="shared" si="19"/>
        <v>1200437137</v>
      </c>
      <c r="F32" s="103">
        <f t="shared" si="19"/>
        <v>61192283</v>
      </c>
      <c r="G32" s="248">
        <f t="shared" si="19"/>
        <v>18005978</v>
      </c>
      <c r="H32" s="249">
        <f t="shared" si="19"/>
        <v>79198261</v>
      </c>
      <c r="I32" s="248">
        <f t="shared" si="19"/>
        <v>1218443115</v>
      </c>
      <c r="J32" s="250">
        <f>H32/I32</f>
        <v>6.4999555600919454E-2</v>
      </c>
      <c r="K32" s="103">
        <f>SUM(K19,K25,K27:K31)</f>
        <v>1745231</v>
      </c>
      <c r="L32" s="251">
        <f>SUM(L19,L25,L27:L31)</f>
        <v>118093950</v>
      </c>
      <c r="M32" s="103">
        <f>SUM(M19,M25,M27:M31)</f>
        <v>0</v>
      </c>
      <c r="N32" s="249">
        <f>SUM(N19,N25,N27:N31)</f>
        <v>1336537065</v>
      </c>
      <c r="O32" s="250">
        <f>(N32-$C32)/$C32</f>
        <v>1.4999560414476384E-2</v>
      </c>
      <c r="P32" s="72"/>
      <c r="Q32" s="103">
        <f>SUM(Q19,Q25,Q27:Q31)</f>
        <v>48437636</v>
      </c>
      <c r="R32" s="248">
        <f>SUM(R19,R25,R27:R31)</f>
        <v>31648225</v>
      </c>
      <c r="S32" s="249">
        <f>SUM(S19,S25,S27:S31)</f>
        <v>80085861</v>
      </c>
      <c r="T32" s="248">
        <f>SUM(T19,T25,T27:T31)</f>
        <v>1232085362</v>
      </c>
      <c r="U32" s="250">
        <f>S32/T32</f>
        <v>6.5000253610674741E-2</v>
      </c>
      <c r="V32" s="103">
        <f>SUM(V19,V25,V27:V31)</f>
        <v>3067418</v>
      </c>
      <c r="W32" s="251">
        <f>SUM(W19,W25,W27:W31)</f>
        <v>119416137</v>
      </c>
      <c r="X32" s="103">
        <f>SUM(X19,X25,X27:X31)</f>
        <v>4850000</v>
      </c>
      <c r="Y32" s="249">
        <f>SUM(Y19,Y25,Y27:Y31)</f>
        <v>1356351499</v>
      </c>
      <c r="Z32" s="250">
        <f>(Y32-$C32)/$C32</f>
        <v>3.004713546983907E-2</v>
      </c>
    </row>
    <row r="34" spans="1:25" ht="15.75" customHeight="1" x14ac:dyDescent="0.25">
      <c r="A34" s="1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27"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53.140625" style="1" bestFit="1" customWidth="1"/>
    <col min="2" max="3" width="15.7109375" style="1" customWidth="1"/>
    <col min="4" max="4" width="12.7109375" style="1" customWidth="1"/>
    <col min="5" max="5" width="1.5703125" style="1" customWidth="1"/>
    <col min="6" max="6" width="15.7109375" style="1" customWidth="1"/>
    <col min="7" max="7" width="12.7109375" style="1" customWidth="1"/>
  </cols>
  <sheetData>
    <row r="1" spans="1:7" ht="15.75" customHeight="1" x14ac:dyDescent="0.25">
      <c r="A1" s="13" t="s">
        <v>148</v>
      </c>
      <c r="B1"/>
      <c r="C1"/>
      <c r="D1"/>
      <c r="E1"/>
      <c r="F1"/>
      <c r="G1"/>
    </row>
    <row r="2" spans="1:7" ht="15.75" customHeight="1" x14ac:dyDescent="0.25">
      <c r="A2" s="14" t="s">
        <v>31</v>
      </c>
      <c r="B2"/>
      <c r="C2"/>
      <c r="D2"/>
      <c r="E2"/>
      <c r="F2"/>
      <c r="G2"/>
    </row>
    <row r="3" spans="1:7" ht="15.75" customHeight="1" x14ac:dyDescent="0.25">
      <c r="A3" s="14"/>
      <c r="B3"/>
      <c r="C3"/>
      <c r="D3"/>
      <c r="E3"/>
      <c r="F3"/>
      <c r="G3"/>
    </row>
    <row r="4" spans="1:7" x14ac:dyDescent="0.25">
      <c r="A4" s="15" t="s">
        <v>149</v>
      </c>
    </row>
    <row r="5" spans="1:7" ht="15.75" customHeight="1" thickBot="1" x14ac:dyDescent="0.3">
      <c r="A5"/>
      <c r="B5"/>
      <c r="C5"/>
      <c r="D5"/>
      <c r="E5"/>
      <c r="F5"/>
      <c r="G5"/>
    </row>
    <row r="6" spans="1:7" ht="15.75" customHeight="1" thickBot="1" x14ac:dyDescent="0.3">
      <c r="A6" s="426"/>
      <c r="B6" s="420" t="s">
        <v>150</v>
      </c>
      <c r="C6" s="570" t="s">
        <v>3</v>
      </c>
      <c r="D6" s="429"/>
      <c r="E6" s="16"/>
      <c r="F6" s="570" t="s">
        <v>4</v>
      </c>
      <c r="G6" s="429"/>
    </row>
    <row r="7" spans="1:7" ht="49.5" customHeight="1" thickBot="1" x14ac:dyDescent="0.3">
      <c r="A7" s="562"/>
      <c r="B7" s="425"/>
      <c r="C7" s="17" t="s">
        <v>34</v>
      </c>
      <c r="D7" s="19" t="s">
        <v>136</v>
      </c>
      <c r="E7" s="20"/>
      <c r="F7" s="17" t="s">
        <v>34</v>
      </c>
      <c r="G7" s="19" t="s">
        <v>138</v>
      </c>
    </row>
    <row r="8" spans="1:7" ht="16.5" customHeight="1" x14ac:dyDescent="0.25">
      <c r="A8" s="223" t="s">
        <v>151</v>
      </c>
      <c r="B8" s="224">
        <v>100618965</v>
      </c>
      <c r="C8" s="65">
        <v>102128250</v>
      </c>
      <c r="D8" s="252">
        <f t="shared" ref="D8:D16" si="0">(C8-$B8)/$B8</f>
        <v>1.5000005217704237E-2</v>
      </c>
      <c r="E8" s="20"/>
      <c r="F8" s="65">
        <v>103271684</v>
      </c>
      <c r="G8" s="252">
        <f t="shared" ref="G8:G16" si="1">(F8-$B8)/$B8</f>
        <v>2.6364006030075941E-2</v>
      </c>
    </row>
    <row r="9" spans="1:7" x14ac:dyDescent="0.25">
      <c r="A9" s="227" t="s">
        <v>152</v>
      </c>
      <c r="B9" s="64">
        <v>2190113</v>
      </c>
      <c r="C9" s="65">
        <v>2222965</v>
      </c>
      <c r="D9" s="252">
        <f t="shared" si="0"/>
        <v>1.5000139262220717E-2</v>
      </c>
      <c r="E9" s="20"/>
      <c r="F9" s="65">
        <v>2247853</v>
      </c>
      <c r="G9" s="252">
        <f t="shared" si="1"/>
        <v>2.6363936472684285E-2</v>
      </c>
    </row>
    <row r="10" spans="1:7" ht="16.5" customHeight="1" x14ac:dyDescent="0.25">
      <c r="A10" s="227" t="s">
        <v>153</v>
      </c>
      <c r="B10" s="64">
        <v>1968475</v>
      </c>
      <c r="C10" s="65">
        <v>1998002</v>
      </c>
      <c r="D10" s="252">
        <f t="shared" si="0"/>
        <v>1.4999936499066537E-2</v>
      </c>
      <c r="E10" s="20"/>
      <c r="F10" s="65">
        <v>2020372</v>
      </c>
      <c r="G10" s="252">
        <f t="shared" si="1"/>
        <v>2.636406355173421E-2</v>
      </c>
    </row>
    <row r="11" spans="1:7" ht="16.5" customHeight="1" x14ac:dyDescent="0.25">
      <c r="A11" s="227" t="s">
        <v>154</v>
      </c>
      <c r="B11" s="64">
        <v>2633229</v>
      </c>
      <c r="C11" s="65">
        <v>2672727</v>
      </c>
      <c r="D11" s="252">
        <f t="shared" si="0"/>
        <v>1.4999834803581458E-2</v>
      </c>
      <c r="E11" s="20"/>
      <c r="F11" s="65">
        <v>2702651</v>
      </c>
      <c r="G11" s="252">
        <f t="shared" si="1"/>
        <v>2.6363829351719884E-2</v>
      </c>
    </row>
    <row r="12" spans="1:7" ht="16.5" customHeight="1" x14ac:dyDescent="0.25">
      <c r="A12" s="227" t="s">
        <v>155</v>
      </c>
      <c r="B12" s="64">
        <v>2380471</v>
      </c>
      <c r="C12" s="65">
        <v>2416178</v>
      </c>
      <c r="D12" s="252">
        <f t="shared" si="0"/>
        <v>1.499997269447937E-2</v>
      </c>
      <c r="E12" s="20"/>
      <c r="F12" s="65">
        <v>2443230</v>
      </c>
      <c r="G12" s="252">
        <f t="shared" si="1"/>
        <v>2.6364110295819608E-2</v>
      </c>
    </row>
    <row r="13" spans="1:7" ht="16.5" customHeight="1" x14ac:dyDescent="0.25">
      <c r="A13" s="227" t="s">
        <v>156</v>
      </c>
      <c r="B13" s="64">
        <v>2392197</v>
      </c>
      <c r="C13" s="65">
        <v>2428080</v>
      </c>
      <c r="D13" s="252">
        <f t="shared" si="0"/>
        <v>1.5000018811159784E-2</v>
      </c>
      <c r="E13" s="20"/>
      <c r="F13" s="65">
        <v>2455265</v>
      </c>
      <c r="G13" s="252">
        <f t="shared" si="1"/>
        <v>2.6364049449104737E-2</v>
      </c>
    </row>
    <row r="14" spans="1:7" x14ac:dyDescent="0.25">
      <c r="A14" s="227" t="s">
        <v>157</v>
      </c>
      <c r="B14" s="64">
        <v>2059253</v>
      </c>
      <c r="C14" s="65">
        <v>2090142</v>
      </c>
      <c r="D14" s="252">
        <f t="shared" si="0"/>
        <v>1.5000099550662303E-2</v>
      </c>
      <c r="E14" s="20"/>
      <c r="F14" s="65">
        <v>2113543</v>
      </c>
      <c r="G14" s="252">
        <f t="shared" si="1"/>
        <v>2.6363929055827524E-2</v>
      </c>
    </row>
    <row r="15" spans="1:7" ht="15.75" customHeight="1" thickBot="1" x14ac:dyDescent="0.3">
      <c r="A15" s="227" t="s">
        <v>158</v>
      </c>
      <c r="B15" s="64">
        <v>2106016</v>
      </c>
      <c r="C15" s="65">
        <v>2137606</v>
      </c>
      <c r="D15" s="252">
        <f t="shared" si="0"/>
        <v>1.4999886040751828E-2</v>
      </c>
      <c r="E15" s="20"/>
      <c r="F15" s="65">
        <v>2161539</v>
      </c>
      <c r="G15" s="252">
        <f t="shared" si="1"/>
        <v>2.6363997234588911E-2</v>
      </c>
    </row>
    <row r="16" spans="1:7" ht="15.75" customHeight="1" thickBot="1" x14ac:dyDescent="0.3">
      <c r="A16" s="244" t="s">
        <v>47</v>
      </c>
      <c r="B16" s="246">
        <f>SUM(B8:B15)</f>
        <v>116348719</v>
      </c>
      <c r="C16" s="249">
        <f>SUM(C8:C15)</f>
        <v>118093950</v>
      </c>
      <c r="D16" s="253">
        <f t="shared" si="0"/>
        <v>1.5000001847893144E-2</v>
      </c>
      <c r="E16" s="72"/>
      <c r="F16" s="249">
        <f>SUM(F8:F15)</f>
        <v>119416137</v>
      </c>
      <c r="G16" s="253">
        <f t="shared" si="1"/>
        <v>2.6364003199725816E-2</v>
      </c>
    </row>
    <row r="18" spans="1:7" ht="15.75" customHeight="1" x14ac:dyDescent="0.25">
      <c r="A18" s="14"/>
      <c r="B18"/>
      <c r="C18"/>
      <c r="D18"/>
      <c r="E18"/>
      <c r="F18"/>
      <c r="G18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3" t="s">
        <v>159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160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26"/>
      <c r="B6" s="592" t="s">
        <v>161</v>
      </c>
      <c r="C6" s="594" t="s">
        <v>162</v>
      </c>
      <c r="D6" s="595"/>
      <c r="E6" s="596"/>
      <c r="F6" s="597" t="s">
        <v>3</v>
      </c>
      <c r="G6" s="598"/>
      <c r="H6" s="598"/>
      <c r="I6" s="586"/>
      <c r="J6" s="255"/>
      <c r="K6" s="597" t="s">
        <v>4</v>
      </c>
      <c r="L6" s="598"/>
      <c r="M6" s="598"/>
      <c r="N6" s="586"/>
    </row>
    <row r="7" spans="1:14" ht="48" customHeight="1" thickBot="1" x14ac:dyDescent="0.3">
      <c r="A7" s="562"/>
      <c r="B7" s="593"/>
      <c r="C7" s="256" t="s">
        <v>163</v>
      </c>
      <c r="D7" s="257" t="s">
        <v>164</v>
      </c>
      <c r="E7" s="254" t="s">
        <v>165</v>
      </c>
      <c r="F7" s="17" t="s">
        <v>163</v>
      </c>
      <c r="G7" s="18" t="s">
        <v>164</v>
      </c>
      <c r="H7" s="18" t="s">
        <v>165</v>
      </c>
      <c r="I7" s="258" t="s">
        <v>136</v>
      </c>
      <c r="J7" s="259"/>
      <c r="K7" s="17" t="s">
        <v>163</v>
      </c>
      <c r="L7" s="18" t="s">
        <v>164</v>
      </c>
      <c r="M7" s="18" t="s">
        <v>165</v>
      </c>
      <c r="N7" s="258" t="s">
        <v>138</v>
      </c>
    </row>
    <row r="8" spans="1:14" x14ac:dyDescent="0.25">
      <c r="A8" s="223" t="s">
        <v>50</v>
      </c>
      <c r="B8" s="260">
        <v>21900</v>
      </c>
      <c r="C8" s="67">
        <v>195914559</v>
      </c>
      <c r="D8" s="150">
        <v>0</v>
      </c>
      <c r="E8" s="226">
        <f t="shared" ref="E8:E15" si="0">ROUND(SUM(C8,D8)/$B8, 0)</f>
        <v>8946</v>
      </c>
      <c r="F8" s="67">
        <v>198932858</v>
      </c>
      <c r="G8" s="150">
        <v>0</v>
      </c>
      <c r="H8" s="150">
        <f t="shared" ref="H8:H15" si="1">ROUND(SUM(F8,G8)/$B8, 0)</f>
        <v>9084</v>
      </c>
      <c r="I8" s="151">
        <f t="shared" ref="I8:I15" si="2">(H8-$E8)/$E8</f>
        <v>1.5425888665325285E-2</v>
      </c>
      <c r="J8" s="261"/>
      <c r="K8" s="67">
        <v>201160381</v>
      </c>
      <c r="L8" s="150">
        <v>0</v>
      </c>
      <c r="M8" s="150">
        <f t="shared" ref="M8:M15" si="3">ROUND(SUM(K8,L8)/$B8, 0)</f>
        <v>9185</v>
      </c>
      <c r="N8" s="151">
        <f t="shared" ref="N8:N15" si="4">(M8-$E8)/$E8</f>
        <v>2.6715850659512631E-2</v>
      </c>
    </row>
    <row r="9" spans="1:14" x14ac:dyDescent="0.25">
      <c r="A9" s="227" t="s">
        <v>55</v>
      </c>
      <c r="B9" s="260">
        <v>2185</v>
      </c>
      <c r="C9" s="67">
        <v>10294119</v>
      </c>
      <c r="D9" s="150">
        <v>0</v>
      </c>
      <c r="E9" s="226">
        <f t="shared" si="0"/>
        <v>4711</v>
      </c>
      <c r="F9" s="67">
        <v>11582851</v>
      </c>
      <c r="G9" s="150">
        <v>0</v>
      </c>
      <c r="H9" s="150">
        <f t="shared" si="1"/>
        <v>5301</v>
      </c>
      <c r="I9" s="151">
        <f t="shared" si="2"/>
        <v>0.12523880280195288</v>
      </c>
      <c r="J9" s="261"/>
      <c r="K9" s="67">
        <v>11712584</v>
      </c>
      <c r="L9" s="150">
        <v>0</v>
      </c>
      <c r="M9" s="150">
        <f t="shared" si="3"/>
        <v>5360</v>
      </c>
      <c r="N9" s="151">
        <f t="shared" si="4"/>
        <v>0.13776268308214817</v>
      </c>
    </row>
    <row r="10" spans="1:14" x14ac:dyDescent="0.25">
      <c r="A10" s="227" t="s">
        <v>56</v>
      </c>
      <c r="B10" s="260">
        <v>2423</v>
      </c>
      <c r="C10" s="67">
        <v>12652971</v>
      </c>
      <c r="D10" s="150">
        <v>0</v>
      </c>
      <c r="E10" s="226">
        <f t="shared" si="0"/>
        <v>5222</v>
      </c>
      <c r="F10" s="67">
        <v>13876602</v>
      </c>
      <c r="G10" s="150">
        <v>0</v>
      </c>
      <c r="H10" s="150">
        <f t="shared" si="1"/>
        <v>5727</v>
      </c>
      <c r="I10" s="151">
        <f t="shared" si="2"/>
        <v>9.6706242818843352E-2</v>
      </c>
      <c r="J10" s="261"/>
      <c r="K10" s="67">
        <v>14031986</v>
      </c>
      <c r="L10" s="150">
        <v>0</v>
      </c>
      <c r="M10" s="150">
        <f t="shared" si="3"/>
        <v>5791</v>
      </c>
      <c r="N10" s="151">
        <f t="shared" si="4"/>
        <v>0.10896208349291459</v>
      </c>
    </row>
    <row r="11" spans="1:14" x14ac:dyDescent="0.25">
      <c r="A11" s="227" t="s">
        <v>57</v>
      </c>
      <c r="B11" s="260">
        <v>3841</v>
      </c>
      <c r="C11" s="67">
        <v>17519911</v>
      </c>
      <c r="D11" s="150">
        <v>0</v>
      </c>
      <c r="E11" s="226">
        <f t="shared" si="0"/>
        <v>4561</v>
      </c>
      <c r="F11" s="67">
        <v>17463366</v>
      </c>
      <c r="G11" s="150">
        <v>0</v>
      </c>
      <c r="H11" s="150">
        <f t="shared" si="1"/>
        <v>4547</v>
      </c>
      <c r="I11" s="151">
        <f t="shared" si="2"/>
        <v>-3.0695023021267264E-3</v>
      </c>
      <c r="J11" s="261"/>
      <c r="K11" s="67">
        <v>17658919</v>
      </c>
      <c r="L11" s="150">
        <v>0</v>
      </c>
      <c r="M11" s="150">
        <f t="shared" si="3"/>
        <v>4597</v>
      </c>
      <c r="N11" s="151">
        <f t="shared" si="4"/>
        <v>7.8930059197544391E-3</v>
      </c>
    </row>
    <row r="12" spans="1:14" x14ac:dyDescent="0.25">
      <c r="A12" s="227" t="s">
        <v>58</v>
      </c>
      <c r="B12" s="260">
        <v>21526</v>
      </c>
      <c r="C12" s="67">
        <v>102523274</v>
      </c>
      <c r="D12" s="150">
        <v>0</v>
      </c>
      <c r="E12" s="226">
        <f t="shared" si="0"/>
        <v>4763</v>
      </c>
      <c r="F12" s="67">
        <v>104836193</v>
      </c>
      <c r="G12" s="150">
        <v>0</v>
      </c>
      <c r="H12" s="150">
        <f t="shared" si="1"/>
        <v>4870</v>
      </c>
      <c r="I12" s="151">
        <f t="shared" si="2"/>
        <v>2.2464833088389671E-2</v>
      </c>
      <c r="J12" s="261"/>
      <c r="K12" s="67">
        <v>106010155</v>
      </c>
      <c r="L12" s="150">
        <v>0</v>
      </c>
      <c r="M12" s="150">
        <f t="shared" si="3"/>
        <v>4925</v>
      </c>
      <c r="N12" s="151">
        <f t="shared" si="4"/>
        <v>3.4012177199244174E-2</v>
      </c>
    </row>
    <row r="13" spans="1:14" x14ac:dyDescent="0.25">
      <c r="A13" s="227" t="s">
        <v>59</v>
      </c>
      <c r="B13" s="260">
        <v>4508</v>
      </c>
      <c r="C13" s="67">
        <v>23001758</v>
      </c>
      <c r="D13" s="150">
        <v>0</v>
      </c>
      <c r="E13" s="226">
        <f t="shared" si="0"/>
        <v>5102</v>
      </c>
      <c r="F13" s="67">
        <v>23748637</v>
      </c>
      <c r="G13" s="150">
        <v>0</v>
      </c>
      <c r="H13" s="150">
        <f t="shared" si="1"/>
        <v>5268</v>
      </c>
      <c r="I13" s="151">
        <f t="shared" si="2"/>
        <v>3.2536260290082324E-2</v>
      </c>
      <c r="J13" s="261"/>
      <c r="K13" s="67">
        <v>24014598</v>
      </c>
      <c r="L13" s="150">
        <v>0</v>
      </c>
      <c r="M13" s="150">
        <f t="shared" si="3"/>
        <v>5327</v>
      </c>
      <c r="N13" s="151">
        <f t="shared" si="4"/>
        <v>4.4100352802822422E-2</v>
      </c>
    </row>
    <row r="14" spans="1:14" ht="15.75" customHeight="1" thickBot="1" x14ac:dyDescent="0.3">
      <c r="A14" s="227" t="s">
        <v>60</v>
      </c>
      <c r="B14" s="260">
        <v>3247</v>
      </c>
      <c r="C14" s="67">
        <v>19450392</v>
      </c>
      <c r="D14" s="150">
        <v>0</v>
      </c>
      <c r="E14" s="226">
        <f t="shared" si="0"/>
        <v>5990</v>
      </c>
      <c r="F14" s="67">
        <v>19953286</v>
      </c>
      <c r="G14" s="150">
        <v>0</v>
      </c>
      <c r="H14" s="150">
        <f t="shared" si="1"/>
        <v>6145</v>
      </c>
      <c r="I14" s="151">
        <f t="shared" si="2"/>
        <v>2.5876460767946578E-2</v>
      </c>
      <c r="J14" s="261"/>
      <c r="K14" s="67">
        <v>20176723</v>
      </c>
      <c r="L14" s="150">
        <v>0</v>
      </c>
      <c r="M14" s="150">
        <f t="shared" si="3"/>
        <v>6214</v>
      </c>
      <c r="N14" s="151">
        <f t="shared" si="4"/>
        <v>3.7395659432387311E-2</v>
      </c>
    </row>
    <row r="15" spans="1:14" ht="15.75" customHeight="1" thickTop="1" x14ac:dyDescent="0.25">
      <c r="A15" s="228" t="s">
        <v>126</v>
      </c>
      <c r="B15" s="262">
        <f>SUM(B8:B14)</f>
        <v>59630</v>
      </c>
      <c r="C15" s="230">
        <f>SUM(C8:C14)</f>
        <v>381356984</v>
      </c>
      <c r="D15" s="232">
        <f>SUM(D8:D14)</f>
        <v>0</v>
      </c>
      <c r="E15" s="263">
        <f t="shared" si="0"/>
        <v>6395</v>
      </c>
      <c r="F15" s="230">
        <f>SUM(F8:F14)</f>
        <v>390393793</v>
      </c>
      <c r="G15" s="232">
        <f>SUM(G8:G14)</f>
        <v>0</v>
      </c>
      <c r="H15" s="232">
        <f t="shared" si="1"/>
        <v>6547</v>
      </c>
      <c r="I15" s="234">
        <f t="shared" si="2"/>
        <v>2.3768569194683346E-2</v>
      </c>
      <c r="J15" s="264"/>
      <c r="K15" s="230">
        <f>SUM(K8:K14)</f>
        <v>394765346</v>
      </c>
      <c r="L15" s="232">
        <f>SUM(L8:L14)</f>
        <v>0</v>
      </c>
      <c r="M15" s="232">
        <f t="shared" si="3"/>
        <v>6620</v>
      </c>
      <c r="N15" s="234">
        <f t="shared" si="4"/>
        <v>3.5183737294761534E-2</v>
      </c>
    </row>
    <row r="16" spans="1:14" x14ac:dyDescent="0.25">
      <c r="A16" s="235"/>
      <c r="B16" s="265"/>
      <c r="C16" s="237"/>
      <c r="D16" s="239"/>
      <c r="E16" s="242"/>
      <c r="F16" s="237"/>
      <c r="G16" s="239"/>
      <c r="H16" s="239"/>
      <c r="I16" s="266"/>
      <c r="J16" s="261"/>
      <c r="K16" s="237"/>
      <c r="L16" s="239"/>
      <c r="M16" s="239"/>
      <c r="N16" s="266"/>
    </row>
    <row r="17" spans="1:14" x14ac:dyDescent="0.25">
      <c r="A17" s="227" t="s">
        <v>66</v>
      </c>
      <c r="B17" s="260">
        <v>18236</v>
      </c>
      <c r="C17" s="67">
        <v>242087025</v>
      </c>
      <c r="D17" s="150">
        <v>-76235683</v>
      </c>
      <c r="E17" s="226">
        <f>ROUND(SUM(C17,D17)/$B17, 0)</f>
        <v>9095</v>
      </c>
      <c r="F17" s="67">
        <v>234698172</v>
      </c>
      <c r="G17" s="150">
        <v>-76235683</v>
      </c>
      <c r="H17" s="150">
        <f>ROUND(SUM(F17,G17)/$B17, 0)</f>
        <v>8690</v>
      </c>
      <c r="I17" s="151">
        <f>(H17-$E17)/$E17</f>
        <v>-4.452996151731721E-2</v>
      </c>
      <c r="J17" s="261"/>
      <c r="K17" s="67">
        <v>237325823</v>
      </c>
      <c r="L17" s="150">
        <v>-76235683</v>
      </c>
      <c r="M17" s="150">
        <f>ROUND(SUM(K17,L17)/$B17, 0)</f>
        <v>8834</v>
      </c>
      <c r="N17" s="151">
        <f>(M17-$E17)/$E17</f>
        <v>-2.8697086311159976E-2</v>
      </c>
    </row>
    <row r="18" spans="1:14" x14ac:dyDescent="0.25">
      <c r="A18" s="227" t="s">
        <v>67</v>
      </c>
      <c r="B18" s="260">
        <v>8276</v>
      </c>
      <c r="C18" s="67">
        <v>42234228</v>
      </c>
      <c r="D18" s="150">
        <v>0</v>
      </c>
      <c r="E18" s="226">
        <f>ROUND(SUM(C18,D18)/$B18, 0)</f>
        <v>5103</v>
      </c>
      <c r="F18" s="67">
        <v>43723125</v>
      </c>
      <c r="G18" s="150">
        <v>0</v>
      </c>
      <c r="H18" s="150">
        <f>ROUND(SUM(F18,G18)/$B18, 0)</f>
        <v>5283</v>
      </c>
      <c r="I18" s="151">
        <f>(H18-$E18)/$E18</f>
        <v>3.5273368606701938E-2</v>
      </c>
      <c r="J18" s="261"/>
      <c r="K18" s="67">
        <v>44212742</v>
      </c>
      <c r="L18" s="150">
        <v>0</v>
      </c>
      <c r="M18" s="150">
        <f>ROUND(SUM(K18,L18)/$B18, 0)</f>
        <v>5342</v>
      </c>
      <c r="N18" s="151">
        <f>(M18-$E18)/$E18</f>
        <v>4.6835194983343133E-2</v>
      </c>
    </row>
    <row r="19" spans="1:14" ht="15.75" customHeight="1" thickBot="1" x14ac:dyDescent="0.3">
      <c r="A19" s="227" t="s">
        <v>68</v>
      </c>
      <c r="B19" s="260">
        <v>7302</v>
      </c>
      <c r="C19" s="67">
        <v>41810093</v>
      </c>
      <c r="D19" s="150">
        <v>0</v>
      </c>
      <c r="E19" s="226">
        <f>ROUND(SUM(C19,D19)/$B19, 0)</f>
        <v>5726</v>
      </c>
      <c r="F19" s="67">
        <v>42206513</v>
      </c>
      <c r="G19" s="150">
        <v>0</v>
      </c>
      <c r="H19" s="150">
        <f>ROUND(SUM(F19,G19)/$B19, 0)</f>
        <v>5780</v>
      </c>
      <c r="I19" s="151">
        <f>(H19-$E19)/$E19</f>
        <v>9.4306671323786239E-3</v>
      </c>
      <c r="J19" s="261"/>
      <c r="K19" s="67">
        <v>42679133</v>
      </c>
      <c r="L19" s="150">
        <v>0</v>
      </c>
      <c r="M19" s="150">
        <f>ROUND(SUM(K19,L19)/$B19, 0)</f>
        <v>5845</v>
      </c>
      <c r="N19" s="151">
        <f>(M19-$E19)/$E19</f>
        <v>2.0782396088019559E-2</v>
      </c>
    </row>
    <row r="20" spans="1:14" ht="15.75" customHeight="1" thickTop="1" x14ac:dyDescent="0.25">
      <c r="A20" s="228" t="s">
        <v>127</v>
      </c>
      <c r="B20" s="262">
        <f>SUM(B17:B19)</f>
        <v>33814</v>
      </c>
      <c r="C20" s="230">
        <f>SUM(C17:C19)</f>
        <v>326131346</v>
      </c>
      <c r="D20" s="232">
        <f>SUM(D17:D19)</f>
        <v>-76235683</v>
      </c>
      <c r="E20" s="263">
        <f>ROUND(SUM(C20,D20)/$B20, 0)</f>
        <v>7390</v>
      </c>
      <c r="F20" s="230">
        <f>SUM(F17:F19)</f>
        <v>320627810</v>
      </c>
      <c r="G20" s="232">
        <f>SUM(G17:G19)</f>
        <v>-76235683</v>
      </c>
      <c r="H20" s="232">
        <f>ROUND(SUM(F20,G20)/$B20, 0)</f>
        <v>7228</v>
      </c>
      <c r="I20" s="234">
        <f>(H20-$E20)/$E20</f>
        <v>-2.1921515561569689E-2</v>
      </c>
      <c r="J20" s="264"/>
      <c r="K20" s="230">
        <f>SUM(K17:K19)</f>
        <v>324217698</v>
      </c>
      <c r="L20" s="232">
        <f>SUM(L17:L19)</f>
        <v>-76235683</v>
      </c>
      <c r="M20" s="232">
        <f>ROUND(SUM(K20,L20)/$B20, 0)</f>
        <v>7334</v>
      </c>
      <c r="N20" s="234">
        <f>(M20-$E20)/$E20</f>
        <v>-7.5778078484438427E-3</v>
      </c>
    </row>
    <row r="21" spans="1:14" x14ac:dyDescent="0.25">
      <c r="A21" s="235"/>
      <c r="B21" s="265"/>
      <c r="C21" s="237"/>
      <c r="D21" s="239"/>
      <c r="E21" s="242"/>
      <c r="F21" s="237"/>
      <c r="G21" s="239"/>
      <c r="H21" s="239"/>
      <c r="I21" s="266"/>
      <c r="J21" s="261"/>
      <c r="K21" s="237"/>
      <c r="L21" s="239"/>
      <c r="M21" s="239"/>
      <c r="N21" s="266"/>
    </row>
    <row r="22" spans="1:14" x14ac:dyDescent="0.25">
      <c r="A22" s="227" t="s">
        <v>72</v>
      </c>
      <c r="B22" s="260">
        <v>15546</v>
      </c>
      <c r="C22" s="67">
        <v>126221115</v>
      </c>
      <c r="D22" s="150">
        <v>0</v>
      </c>
      <c r="E22" s="226">
        <f t="shared" ref="E22:E27" si="5">ROUND(SUM(C22,D22)/$B22, 0)</f>
        <v>8119</v>
      </c>
      <c r="F22" s="67">
        <v>131228661</v>
      </c>
      <c r="G22" s="150">
        <v>0</v>
      </c>
      <c r="H22" s="150">
        <f t="shared" ref="H22:H27" si="6">ROUND(SUM(F22,G22)/$B22, 0)</f>
        <v>8441</v>
      </c>
      <c r="I22" s="151">
        <f t="shared" ref="I22:I27" si="7">(H22-$E22)/$E22</f>
        <v>3.9660056657223795E-2</v>
      </c>
      <c r="J22" s="261"/>
      <c r="K22" s="67">
        <v>132698130</v>
      </c>
      <c r="L22" s="150">
        <v>0</v>
      </c>
      <c r="M22" s="150">
        <f t="shared" ref="M22:M27" si="8">ROUND(SUM(K22,L22)/$B22, 0)</f>
        <v>8536</v>
      </c>
      <c r="N22" s="151">
        <f t="shared" ref="N22:N27" si="9">(M22-$E22)/$E22</f>
        <v>5.1361005049882988E-2</v>
      </c>
    </row>
    <row r="23" spans="1:14" x14ac:dyDescent="0.25">
      <c r="A23" s="227" t="s">
        <v>73</v>
      </c>
      <c r="B23" s="260">
        <v>9160</v>
      </c>
      <c r="C23" s="67">
        <v>65929201</v>
      </c>
      <c r="D23" s="150">
        <v>0</v>
      </c>
      <c r="E23" s="226">
        <f t="shared" si="5"/>
        <v>7198</v>
      </c>
      <c r="F23" s="67">
        <v>64933548</v>
      </c>
      <c r="G23" s="150">
        <v>0</v>
      </c>
      <c r="H23" s="150">
        <f t="shared" si="6"/>
        <v>7089</v>
      </c>
      <c r="I23" s="151">
        <f t="shared" si="7"/>
        <v>-1.514309530425118E-2</v>
      </c>
      <c r="J23" s="261"/>
      <c r="K23" s="67">
        <v>65660508</v>
      </c>
      <c r="L23" s="150">
        <v>0</v>
      </c>
      <c r="M23" s="150">
        <f t="shared" si="8"/>
        <v>7168</v>
      </c>
      <c r="N23" s="151">
        <f t="shared" si="9"/>
        <v>-4.1678243956654627E-3</v>
      </c>
    </row>
    <row r="24" spans="1:14" x14ac:dyDescent="0.25">
      <c r="A24" s="227" t="s">
        <v>74</v>
      </c>
      <c r="B24" s="260">
        <v>6969</v>
      </c>
      <c r="C24" s="67">
        <v>44858559</v>
      </c>
      <c r="D24" s="150">
        <v>0</v>
      </c>
      <c r="E24" s="226">
        <f t="shared" si="5"/>
        <v>6437</v>
      </c>
      <c r="F24" s="67">
        <v>44837199</v>
      </c>
      <c r="G24" s="150">
        <v>0</v>
      </c>
      <c r="H24" s="150">
        <f t="shared" si="6"/>
        <v>6434</v>
      </c>
      <c r="I24" s="151">
        <f t="shared" si="7"/>
        <v>-4.6605561597017243E-4</v>
      </c>
      <c r="J24" s="261"/>
      <c r="K24" s="67">
        <v>45339235</v>
      </c>
      <c r="L24" s="150">
        <v>0</v>
      </c>
      <c r="M24" s="150">
        <f t="shared" si="8"/>
        <v>6506</v>
      </c>
      <c r="N24" s="151">
        <f t="shared" si="9"/>
        <v>1.0719279167313966E-2</v>
      </c>
    </row>
    <row r="25" spans="1:14" x14ac:dyDescent="0.25">
      <c r="A25" s="227" t="s">
        <v>75</v>
      </c>
      <c r="B25" s="260">
        <v>5991</v>
      </c>
      <c r="C25" s="67">
        <v>39683252</v>
      </c>
      <c r="D25" s="150">
        <v>0</v>
      </c>
      <c r="E25" s="226">
        <f t="shared" si="5"/>
        <v>6624</v>
      </c>
      <c r="F25" s="67">
        <v>40716413</v>
      </c>
      <c r="G25" s="150">
        <v>0</v>
      </c>
      <c r="H25" s="150">
        <f t="shared" si="6"/>
        <v>6796</v>
      </c>
      <c r="I25" s="151">
        <f t="shared" si="7"/>
        <v>2.5966183574879228E-2</v>
      </c>
      <c r="J25" s="261"/>
      <c r="K25" s="67">
        <v>41172256</v>
      </c>
      <c r="L25" s="150">
        <v>0</v>
      </c>
      <c r="M25" s="150">
        <f t="shared" si="8"/>
        <v>6872</v>
      </c>
      <c r="N25" s="151">
        <f t="shared" si="9"/>
        <v>3.7439613526570048E-2</v>
      </c>
    </row>
    <row r="26" spans="1:14" ht="15.75" customHeight="1" thickBot="1" x14ac:dyDescent="0.3">
      <c r="A26" s="227" t="s">
        <v>76</v>
      </c>
      <c r="B26" s="260">
        <v>47638</v>
      </c>
      <c r="C26" s="67">
        <v>216256680</v>
      </c>
      <c r="D26" s="150">
        <v>0</v>
      </c>
      <c r="E26" s="226">
        <f t="shared" si="5"/>
        <v>4540</v>
      </c>
      <c r="F26" s="67">
        <v>225705691</v>
      </c>
      <c r="G26" s="150">
        <v>0</v>
      </c>
      <c r="H26" s="150">
        <f t="shared" si="6"/>
        <v>4738</v>
      </c>
      <c r="I26" s="151">
        <f t="shared" si="7"/>
        <v>4.3612334801762118E-2</v>
      </c>
      <c r="J26" s="261"/>
      <c r="K26" s="67">
        <v>228232189</v>
      </c>
      <c r="L26" s="150">
        <v>0</v>
      </c>
      <c r="M26" s="150">
        <f t="shared" si="8"/>
        <v>4791</v>
      </c>
      <c r="N26" s="151">
        <f t="shared" si="9"/>
        <v>5.5286343612334803E-2</v>
      </c>
    </row>
    <row r="27" spans="1:14" ht="15.75" customHeight="1" thickBot="1" x14ac:dyDescent="0.3">
      <c r="A27" s="244" t="s">
        <v>47</v>
      </c>
      <c r="B27" s="267">
        <f>SUM(B15,B20,B22:B26)</f>
        <v>178748</v>
      </c>
      <c r="C27" s="103">
        <f>SUM(C15,C20,C22:C26)</f>
        <v>1200437137</v>
      </c>
      <c r="D27" s="248">
        <f>SUM(D15,D20,D22:D26)</f>
        <v>-76235683</v>
      </c>
      <c r="E27" s="247">
        <f t="shared" si="5"/>
        <v>6289</v>
      </c>
      <c r="F27" s="103">
        <f>SUM(F15,F20,F22:F26)</f>
        <v>1218443115</v>
      </c>
      <c r="G27" s="248">
        <f>SUM(G15,G20,G22:G26)</f>
        <v>-76235683</v>
      </c>
      <c r="H27" s="248">
        <f t="shared" si="6"/>
        <v>6390</v>
      </c>
      <c r="I27" s="268">
        <f t="shared" si="7"/>
        <v>1.6059786929559547E-2</v>
      </c>
      <c r="J27" s="269"/>
      <c r="K27" s="103">
        <f>SUM(K15,K20,K22:K26)</f>
        <v>1232085362</v>
      </c>
      <c r="L27" s="248">
        <f>SUM(L15,L20,L22:L26)</f>
        <v>-76235683</v>
      </c>
      <c r="M27" s="248">
        <f t="shared" si="8"/>
        <v>6466</v>
      </c>
      <c r="N27" s="268">
        <f t="shared" si="9"/>
        <v>2.8144379074574653E-2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2017-04-28T16:40:24Z</dcterms:modified>
</cp:coreProperties>
</file>