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ingov.sharepoint.com/sites/IDEMOAQ/ctap_models/Calculations/"/>
    </mc:Choice>
  </mc:AlternateContent>
  <xr:revisionPtr revIDLastSave="0" documentId="13_ncr:1_{22F4E869-ED5A-4332-AC76-2F9793689DDA}" xr6:coauthVersionLast="47" xr6:coauthVersionMax="47" xr10:uidLastSave="{00000000-0000-0000-0000-000000000000}"/>
  <bookViews>
    <workbookView xWindow="-24120" yWindow="-120" windowWidth="24240" windowHeight="17640" xr2:uid="{00000000-000D-0000-FFFF-FFFF00000000}"/>
  </bookViews>
  <sheets>
    <sheet name="Diesel - hp" sheetId="2" r:id="rId1"/>
    <sheet name="Diesel - MMBtu" sheetId="1" r:id="rId2"/>
  </sheets>
  <definedNames>
    <definedName name="_xlnm.Print_Area" localSheetId="0">'Diesel - hp'!$A$1:$J$63</definedName>
    <definedName name="_xlnm.Print_Area" localSheetId="1">'Diesel - MMBtu'!$A$1:$J$62</definedName>
    <definedName name="_xlnm.Print_Area">'Diesel - MMBtu'!$A$1:$H$62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D52" i="2"/>
  <c r="J36" i="2"/>
  <c r="I36" i="2"/>
  <c r="H36" i="2"/>
  <c r="G36" i="2"/>
  <c r="F36" i="2"/>
  <c r="E36" i="2"/>
  <c r="D36" i="2"/>
  <c r="C36" i="2"/>
  <c r="H27" i="2"/>
  <c r="D23" i="2"/>
  <c r="G28" i="2" s="1"/>
  <c r="I37" i="2" l="1"/>
  <c r="C28" i="2"/>
  <c r="D37" i="2"/>
  <c r="H37" i="2"/>
  <c r="E28" i="2"/>
  <c r="I28" i="2"/>
  <c r="F37" i="2"/>
  <c r="J37" i="2"/>
  <c r="C53" i="2"/>
  <c r="F28" i="2"/>
  <c r="C37" i="2"/>
  <c r="G37" i="2"/>
  <c r="D53" i="2"/>
  <c r="E53" i="2"/>
  <c r="D28" i="2"/>
  <c r="H28" i="2"/>
  <c r="E37" i="2"/>
  <c r="D51" i="1"/>
  <c r="E51" i="1"/>
  <c r="D23" i="1"/>
  <c r="C36" i="1"/>
  <c r="D36" i="1"/>
  <c r="E36" i="1"/>
  <c r="F36" i="1"/>
  <c r="G36" i="1"/>
  <c r="H36" i="1"/>
  <c r="I36" i="1"/>
  <c r="J36" i="1"/>
  <c r="E52" i="1" l="1"/>
  <c r="J55" i="2"/>
  <c r="J56" i="2"/>
  <c r="J41" i="2"/>
  <c r="H37" i="1"/>
  <c r="D52" i="1"/>
  <c r="D37" i="1"/>
  <c r="J37" i="1"/>
  <c r="I28" i="1"/>
  <c r="F28" i="1"/>
  <c r="F37" i="1"/>
  <c r="C28" i="1"/>
  <c r="C52" i="1"/>
  <c r="D28" i="1"/>
  <c r="E28" i="1"/>
  <c r="I37" i="1"/>
  <c r="G37" i="1"/>
  <c r="E37" i="1"/>
  <c r="C37" i="1"/>
  <c r="H28" i="1"/>
  <c r="G28" i="1"/>
  <c r="J55" i="1" l="1"/>
  <c r="J54" i="1"/>
  <c r="J40" i="1"/>
</calcChain>
</file>

<file path=xl/sharedStrings.xml><?xml version="1.0" encoding="utf-8"?>
<sst xmlns="http://schemas.openxmlformats.org/spreadsheetml/2006/main" count="113" uniqueCount="57">
  <si>
    <t>Pollutant</t>
  </si>
  <si>
    <t>PM*</t>
  </si>
  <si>
    <t>PM10*</t>
  </si>
  <si>
    <t>SO2</t>
  </si>
  <si>
    <t>NOx</t>
  </si>
  <si>
    <t>VOC</t>
  </si>
  <si>
    <t>CO</t>
  </si>
  <si>
    <t>Emission Factor in lb/MMBtu</t>
  </si>
  <si>
    <t>Potential Emission in tons/yr</t>
  </si>
  <si>
    <t>Emission Factor in lb/hp-hr</t>
  </si>
  <si>
    <t>Methodology</t>
  </si>
  <si>
    <t>Potential Throughput (MMBtu/yr) = [Heat Input Capacity (MMBtu/hr)] * [Maximum Hours Operated per Year]</t>
  </si>
  <si>
    <t>1,3-Butadiene</t>
  </si>
  <si>
    <t>Acetaldehyde</t>
  </si>
  <si>
    <t>Acrolein</t>
  </si>
  <si>
    <t>Benzene</t>
  </si>
  <si>
    <t>Formaldehyde</t>
  </si>
  <si>
    <t>Toluene</t>
  </si>
  <si>
    <t>Xylene</t>
  </si>
  <si>
    <t>Total PAH</t>
  </si>
  <si>
    <t>Potential Throughput (hp-hr/yr) = [Output Horsepower Rating (hp)] * [Maximum Hours Operated per Year]</t>
  </si>
  <si>
    <t>Potential Emission (tons/yr) = [Potential Throughput (hp-hr/yr)] * [Emission Factor (lb/hp-hr)] / [2,000 lb/ton]</t>
  </si>
  <si>
    <t>Potential Emission (tons/yr) = [Potential Throughput (MMBtu/yr)] * [Emission Factor (lb/MMBtu)] / [2,000 lb/ton]</t>
  </si>
  <si>
    <t>*PM and PM2.5 emission factors are assumed to be equivalent to PM10 emission factors.  No information was given regarding which method was used to determine the factor or the fraction of PM10 which is condensable.</t>
  </si>
  <si>
    <t>Reciprocating Internal Combustion Engines - Diesel Fuel</t>
  </si>
  <si>
    <t>***PAH = Polyaromatic Hydrocarbon  (PAHs are considered HAPs, since they are considered Polycyclic Organic Matter)</t>
  </si>
  <si>
    <t>HAPs***</t>
  </si>
  <si>
    <t>Hazardous Air Pollutants (HAPs)</t>
  </si>
  <si>
    <t>Output Rating (&lt;=600 HP)</t>
  </si>
  <si>
    <t>Emission Factor in lb/hp-hr****</t>
  </si>
  <si>
    <t>****Emission factors in lb/hp-hr were calculated using emission factors in lb/MMBtu and a brake specific fuel consumption of 7,000 Btu / hp-hr (AP-42 Table 3.3-1).</t>
  </si>
  <si>
    <t>Maximum Input Rate (&lt;=4.2 MMBtu/hr)</t>
  </si>
  <si>
    <t>Green House Gas Emissions (GHG)</t>
  </si>
  <si>
    <t>CO2</t>
  </si>
  <si>
    <t>CH4</t>
  </si>
  <si>
    <t>N2O</t>
  </si>
  <si>
    <t>direct PM2.5*</t>
  </si>
  <si>
    <t xml:space="preserve">Potential Emission of Total HAPs (tons/yr)  </t>
  </si>
  <si>
    <t xml:space="preserve">Summed Potential Emissions in tons/yr  </t>
  </si>
  <si>
    <t xml:space="preserve">Heat Input Capacity (MMBtu/hr)  </t>
  </si>
  <si>
    <t xml:space="preserve">Maximum Hours Operated per Year  </t>
  </si>
  <si>
    <t xml:space="preserve">Potential Throughput (MMBtu/yr)  </t>
  </si>
  <si>
    <t xml:space="preserve">Output Horsepower Rating (hp)  </t>
  </si>
  <si>
    <t xml:space="preserve">Potential Throughput (hp-hr/yr)  </t>
  </si>
  <si>
    <t>Global Warming Potentials (GWP) from Table A-1 of 40 CFR Part 98 Subpart A.</t>
  </si>
  <si>
    <t xml:space="preserve">CO2e Total in tons/yr  </t>
  </si>
  <si>
    <t>CO2e (tons/yr) = CO2 Potential Emission ton/yr x CO2 GWP (1) + CH4 Potential Emission ton/yr x CH4 GWP (25) + N2O Potential Emission ton/yr x N2O GWP (298).</t>
  </si>
  <si>
    <t>Emission Factors are from AP 42 (Supplement B 10/96) Tables 3.3-1 and 3.3-2.</t>
  </si>
  <si>
    <t>Greenhouse Gas Emissions (GHG)</t>
  </si>
  <si>
    <t>Emissions calculated based on heat input capacity (MMBtu/hr)</t>
  </si>
  <si>
    <t>Emissions calculated based on output rating (hp)</t>
  </si>
  <si>
    <t>CO2 Emission Factor is from AP42 (Supplement B 10/96), Tables 3.3-1.</t>
  </si>
  <si>
    <t>CH4 and N2O Emission Factors are from 40 CFR 98 Subpart C Table C-2.</t>
  </si>
  <si>
    <t>This calculation is for illustrative purposes only.  The emission factors and other data/methodologies used in these calculations are from US EPA's AP-42 Compilation of Air Pollutant Emission Factors.  The emission factors, data, methodologies, and assumptions used in these calculations may not be representative/appropriate for a given emission unit/activity.  For additional information, please refer to US EPA's AP-42 Compilation of Air Pollutant Emission Factors.</t>
  </si>
  <si>
    <t xml:space="preserve">IDEM OAQ does not guarantee the accuracy of these calculations or the emission factors used.  </t>
  </si>
  <si>
    <t xml:space="preserve">All emission factors and calculations submitted as part of a permit application shall be reviewed by IDEM OAQ Permit Branch for accuracy, completeness, robustness, and appropriateness as part of the permit application review process and a final determination shall be made by the OAQ, Permits Branch.  </t>
  </si>
  <si>
    <t xml:space="preserve">Use a conversion factor of 7,000 Btu/hp-hr to convert from horsepower to Btu/hr, unless the manufacturer provides a specific brake specific fuel consumption (BSFC)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</si>
</sst>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
    <numFmt numFmtId="165" formatCode="0.00_)"/>
    <numFmt numFmtId="166" formatCode="0.0000_)"/>
    <numFmt numFmtId="167" formatCode="0_)"/>
    <numFmt numFmtId="168" formatCode="0.00000_)"/>
  </numFmts>
  <fonts count="13">
    <font>
      <sz val="12"/>
      <name val="Arial MT"/>
    </font>
    <font>
      <sz val="10"/>
      <name val="Arial"/>
      <family val="2"/>
    </font>
    <font>
      <sz val="10"/>
      <name val="Arial"/>
      <family val="2"/>
    </font>
    <font>
      <b/>
      <sz val="12"/>
      <name val="Arial MT"/>
      <family val="2"/>
    </font>
    <font>
      <b/>
      <sz val="10"/>
      <name val="Arial MT"/>
      <family val="2"/>
    </font>
    <font>
      <sz val="10"/>
      <name val="Arial MT"/>
      <family val="2"/>
    </font>
    <font>
      <sz val="10"/>
      <name val="Arial"/>
      <family val="2"/>
    </font>
    <font>
      <sz val="10"/>
      <name val="Arial MT"/>
    </font>
    <font>
      <b/>
      <sz val="10"/>
      <name val="Arial MT"/>
    </font>
    <font>
      <b/>
      <sz val="10"/>
      <color indexed="10"/>
      <name val="Arial"/>
      <family val="2"/>
    </font>
    <font>
      <b/>
      <sz val="10"/>
      <color indexed="10"/>
      <name val="Arial MT"/>
    </font>
    <font>
      <b/>
      <sz val="10"/>
      <name val="Arial"/>
      <family val="2"/>
    </font>
    <font>
      <b/>
      <sz val="10"/>
      <color rgb="FFFF0000"/>
      <name val="Arial MT"/>
    </font>
  </fonts>
  <fills count="3">
    <fill>
      <patternFill patternType="none"/>
    </fill>
    <fill>
      <patternFill patternType="gray125"/>
    </fill>
    <fill>
      <patternFill patternType="solid">
        <fgColor indexed="43"/>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theme="1"/>
      </left>
      <right style="medium">
        <color indexed="64"/>
      </right>
      <top style="medium">
        <color indexed="64"/>
      </top>
      <bottom style="medium">
        <color indexed="64"/>
      </bottom>
      <diagonal/>
    </border>
  </borders>
  <cellStyleXfs count="2">
    <xf numFmtId="0" fontId="0" fillId="0" borderId="0"/>
    <xf numFmtId="0" fontId="1" fillId="0" borderId="0"/>
  </cellStyleXfs>
  <cellXfs count="99">
    <xf numFmtId="0" fontId="0" fillId="0" borderId="0" xfId="0"/>
    <xf numFmtId="164" fontId="5" fillId="2" borderId="1" xfId="0" applyNumberFormat="1" applyFont="1" applyFill="1" applyBorder="1" applyAlignment="1" applyProtection="1">
      <alignment horizontal="center" vertical="center"/>
      <protection locked="0"/>
    </xf>
    <xf numFmtId="167" fontId="5" fillId="2" borderId="1" xfId="0" applyNumberFormat="1" applyFont="1" applyFill="1" applyBorder="1" applyAlignment="1" applyProtection="1">
      <alignment horizontal="center" vertical="center"/>
      <protection locked="0"/>
    </xf>
    <xf numFmtId="0" fontId="11" fillId="0" borderId="0" xfId="0" applyFont="1" applyAlignment="1" applyProtection="1">
      <alignment vertical="center"/>
    </xf>
    <xf numFmtId="0" fontId="1" fillId="0" borderId="0" xfId="0" applyFont="1" applyAlignment="1" applyProtection="1">
      <alignment vertical="center"/>
    </xf>
    <xf numFmtId="0" fontId="11" fillId="0" borderId="0" xfId="0" applyFont="1" applyAlignment="1" applyProtection="1">
      <alignment horizontal="right" vertical="center"/>
    </xf>
    <xf numFmtId="165" fontId="5" fillId="2"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center" wrapText="1"/>
    </xf>
    <xf numFmtId="0" fontId="11" fillId="0" borderId="0" xfId="0" applyFont="1" applyAlignment="1" applyProtection="1">
      <alignment horizontal="left" vertical="center"/>
    </xf>
    <xf numFmtId="0" fontId="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right" vertical="center"/>
      <protection locked="0"/>
    </xf>
    <xf numFmtId="0" fontId="10" fillId="0" borderId="0" xfId="0" applyFont="1" applyFill="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5" fillId="0" borderId="0" xfId="0" applyFont="1" applyFill="1" applyAlignment="1" applyProtection="1">
      <alignment horizontal="right" vertical="center"/>
      <protection locked="0"/>
    </xf>
    <xf numFmtId="0" fontId="9"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3" fontId="5"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Continuous" vertical="center"/>
      <protection locked="0"/>
    </xf>
    <xf numFmtId="0" fontId="5" fillId="0" borderId="3" xfId="0" applyFont="1" applyFill="1" applyBorder="1" applyAlignment="1" applyProtection="1">
      <alignment horizontal="right" vertical="center"/>
      <protection locked="0"/>
    </xf>
    <xf numFmtId="0" fontId="5" fillId="0" borderId="5" xfId="0" applyFont="1" applyFill="1" applyBorder="1" applyAlignment="1" applyProtection="1">
      <alignment horizontal="centerContinuous" vertical="center"/>
      <protection locked="0"/>
    </xf>
    <xf numFmtId="0" fontId="5" fillId="0" borderId="0" xfId="0" applyFont="1" applyFill="1" applyBorder="1" applyAlignment="1" applyProtection="1">
      <alignment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2" xfId="0" applyFont="1" applyFill="1" applyBorder="1" applyAlignment="1" applyProtection="1">
      <alignment vertical="center"/>
      <protection locked="0"/>
    </xf>
    <xf numFmtId="0" fontId="0" fillId="0" borderId="3" xfId="0" applyFill="1" applyBorder="1" applyAlignment="1" applyProtection="1">
      <alignment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165" fontId="5" fillId="0" borderId="15" xfId="0" applyNumberFormat="1" applyFont="1" applyFill="1" applyBorder="1" applyAlignment="1" applyProtection="1">
      <alignment horizontal="center" vertical="center"/>
      <protection locked="0"/>
    </xf>
    <xf numFmtId="165" fontId="5" fillId="0" borderId="27" xfId="0" applyNumberFormat="1" applyFont="1" applyFill="1" applyBorder="1" applyAlignment="1" applyProtection="1">
      <alignment horizontal="center" vertical="center"/>
      <protection locked="0"/>
    </xf>
    <xf numFmtId="165" fontId="5" fillId="0" borderId="21"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vertical="center"/>
      <protection locked="0"/>
    </xf>
    <xf numFmtId="0" fontId="0" fillId="0" borderId="8" xfId="0" applyFill="1" applyBorder="1" applyAlignment="1" applyProtection="1">
      <alignment vertical="center"/>
      <protection locked="0"/>
    </xf>
    <xf numFmtId="165" fontId="5" fillId="0" borderId="12" xfId="0" applyNumberFormat="1" applyFont="1" applyFill="1" applyBorder="1" applyAlignment="1" applyProtection="1">
      <alignment horizontal="center" vertical="center"/>
      <protection locked="0"/>
    </xf>
    <xf numFmtId="165" fontId="5" fillId="0" borderId="18" xfId="0" applyNumberFormat="1" applyFont="1" applyFill="1" applyBorder="1" applyAlignment="1" applyProtection="1">
      <alignment horizontal="center" vertical="center"/>
      <protection locked="0"/>
    </xf>
    <xf numFmtId="165" fontId="5" fillId="0" borderId="19"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164" fontId="5" fillId="0" borderId="0" xfId="0" applyNumberFormat="1" applyFont="1" applyFill="1" applyAlignment="1" applyProtection="1">
      <alignment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Continuous" vertical="center"/>
      <protection locked="0"/>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vertical="center"/>
      <protection locked="0"/>
    </xf>
    <xf numFmtId="0" fontId="0" fillId="0" borderId="26" xfId="0" applyFill="1" applyBorder="1" applyAlignment="1" applyProtection="1">
      <alignment vertical="center"/>
      <protection locked="0"/>
    </xf>
    <xf numFmtId="11" fontId="7" fillId="0" borderId="1" xfId="0" applyNumberFormat="1" applyFont="1" applyFill="1" applyBorder="1" applyAlignment="1" applyProtection="1">
      <alignment horizontal="center" vertical="center"/>
      <protection locked="0"/>
    </xf>
    <xf numFmtId="11" fontId="5" fillId="0" borderId="1" xfId="0"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left"/>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164" fontId="5" fillId="0" borderId="2" xfId="0" applyNumberFormat="1" applyFont="1" applyFill="1" applyBorder="1" applyAlignment="1" applyProtection="1">
      <alignment vertical="center"/>
      <protection locked="0"/>
    </xf>
    <xf numFmtId="164" fontId="5" fillId="0" borderId="3" xfId="0" applyNumberFormat="1" applyFont="1" applyFill="1" applyBorder="1" applyAlignment="1" applyProtection="1">
      <alignment vertical="center"/>
      <protection locked="0"/>
    </xf>
    <xf numFmtId="164" fontId="8" fillId="0" borderId="3" xfId="0" applyNumberFormat="1" applyFont="1" applyFill="1" applyBorder="1" applyAlignment="1" applyProtection="1">
      <alignment vertical="center"/>
      <protection locked="0"/>
    </xf>
    <xf numFmtId="164" fontId="8" fillId="0" borderId="4" xfId="0" applyNumberFormat="1" applyFont="1" applyFill="1" applyBorder="1" applyAlignment="1" applyProtection="1">
      <alignment horizontal="right" vertical="center"/>
      <protection locked="0"/>
    </xf>
    <xf numFmtId="11" fontId="8" fillId="0" borderId="4" xfId="0" applyNumberFormat="1" applyFont="1" applyFill="1" applyBorder="1" applyAlignment="1" applyProtection="1">
      <alignment horizontal="center" vertical="center"/>
      <protection locked="0"/>
    </xf>
    <xf numFmtId="164" fontId="5" fillId="0" borderId="0" xfId="0" applyNumberFormat="1" applyFont="1" applyFill="1" applyBorder="1" applyAlignment="1" applyProtection="1">
      <alignment vertical="center"/>
      <protection locked="0"/>
    </xf>
    <xf numFmtId="164" fontId="8" fillId="0" borderId="0" xfId="0" applyNumberFormat="1" applyFont="1" applyFill="1" applyBorder="1" applyAlignment="1" applyProtection="1">
      <alignment vertical="center"/>
      <protection locked="0"/>
    </xf>
    <xf numFmtId="164" fontId="8" fillId="0" borderId="0" xfId="0" applyNumberFormat="1" applyFont="1" applyFill="1" applyBorder="1" applyAlignment="1" applyProtection="1">
      <alignment horizontal="right" vertical="center"/>
      <protection locked="0"/>
    </xf>
    <xf numFmtId="11" fontId="8" fillId="0" borderId="0" xfId="0" applyNumberFormat="1"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12" fillId="0" borderId="0" xfId="0" applyFont="1" applyFill="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centerContinuous" vertical="center"/>
      <protection locked="0"/>
    </xf>
    <xf numFmtId="0" fontId="7" fillId="0" borderId="0"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11" fontId="7" fillId="0" borderId="28" xfId="0" applyNumberFormat="1" applyFont="1" applyFill="1" applyBorder="1" applyAlignment="1" applyProtection="1">
      <alignment horizontal="center" vertical="center"/>
      <protection locked="0"/>
    </xf>
    <xf numFmtId="11" fontId="7" fillId="0" borderId="0" xfId="0" applyNumberFormat="1" applyFont="1" applyFill="1" applyBorder="1" applyAlignment="1" applyProtection="1">
      <alignment horizontal="center" vertical="center"/>
      <protection locked="0"/>
    </xf>
    <xf numFmtId="11" fontId="5" fillId="0" borderId="28" xfId="0" applyNumberFormat="1" applyFont="1" applyFill="1" applyBorder="1" applyAlignment="1" applyProtection="1">
      <alignment horizontal="center" vertical="center"/>
      <protection locked="0"/>
    </xf>
    <xf numFmtId="11" fontId="5" fillId="0"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5" fillId="0" borderId="29"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11" fillId="0" borderId="33" xfId="0" applyFont="1" applyBorder="1" applyAlignment="1" applyProtection="1">
      <alignment horizontal="right" vertical="center"/>
      <protection locked="0"/>
    </xf>
    <xf numFmtId="11" fontId="4" fillId="0" borderId="31" xfId="0" applyNumberFormat="1" applyFont="1" applyFill="1" applyBorder="1" applyAlignment="1" applyProtection="1">
      <alignment horizontal="center" vertical="center"/>
      <protection locked="0"/>
    </xf>
    <xf numFmtId="11" fontId="11" fillId="0" borderId="3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 fillId="0" borderId="0" xfId="0" applyFont="1" applyAlignment="1" applyProtection="1">
      <alignment vertical="top" wrapText="1"/>
      <protection locked="0"/>
    </xf>
    <xf numFmtId="0" fontId="0" fillId="0" borderId="0" xfId="0" applyFill="1" applyAlignment="1" applyProtection="1">
      <alignment horizontal="left" vertical="center"/>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166" fontId="5" fillId="0" borderId="15" xfId="0" applyNumberFormat="1" applyFont="1" applyFill="1" applyBorder="1" applyAlignment="1" applyProtection="1">
      <alignment horizontal="center" vertical="center"/>
      <protection locked="0"/>
    </xf>
    <xf numFmtId="168" fontId="5" fillId="0" borderId="15" xfId="0" applyNumberFormat="1" applyFont="1" applyFill="1" applyBorder="1" applyAlignment="1" applyProtection="1">
      <alignment horizontal="center" vertical="center"/>
      <protection locked="0"/>
    </xf>
    <xf numFmtId="168" fontId="5" fillId="0" borderId="20"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vertical="center"/>
      <protection locked="0"/>
    </xf>
    <xf numFmtId="0" fontId="5" fillId="0" borderId="0" xfId="0" applyFont="1" applyFill="1" applyAlignment="1" applyProtection="1">
      <alignment horizontal="left" vertical="center" wrapText="1"/>
      <protection locked="0"/>
    </xf>
    <xf numFmtId="0" fontId="0" fillId="0" borderId="0" xfId="0" applyAlignment="1" applyProtection="1">
      <alignment vertical="center" wrapText="1"/>
      <protection locked="0"/>
    </xf>
  </cellXfs>
  <cellStyles count="2">
    <cellStyle name="Normal" xfId="0" builtinId="0"/>
    <cellStyle name="Normal_GAP-calcs6"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J79"/>
  <sheetViews>
    <sheetView tabSelected="1" view="pageBreakPreview" zoomScaleNormal="100" zoomScaleSheetLayoutView="100" workbookViewId="0"/>
  </sheetViews>
  <sheetFormatPr defaultColWidth="11.6640625" defaultRowHeight="12.75" customHeight="1"/>
  <cols>
    <col min="1" max="1" width="11.5546875" style="10" customWidth="1"/>
    <col min="2" max="2" width="11.21875" style="10" customWidth="1"/>
    <col min="3" max="3" width="8" style="10" customWidth="1"/>
    <col min="4" max="4" width="8.6640625" style="10" bestFit="1" customWidth="1"/>
    <col min="5" max="5" width="10.44140625" style="10" customWidth="1"/>
    <col min="6" max="6" width="10.5546875" style="10" customWidth="1"/>
    <col min="7" max="7" width="10.88671875" style="10" customWidth="1"/>
    <col min="8" max="8" width="10.77734375" style="10" customWidth="1"/>
    <col min="9" max="9" width="7.77734375" style="10" customWidth="1"/>
    <col min="10" max="10" width="9" style="10" customWidth="1"/>
    <col min="11" max="16384" width="11.6640625" style="10"/>
  </cols>
  <sheetData>
    <row r="1" spans="1:10" ht="12.75" customHeight="1">
      <c r="A1" s="9"/>
      <c r="B1" s="9"/>
      <c r="E1" s="11" t="s">
        <v>24</v>
      </c>
      <c r="H1" s="9"/>
    </row>
    <row r="2" spans="1:10" ht="12.75" customHeight="1">
      <c r="A2" s="9"/>
      <c r="B2" s="9"/>
      <c r="E2" s="11" t="s">
        <v>28</v>
      </c>
      <c r="G2" s="9"/>
      <c r="H2" s="9"/>
    </row>
    <row r="3" spans="1:10" ht="12.75" customHeight="1">
      <c r="A3" s="9"/>
      <c r="B3" s="9"/>
      <c r="E3" s="11" t="s">
        <v>31</v>
      </c>
      <c r="G3" s="9"/>
      <c r="H3" s="9"/>
    </row>
    <row r="4" spans="1:10" ht="12.75" customHeight="1">
      <c r="A4" s="9"/>
      <c r="B4" s="9"/>
      <c r="H4" s="9"/>
    </row>
    <row r="5" spans="1:10" ht="12.75" customHeight="1">
      <c r="A5" s="7" t="s">
        <v>53</v>
      </c>
      <c r="B5" s="7"/>
      <c r="C5" s="7"/>
      <c r="D5" s="7"/>
      <c r="E5" s="7"/>
      <c r="F5" s="7"/>
      <c r="G5" s="7"/>
      <c r="H5" s="7"/>
      <c r="I5" s="7"/>
      <c r="J5" s="7"/>
    </row>
    <row r="6" spans="1:10" ht="12.75" customHeight="1">
      <c r="A6" s="7"/>
      <c r="B6" s="7"/>
      <c r="C6" s="7"/>
      <c r="D6" s="7"/>
      <c r="E6" s="7"/>
      <c r="F6" s="7"/>
      <c r="G6" s="7"/>
      <c r="H6" s="7"/>
      <c r="I6" s="7"/>
      <c r="J6" s="7"/>
    </row>
    <row r="7" spans="1:10" ht="12.75" customHeight="1">
      <c r="A7" s="7"/>
      <c r="B7" s="7"/>
      <c r="C7" s="7"/>
      <c r="D7" s="7"/>
      <c r="E7" s="7"/>
      <c r="F7" s="7"/>
      <c r="G7" s="7"/>
      <c r="H7" s="7"/>
      <c r="I7" s="7"/>
      <c r="J7" s="7"/>
    </row>
    <row r="8" spans="1:10" ht="12.75" customHeight="1">
      <c r="A8" s="7"/>
      <c r="B8" s="7"/>
      <c r="C8" s="7"/>
      <c r="D8" s="7"/>
      <c r="E8" s="7"/>
      <c r="F8" s="7"/>
      <c r="G8" s="7"/>
      <c r="H8" s="7"/>
      <c r="I8" s="7"/>
      <c r="J8" s="7"/>
    </row>
    <row r="9" spans="1:10" ht="12.75" customHeight="1">
      <c r="A9" s="3"/>
      <c r="B9" s="3"/>
      <c r="C9" s="4"/>
      <c r="D9" s="5"/>
      <c r="E9" s="3"/>
      <c r="F9" s="4"/>
      <c r="G9" s="4"/>
      <c r="H9" s="4"/>
      <c r="I9" s="3"/>
      <c r="J9" s="4"/>
    </row>
    <row r="10" spans="1:10" ht="12.75" customHeight="1">
      <c r="A10" s="8" t="s">
        <v>54</v>
      </c>
      <c r="B10" s="8"/>
      <c r="C10" s="8"/>
      <c r="D10" s="8"/>
      <c r="E10" s="8"/>
      <c r="F10" s="8"/>
      <c r="G10" s="8"/>
      <c r="H10" s="8"/>
      <c r="I10" s="8"/>
      <c r="J10" s="8"/>
    </row>
    <row r="11" spans="1:10" ht="12.75" customHeight="1">
      <c r="A11" s="3"/>
      <c r="B11" s="3"/>
      <c r="C11" s="4"/>
      <c r="D11" s="5"/>
      <c r="E11" s="3"/>
      <c r="F11" s="4"/>
      <c r="G11" s="4"/>
      <c r="H11" s="3"/>
      <c r="I11" s="3"/>
      <c r="J11" s="4"/>
    </row>
    <row r="12" spans="1:10" ht="12.75" customHeight="1">
      <c r="A12" s="7" t="s">
        <v>55</v>
      </c>
      <c r="B12" s="7"/>
      <c r="C12" s="7"/>
      <c r="D12" s="7"/>
      <c r="E12" s="7"/>
      <c r="F12" s="7"/>
      <c r="G12" s="7"/>
      <c r="H12" s="7"/>
      <c r="I12" s="7"/>
      <c r="J12" s="7"/>
    </row>
    <row r="13" spans="1:10" ht="12.75" customHeight="1">
      <c r="A13" s="7"/>
      <c r="B13" s="7"/>
      <c r="C13" s="7"/>
      <c r="D13" s="7"/>
      <c r="E13" s="7"/>
      <c r="F13" s="7"/>
      <c r="G13" s="7"/>
      <c r="H13" s="7"/>
      <c r="I13" s="7"/>
      <c r="J13" s="7"/>
    </row>
    <row r="14" spans="1:10" ht="12.75" customHeight="1">
      <c r="A14" s="7"/>
      <c r="B14" s="7"/>
      <c r="C14" s="7"/>
      <c r="D14" s="7"/>
      <c r="E14" s="7"/>
      <c r="F14" s="7"/>
      <c r="G14" s="7"/>
      <c r="H14" s="7"/>
      <c r="I14" s="7"/>
      <c r="J14" s="7"/>
    </row>
    <row r="15" spans="1:10" ht="12.75" customHeight="1">
      <c r="B15" s="12"/>
      <c r="D15" s="13"/>
      <c r="E15" s="9"/>
      <c r="F15" s="9"/>
    </row>
    <row r="16" spans="1:10" ht="12.75" customHeight="1">
      <c r="A16" s="14" t="s">
        <v>56</v>
      </c>
      <c r="B16" s="14"/>
      <c r="C16" s="14"/>
      <c r="D16" s="14"/>
      <c r="E16" s="14"/>
      <c r="F16" s="14"/>
      <c r="G16" s="14"/>
      <c r="H16" s="14"/>
      <c r="I16" s="14"/>
    </row>
    <row r="17" spans="1:10" ht="12.75" customHeight="1">
      <c r="A17" s="14"/>
      <c r="B17" s="14"/>
      <c r="C17" s="14"/>
      <c r="D17" s="14"/>
      <c r="E17" s="14"/>
      <c r="F17" s="14"/>
      <c r="G17" s="14"/>
      <c r="H17" s="14"/>
      <c r="I17" s="14"/>
    </row>
    <row r="18" spans="1:10" ht="12.75" customHeight="1">
      <c r="A18" s="15"/>
      <c r="B18" s="15"/>
      <c r="C18" s="15"/>
      <c r="D18" s="15"/>
      <c r="E18" s="15"/>
      <c r="F18" s="15"/>
      <c r="G18" s="15"/>
      <c r="H18" s="15"/>
      <c r="I18" s="15"/>
    </row>
    <row r="19" spans="1:10" ht="12.75" customHeight="1">
      <c r="A19" s="12" t="s">
        <v>50</v>
      </c>
      <c r="G19" s="20"/>
      <c r="H19" s="20"/>
      <c r="I19" s="20"/>
    </row>
    <row r="20" spans="1:10" ht="12.75" customHeight="1">
      <c r="A20" s="20"/>
      <c r="B20" s="20"/>
      <c r="C20" s="20"/>
      <c r="D20" s="20"/>
      <c r="E20" s="20"/>
      <c r="F20" s="20"/>
      <c r="G20" s="20"/>
      <c r="H20" s="20"/>
      <c r="I20" s="20"/>
    </row>
    <row r="21" spans="1:10" ht="12.75" customHeight="1">
      <c r="A21" s="20"/>
      <c r="C21" s="16" t="s">
        <v>42</v>
      </c>
      <c r="D21" s="1">
        <v>600</v>
      </c>
      <c r="E21" s="20"/>
      <c r="F21" s="20"/>
      <c r="G21" s="20"/>
      <c r="H21" s="20"/>
      <c r="I21" s="20"/>
    </row>
    <row r="22" spans="1:10" ht="12.75" customHeight="1">
      <c r="A22" s="20"/>
      <c r="B22" s="20"/>
      <c r="C22" s="16" t="s">
        <v>40</v>
      </c>
      <c r="D22" s="2">
        <v>8760</v>
      </c>
      <c r="E22" s="20"/>
      <c r="F22" s="20"/>
      <c r="G22" s="20"/>
      <c r="H22" s="20"/>
      <c r="I22" s="20"/>
    </row>
    <row r="23" spans="1:10" ht="12.75" customHeight="1">
      <c r="A23" s="20"/>
      <c r="B23" s="20"/>
      <c r="C23" s="16" t="s">
        <v>43</v>
      </c>
      <c r="D23" s="22">
        <f>$D$21*$D$22</f>
        <v>5256000</v>
      </c>
      <c r="E23" s="20"/>
      <c r="F23" s="20"/>
      <c r="G23" s="20"/>
      <c r="H23" s="20"/>
      <c r="I23" s="20"/>
      <c r="J23" s="46"/>
    </row>
    <row r="24" spans="1:10" ht="12.75" customHeight="1">
      <c r="A24" s="20"/>
      <c r="B24" s="20"/>
      <c r="C24" s="20"/>
      <c r="D24" s="20"/>
      <c r="E24" s="20"/>
      <c r="F24" s="20"/>
      <c r="G24" s="20"/>
      <c r="H24" s="20"/>
      <c r="I24" s="20"/>
    </row>
    <row r="25" spans="1:10" ht="12.75" customHeight="1">
      <c r="C25" s="23"/>
      <c r="D25" s="24"/>
      <c r="E25" s="24"/>
      <c r="F25" s="25" t="s">
        <v>0</v>
      </c>
      <c r="G25" s="24"/>
      <c r="H25" s="24"/>
      <c r="I25" s="48"/>
    </row>
    <row r="26" spans="1:10" ht="12.75" customHeight="1">
      <c r="A26" s="27"/>
      <c r="B26" s="27"/>
      <c r="C26" s="90" t="s">
        <v>1</v>
      </c>
      <c r="D26" s="91" t="s">
        <v>2</v>
      </c>
      <c r="E26" s="91" t="s">
        <v>36</v>
      </c>
      <c r="F26" s="91" t="s">
        <v>3</v>
      </c>
      <c r="G26" s="91" t="s">
        <v>4</v>
      </c>
      <c r="H26" s="91" t="s">
        <v>5</v>
      </c>
      <c r="I26" s="92" t="s">
        <v>6</v>
      </c>
    </row>
    <row r="27" spans="1:10" ht="12.75" customHeight="1">
      <c r="A27" s="32" t="s">
        <v>9</v>
      </c>
      <c r="B27" s="33"/>
      <c r="C27" s="34">
        <v>2.2000000000000001E-3</v>
      </c>
      <c r="D27" s="93">
        <v>2.2000000000000001E-3</v>
      </c>
      <c r="E27" s="93">
        <v>2.2000000000000001E-3</v>
      </c>
      <c r="F27" s="94">
        <v>2.0500000000000002E-3</v>
      </c>
      <c r="G27" s="93">
        <v>3.1E-2</v>
      </c>
      <c r="H27" s="93">
        <f>(0.00247)+(0.0000441)</f>
        <v>2.5141E-3</v>
      </c>
      <c r="I27" s="95">
        <v>6.6800000000000002E-3</v>
      </c>
    </row>
    <row r="28" spans="1:10" ht="12.75" customHeight="1">
      <c r="A28" s="39" t="s">
        <v>8</v>
      </c>
      <c r="B28" s="96"/>
      <c r="C28" s="41">
        <f t="shared" ref="C28:I28" si="0">$D$23*C27/2000</f>
        <v>5.7816000000000001</v>
      </c>
      <c r="D28" s="42">
        <f t="shared" si="0"/>
        <v>5.7816000000000001</v>
      </c>
      <c r="E28" s="42">
        <f t="shared" si="0"/>
        <v>5.7816000000000001</v>
      </c>
      <c r="F28" s="42">
        <f t="shared" si="0"/>
        <v>5.3874000000000004</v>
      </c>
      <c r="G28" s="42">
        <f t="shared" si="0"/>
        <v>81.468000000000004</v>
      </c>
      <c r="H28" s="42">
        <f t="shared" si="0"/>
        <v>6.6070548000000002</v>
      </c>
      <c r="I28" s="43">
        <f t="shared" si="0"/>
        <v>17.555040000000002</v>
      </c>
    </row>
    <row r="29" spans="1:10" ht="12.75" customHeight="1">
      <c r="A29" s="44" t="s">
        <v>23</v>
      </c>
      <c r="B29" s="44"/>
      <c r="C29" s="44"/>
      <c r="D29" s="44"/>
      <c r="E29" s="44"/>
      <c r="F29" s="44"/>
      <c r="G29" s="44"/>
      <c r="H29" s="44"/>
      <c r="I29" s="44"/>
    </row>
    <row r="30" spans="1:10" ht="12.75" customHeight="1">
      <c r="A30" s="97"/>
      <c r="B30" s="97"/>
      <c r="C30" s="97"/>
      <c r="D30" s="97"/>
      <c r="E30" s="97"/>
      <c r="F30" s="97"/>
      <c r="G30" s="97"/>
      <c r="H30" s="97"/>
      <c r="I30" s="97"/>
    </row>
    <row r="31" spans="1:10" ht="12.75" customHeight="1">
      <c r="B31" s="20"/>
      <c r="C31" s="46"/>
      <c r="D31" s="46"/>
      <c r="E31" s="46"/>
      <c r="F31" s="46"/>
      <c r="G31" s="46"/>
      <c r="H31" s="46"/>
      <c r="I31" s="46"/>
    </row>
    <row r="32" spans="1:10" ht="12.75" customHeight="1">
      <c r="A32" s="12" t="s">
        <v>27</v>
      </c>
      <c r="B32" s="20"/>
      <c r="C32" s="46"/>
      <c r="D32" s="46"/>
      <c r="E32" s="46"/>
      <c r="F32" s="46"/>
      <c r="G32" s="46"/>
      <c r="H32" s="46"/>
      <c r="I32" s="46"/>
    </row>
    <row r="33" spans="1:10" ht="12.75" customHeight="1">
      <c r="C33" s="23"/>
      <c r="D33" s="47"/>
      <c r="E33" s="24"/>
      <c r="F33" s="25" t="s">
        <v>0</v>
      </c>
      <c r="G33" s="25"/>
      <c r="H33" s="24"/>
      <c r="I33" s="24"/>
      <c r="J33" s="48"/>
    </row>
    <row r="34" spans="1:10" ht="12.75" customHeight="1">
      <c r="C34" s="49"/>
      <c r="D34" s="50"/>
      <c r="E34" s="50"/>
      <c r="F34" s="50"/>
      <c r="G34" s="50"/>
      <c r="H34" s="50"/>
      <c r="I34" s="50"/>
      <c r="J34" s="51" t="s">
        <v>19</v>
      </c>
    </row>
    <row r="35" spans="1:10" ht="12.75" customHeight="1">
      <c r="A35" s="27"/>
      <c r="B35" s="27"/>
      <c r="C35" s="52" t="s">
        <v>15</v>
      </c>
      <c r="D35" s="53" t="s">
        <v>17</v>
      </c>
      <c r="E35" s="53" t="s">
        <v>18</v>
      </c>
      <c r="F35" s="53" t="s">
        <v>12</v>
      </c>
      <c r="G35" s="53" t="s">
        <v>16</v>
      </c>
      <c r="H35" s="53" t="s">
        <v>13</v>
      </c>
      <c r="I35" s="53" t="s">
        <v>14</v>
      </c>
      <c r="J35" s="54" t="s">
        <v>26</v>
      </c>
    </row>
    <row r="36" spans="1:10" ht="12.75" customHeight="1">
      <c r="A36" s="55" t="s">
        <v>29</v>
      </c>
      <c r="B36" s="56"/>
      <c r="C36" s="57">
        <f>0.000933*0.007</f>
        <v>6.5310000000000007E-6</v>
      </c>
      <c r="D36" s="57">
        <f>0.000409*0.007</f>
        <v>2.8630000000000004E-6</v>
      </c>
      <c r="E36" s="57">
        <f>0.000285*0.007</f>
        <v>1.995E-6</v>
      </c>
      <c r="F36" s="57">
        <f>0.0000391*0.007</f>
        <v>2.7370000000000002E-7</v>
      </c>
      <c r="G36" s="57">
        <f>0.00118*0.007</f>
        <v>8.2600000000000005E-6</v>
      </c>
      <c r="H36" s="57">
        <f>0.000767*0.007</f>
        <v>5.3689999999999998E-6</v>
      </c>
      <c r="I36" s="57">
        <f>0.0000925*0.007</f>
        <v>6.4750000000000005E-7</v>
      </c>
      <c r="J36" s="57">
        <f>0.000168*0.007</f>
        <v>1.176E-6</v>
      </c>
    </row>
    <row r="37" spans="1:10" ht="12.75" customHeight="1">
      <c r="A37" s="55" t="s">
        <v>8</v>
      </c>
      <c r="B37" s="56"/>
      <c r="C37" s="58">
        <f t="shared" ref="C37:I37" si="1">$D$23*C36/2000</f>
        <v>1.7163468000000001E-2</v>
      </c>
      <c r="D37" s="58">
        <f t="shared" si="1"/>
        <v>7.523964000000001E-3</v>
      </c>
      <c r="E37" s="58">
        <f t="shared" si="1"/>
        <v>5.2428600000000002E-3</v>
      </c>
      <c r="F37" s="58">
        <f t="shared" si="1"/>
        <v>7.1928360000000002E-4</v>
      </c>
      <c r="G37" s="58">
        <f t="shared" si="1"/>
        <v>2.1707280000000002E-2</v>
      </c>
      <c r="H37" s="58">
        <f t="shared" si="1"/>
        <v>1.4109732E-2</v>
      </c>
      <c r="I37" s="58">
        <f t="shared" si="1"/>
        <v>1.7016300000000002E-3</v>
      </c>
      <c r="J37" s="58">
        <f>$D$23*J36/2000</f>
        <v>3.0905279999999999E-3</v>
      </c>
    </row>
    <row r="38" spans="1:10" ht="12.75" customHeight="1">
      <c r="A38" s="59" t="s">
        <v>25</v>
      </c>
      <c r="B38" s="60"/>
      <c r="C38" s="60"/>
      <c r="D38" s="60"/>
      <c r="E38" s="60"/>
      <c r="F38" s="60"/>
      <c r="G38" s="60"/>
      <c r="H38" s="46"/>
      <c r="I38" s="46"/>
      <c r="J38" s="46"/>
    </row>
    <row r="39" spans="1:10" ht="12.75" customHeight="1">
      <c r="A39" s="45" t="s">
        <v>30</v>
      </c>
      <c r="B39" s="98"/>
      <c r="C39" s="98"/>
      <c r="D39" s="98"/>
      <c r="E39" s="98"/>
      <c r="F39" s="98"/>
      <c r="G39" s="98"/>
      <c r="H39" s="46"/>
      <c r="I39" s="46"/>
      <c r="J39" s="46"/>
    </row>
    <row r="40" spans="1:10" ht="12.75" customHeight="1">
      <c r="A40" s="98"/>
      <c r="B40" s="98"/>
      <c r="C40" s="98"/>
      <c r="D40" s="98"/>
      <c r="E40" s="98"/>
      <c r="F40" s="98"/>
      <c r="G40" s="98"/>
      <c r="H40" s="46"/>
      <c r="I40" s="46"/>
      <c r="J40" s="46"/>
    </row>
    <row r="41" spans="1:10" ht="15">
      <c r="A41" s="20"/>
      <c r="B41" s="20"/>
      <c r="C41" s="46"/>
      <c r="D41" s="46"/>
      <c r="E41" s="62"/>
      <c r="F41" s="63"/>
      <c r="G41" s="64"/>
      <c r="H41" s="64"/>
      <c r="I41" s="65" t="s">
        <v>37</v>
      </c>
      <c r="J41" s="66">
        <f>SUM(C37:J37)</f>
        <v>7.1258745599999992E-2</v>
      </c>
    </row>
    <row r="42" spans="1:10" ht="12.75" customHeight="1">
      <c r="B42" s="20"/>
      <c r="C42" s="20"/>
      <c r="D42" s="20"/>
      <c r="E42" s="20"/>
      <c r="F42" s="20"/>
      <c r="G42" s="20"/>
      <c r="H42" s="20"/>
    </row>
    <row r="43" spans="1:10" ht="12.75" customHeight="1">
      <c r="A43" s="12" t="s">
        <v>10</v>
      </c>
      <c r="B43" s="20"/>
      <c r="C43" s="20"/>
      <c r="D43" s="20"/>
      <c r="E43" s="20"/>
      <c r="F43" s="20"/>
      <c r="G43" s="20"/>
      <c r="H43" s="20"/>
    </row>
    <row r="44" spans="1:10" ht="12.75" customHeight="1">
      <c r="A44" s="71" t="s">
        <v>47</v>
      </c>
      <c r="B44" s="20"/>
      <c r="C44" s="20"/>
      <c r="D44" s="20"/>
      <c r="E44" s="20"/>
      <c r="F44" s="20"/>
      <c r="G44" s="20"/>
      <c r="H44" s="20"/>
    </row>
    <row r="45" spans="1:10" ht="12.75" customHeight="1">
      <c r="A45" s="71" t="s">
        <v>20</v>
      </c>
      <c r="B45" s="20"/>
      <c r="C45" s="20"/>
      <c r="D45" s="20"/>
      <c r="E45" s="20"/>
      <c r="F45" s="20"/>
      <c r="G45" s="20"/>
      <c r="H45" s="20"/>
    </row>
    <row r="46" spans="1:10" ht="12.75" customHeight="1">
      <c r="A46" s="71" t="s">
        <v>21</v>
      </c>
    </row>
    <row r="47" spans="1:10" ht="15">
      <c r="A47" s="20"/>
      <c r="B47" s="20"/>
      <c r="C47" s="46"/>
      <c r="D47" s="46"/>
      <c r="E47" s="67"/>
      <c r="F47" s="67"/>
      <c r="G47" s="68"/>
      <c r="H47" s="68"/>
      <c r="I47" s="69"/>
    </row>
    <row r="48" spans="1:10" ht="12.75" customHeight="1">
      <c r="A48" s="12" t="s">
        <v>32</v>
      </c>
      <c r="B48" s="20"/>
      <c r="C48" s="20"/>
      <c r="D48" s="72"/>
      <c r="E48" s="20"/>
      <c r="F48" s="20"/>
      <c r="G48" s="27"/>
      <c r="H48" s="27"/>
      <c r="I48" s="27"/>
    </row>
    <row r="49" spans="1:10" ht="12.75" customHeight="1">
      <c r="C49" s="23"/>
      <c r="D49" s="25" t="s">
        <v>0</v>
      </c>
      <c r="E49" s="48"/>
      <c r="F49" s="60"/>
      <c r="G49" s="73"/>
      <c r="H49" s="74"/>
      <c r="I49" s="74"/>
    </row>
    <row r="50" spans="1:10" ht="12.75" customHeight="1">
      <c r="C50" s="49"/>
      <c r="D50" s="50"/>
      <c r="E50" s="51"/>
      <c r="F50" s="75"/>
      <c r="G50" s="75"/>
      <c r="H50" s="75"/>
      <c r="I50" s="75"/>
    </row>
    <row r="51" spans="1:10" ht="12.75" customHeight="1">
      <c r="A51" s="27"/>
      <c r="B51" s="27"/>
      <c r="C51" s="52" t="s">
        <v>33</v>
      </c>
      <c r="D51" s="53" t="s">
        <v>34</v>
      </c>
      <c r="E51" s="53" t="s">
        <v>35</v>
      </c>
      <c r="F51" s="76"/>
      <c r="G51" s="75"/>
      <c r="H51" s="75"/>
      <c r="I51" s="75"/>
    </row>
    <row r="52" spans="1:10" ht="12.75" customHeight="1">
      <c r="A52" s="55" t="s">
        <v>9</v>
      </c>
      <c r="B52" s="56"/>
      <c r="C52" s="57">
        <v>1.1499999999999999</v>
      </c>
      <c r="D52" s="57">
        <f>0.007*2.20462*3*10^-3</f>
        <v>4.6297019999999995E-5</v>
      </c>
      <c r="E52" s="57">
        <f>0.007*2.20462*6*10^-4</f>
        <v>9.2594039999999991E-6</v>
      </c>
      <c r="F52" s="77"/>
      <c r="G52" s="78"/>
      <c r="H52" s="78"/>
      <c r="I52" s="78"/>
    </row>
    <row r="53" spans="1:10" ht="12.75" customHeight="1">
      <c r="A53" s="55" t="s">
        <v>8</v>
      </c>
      <c r="B53" s="56"/>
      <c r="C53" s="58">
        <f>$D$23*C52/2000</f>
        <v>3022.1999999999994</v>
      </c>
      <c r="D53" s="58">
        <f>$D$23*D52/2000</f>
        <v>0.12166856855999998</v>
      </c>
      <c r="E53" s="58">
        <f>$D$23*E52/2000</f>
        <v>2.4333713711999997E-2</v>
      </c>
      <c r="F53" s="79"/>
      <c r="G53" s="80"/>
      <c r="H53" s="80"/>
      <c r="I53" s="80"/>
    </row>
    <row r="54" spans="1:10" ht="12.75" customHeight="1" thickBot="1">
      <c r="A54" s="27"/>
      <c r="B54" s="60"/>
      <c r="C54" s="80"/>
      <c r="D54" s="80"/>
      <c r="E54" s="80"/>
      <c r="F54" s="80"/>
      <c r="G54" s="80"/>
      <c r="H54" s="80"/>
      <c r="I54" s="80"/>
    </row>
    <row r="55" spans="1:10" ht="12.75" customHeight="1" thickBot="1">
      <c r="B55" s="81"/>
      <c r="C55" s="81"/>
      <c r="D55" s="20"/>
      <c r="F55" s="82"/>
      <c r="G55" s="83"/>
      <c r="H55" s="83"/>
      <c r="I55" s="84" t="s">
        <v>38</v>
      </c>
      <c r="J55" s="85">
        <f>C53+D53+E53</f>
        <v>3022.3460022822715</v>
      </c>
    </row>
    <row r="56" spans="1:10" ht="12.75" customHeight="1" thickBot="1">
      <c r="B56" s="81"/>
      <c r="C56" s="81"/>
      <c r="D56" s="20"/>
      <c r="F56" s="82"/>
      <c r="G56" s="83"/>
      <c r="H56" s="83"/>
      <c r="I56" s="84" t="s">
        <v>45</v>
      </c>
      <c r="J56" s="86">
        <f>C53*1+D53*25+E53*298</f>
        <v>3032.4931609001756</v>
      </c>
    </row>
    <row r="57" spans="1:10" ht="12.75" customHeight="1">
      <c r="A57" s="20"/>
      <c r="B57" s="20"/>
      <c r="C57" s="46"/>
      <c r="D57" s="46"/>
      <c r="E57" s="46"/>
      <c r="F57" s="46"/>
      <c r="G57" s="46"/>
      <c r="H57" s="46"/>
      <c r="I57" s="46"/>
    </row>
    <row r="58" spans="1:10" ht="12.75" customHeight="1">
      <c r="A58" s="12" t="s">
        <v>10</v>
      </c>
      <c r="B58" s="20"/>
      <c r="C58" s="20"/>
      <c r="D58" s="20"/>
      <c r="E58" s="20"/>
      <c r="F58" s="20"/>
      <c r="G58" s="20"/>
      <c r="H58" s="20"/>
    </row>
    <row r="59" spans="1:10" ht="12.75" customHeight="1">
      <c r="A59" s="71" t="s">
        <v>51</v>
      </c>
      <c r="B59" s="20"/>
      <c r="C59" s="20"/>
      <c r="D59" s="20"/>
      <c r="E59" s="20"/>
      <c r="F59" s="20"/>
      <c r="G59" s="20"/>
      <c r="H59" s="20"/>
    </row>
    <row r="60" spans="1:10" ht="12.75" customHeight="1">
      <c r="A60" s="71" t="s">
        <v>52</v>
      </c>
      <c r="B60" s="20"/>
      <c r="C60" s="20"/>
      <c r="D60" s="20"/>
      <c r="E60" s="20"/>
      <c r="F60" s="20"/>
      <c r="G60" s="20"/>
      <c r="H60" s="20"/>
    </row>
    <row r="61" spans="1:10" ht="12.75" customHeight="1">
      <c r="A61" s="87" t="s">
        <v>44</v>
      </c>
      <c r="B61" s="20"/>
      <c r="C61" s="20"/>
      <c r="D61" s="20"/>
      <c r="E61" s="20"/>
      <c r="F61" s="20"/>
      <c r="G61" s="20"/>
      <c r="H61" s="20"/>
    </row>
    <row r="62" spans="1:10" ht="12.75" customHeight="1">
      <c r="A62" s="71" t="s">
        <v>21</v>
      </c>
    </row>
    <row r="63" spans="1:10" ht="28.5" customHeight="1">
      <c r="A63" s="88" t="s">
        <v>46</v>
      </c>
      <c r="B63" s="88"/>
      <c r="C63" s="88"/>
      <c r="D63" s="88"/>
      <c r="E63" s="88"/>
      <c r="F63" s="88"/>
      <c r="G63" s="88"/>
      <c r="H63" s="88"/>
    </row>
    <row r="64" spans="1:10" ht="12.75" customHeight="1">
      <c r="A64" s="89"/>
    </row>
    <row r="65" spans="1:1" ht="12.75" customHeight="1">
      <c r="A65" s="89"/>
    </row>
    <row r="66" spans="1:1" ht="12.75" customHeight="1">
      <c r="A66" s="89"/>
    </row>
    <row r="67" spans="1:1" ht="12.75" customHeight="1">
      <c r="A67" s="89"/>
    </row>
    <row r="68" spans="1:1" ht="12.75" customHeight="1">
      <c r="A68" s="89"/>
    </row>
    <row r="69" spans="1:1" ht="12.75" customHeight="1">
      <c r="A69" s="89"/>
    </row>
    <row r="70" spans="1:1" ht="12.75" customHeight="1">
      <c r="A70" s="89"/>
    </row>
    <row r="71" spans="1:1" ht="12.75" customHeight="1">
      <c r="A71" s="89"/>
    </row>
    <row r="72" spans="1:1" ht="12.75" customHeight="1">
      <c r="A72" s="89"/>
    </row>
    <row r="73" spans="1:1" ht="12.75" customHeight="1">
      <c r="A73" s="89"/>
    </row>
    <row r="74" spans="1:1" ht="12.75" customHeight="1">
      <c r="A74" s="89"/>
    </row>
    <row r="75" spans="1:1" ht="12.75" customHeight="1">
      <c r="A75" s="89"/>
    </row>
    <row r="76" spans="1:1" ht="12.75" customHeight="1">
      <c r="A76" s="89"/>
    </row>
    <row r="77" spans="1:1" ht="12.75" customHeight="1">
      <c r="A77" s="89"/>
    </row>
    <row r="78" spans="1:1" ht="12.75" customHeight="1">
      <c r="A78" s="89"/>
    </row>
    <row r="79" spans="1:1" ht="12.75" customHeight="1">
      <c r="A79" s="89"/>
    </row>
  </sheetData>
  <sheetProtection algorithmName="SHA-512" hashValue="PncZOWMUlPrGBm+F0VQ9ikdhyJ3pcrQIkJrAXKmK7Vps/qHCj494n+zT/3TD4W7Dm1U+F39WBzD6ZScYR1aZ/Q==" saltValue="i2F8szuMC2i2Byhkwizccg==" spinCount="100000" sheet="1" objects="1" scenarios="1"/>
  <mergeCells count="7">
    <mergeCell ref="A5:J8"/>
    <mergeCell ref="A10:J10"/>
    <mergeCell ref="A12:J14"/>
    <mergeCell ref="A63:H63"/>
    <mergeCell ref="A16:I17"/>
    <mergeCell ref="A29:I30"/>
    <mergeCell ref="A39:G40"/>
  </mergeCells>
  <pageMargins left="0.5" right="0.5" top="0.5" bottom="0.5" header="0.5" footer="0.5"/>
  <pageSetup scale="81" orientation="portrait" r:id="rId1"/>
  <headerFooter alignWithMargins="0"/>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J75"/>
  <sheetViews>
    <sheetView view="pageBreakPreview" zoomScaleNormal="100" zoomScaleSheetLayoutView="100" workbookViewId="0"/>
  </sheetViews>
  <sheetFormatPr defaultColWidth="11.6640625" defaultRowHeight="12.75" customHeight="1"/>
  <cols>
    <col min="1" max="1" width="11.5546875" style="10" customWidth="1"/>
    <col min="2" max="2" width="11.21875" style="10" customWidth="1"/>
    <col min="3" max="3" width="7.77734375" style="10" customWidth="1"/>
    <col min="4" max="4" width="8.6640625" style="10" bestFit="1" customWidth="1"/>
    <col min="5" max="5" width="10.44140625" style="10" customWidth="1"/>
    <col min="6" max="6" width="10.77734375" style="10" customWidth="1"/>
    <col min="7" max="7" width="10.88671875" style="10" customWidth="1"/>
    <col min="8" max="8" width="10.6640625" style="10" customWidth="1"/>
    <col min="9" max="9" width="7.77734375" style="10" customWidth="1"/>
    <col min="10" max="10" width="9" style="10" customWidth="1"/>
    <col min="11" max="16384" width="11.6640625" style="10"/>
  </cols>
  <sheetData>
    <row r="1" spans="1:10" ht="12.75" customHeight="1">
      <c r="A1" s="9"/>
      <c r="B1" s="9"/>
      <c r="E1" s="11" t="s">
        <v>24</v>
      </c>
      <c r="H1" s="9"/>
    </row>
    <row r="2" spans="1:10" ht="12.75" customHeight="1">
      <c r="A2" s="9"/>
      <c r="B2" s="9"/>
      <c r="E2" s="11" t="s">
        <v>28</v>
      </c>
      <c r="G2" s="9"/>
      <c r="H2" s="9"/>
    </row>
    <row r="3" spans="1:10" ht="12.75" customHeight="1">
      <c r="A3" s="9"/>
      <c r="B3" s="9"/>
      <c r="E3" s="11" t="s">
        <v>31</v>
      </c>
      <c r="G3" s="9"/>
      <c r="H3" s="9"/>
    </row>
    <row r="4" spans="1:10" ht="12.75" customHeight="1">
      <c r="A4" s="9"/>
      <c r="B4" s="9"/>
      <c r="H4" s="9"/>
    </row>
    <row r="5" spans="1:10" ht="12.75" customHeight="1">
      <c r="A5" s="7" t="s">
        <v>53</v>
      </c>
      <c r="B5" s="7"/>
      <c r="C5" s="7"/>
      <c r="D5" s="7"/>
      <c r="E5" s="7"/>
      <c r="F5" s="7"/>
      <c r="G5" s="7"/>
      <c r="H5" s="7"/>
      <c r="I5" s="7"/>
      <c r="J5" s="7"/>
    </row>
    <row r="6" spans="1:10" ht="12.75" customHeight="1">
      <c r="A6" s="7"/>
      <c r="B6" s="7"/>
      <c r="C6" s="7"/>
      <c r="D6" s="7"/>
      <c r="E6" s="7"/>
      <c r="F6" s="7"/>
      <c r="G6" s="7"/>
      <c r="H6" s="7"/>
      <c r="I6" s="7"/>
      <c r="J6" s="7"/>
    </row>
    <row r="7" spans="1:10" ht="12.75" customHeight="1">
      <c r="A7" s="7"/>
      <c r="B7" s="7"/>
      <c r="C7" s="7"/>
      <c r="D7" s="7"/>
      <c r="E7" s="7"/>
      <c r="F7" s="7"/>
      <c r="G7" s="7"/>
      <c r="H7" s="7"/>
      <c r="I7" s="7"/>
      <c r="J7" s="7"/>
    </row>
    <row r="8" spans="1:10" ht="12.75" customHeight="1">
      <c r="A8" s="7"/>
      <c r="B8" s="7"/>
      <c r="C8" s="7"/>
      <c r="D8" s="7"/>
      <c r="E8" s="7"/>
      <c r="F8" s="7"/>
      <c r="G8" s="7"/>
      <c r="H8" s="7"/>
      <c r="I8" s="7"/>
      <c r="J8" s="7"/>
    </row>
    <row r="9" spans="1:10" ht="12.75" customHeight="1">
      <c r="A9" s="3"/>
      <c r="B9" s="3"/>
      <c r="C9" s="4"/>
      <c r="D9" s="5"/>
      <c r="E9" s="3"/>
      <c r="F9" s="4"/>
      <c r="G9" s="4"/>
      <c r="H9" s="4"/>
      <c r="I9" s="3"/>
      <c r="J9" s="4"/>
    </row>
    <row r="10" spans="1:10" ht="12.75" customHeight="1">
      <c r="A10" s="8" t="s">
        <v>54</v>
      </c>
      <c r="B10" s="8"/>
      <c r="C10" s="8"/>
      <c r="D10" s="8"/>
      <c r="E10" s="8"/>
      <c r="F10" s="8"/>
      <c r="G10" s="8"/>
      <c r="H10" s="8"/>
      <c r="I10" s="8"/>
      <c r="J10" s="8"/>
    </row>
    <row r="11" spans="1:10" ht="12.75" customHeight="1">
      <c r="A11" s="3"/>
      <c r="B11" s="3"/>
      <c r="C11" s="4"/>
      <c r="D11" s="5"/>
      <c r="E11" s="3"/>
      <c r="F11" s="4"/>
      <c r="G11" s="4"/>
      <c r="H11" s="3"/>
      <c r="I11" s="3"/>
      <c r="J11" s="4"/>
    </row>
    <row r="12" spans="1:10" ht="12.75" customHeight="1">
      <c r="A12" s="7" t="s">
        <v>55</v>
      </c>
      <c r="B12" s="7"/>
      <c r="C12" s="7"/>
      <c r="D12" s="7"/>
      <c r="E12" s="7"/>
      <c r="F12" s="7"/>
      <c r="G12" s="7"/>
      <c r="H12" s="7"/>
      <c r="I12" s="7"/>
      <c r="J12" s="7"/>
    </row>
    <row r="13" spans="1:10" ht="12.75" customHeight="1">
      <c r="A13" s="7"/>
      <c r="B13" s="7"/>
      <c r="C13" s="7"/>
      <c r="D13" s="7"/>
      <c r="E13" s="7"/>
      <c r="F13" s="7"/>
      <c r="G13" s="7"/>
      <c r="H13" s="7"/>
      <c r="I13" s="7"/>
      <c r="J13" s="7"/>
    </row>
    <row r="14" spans="1:10" ht="12.75" customHeight="1">
      <c r="A14" s="7"/>
      <c r="B14" s="7"/>
      <c r="C14" s="7"/>
      <c r="D14" s="7"/>
      <c r="E14" s="7"/>
      <c r="F14" s="7"/>
      <c r="G14" s="7"/>
      <c r="H14" s="7"/>
      <c r="I14" s="7"/>
      <c r="J14" s="7"/>
    </row>
    <row r="15" spans="1:10" ht="12.75" customHeight="1">
      <c r="B15" s="12"/>
      <c r="D15" s="13"/>
      <c r="E15" s="9"/>
      <c r="F15" s="9"/>
    </row>
    <row r="16" spans="1:10" ht="12.75" customHeight="1">
      <c r="A16" s="14" t="s">
        <v>56</v>
      </c>
      <c r="B16" s="14"/>
      <c r="C16" s="14"/>
      <c r="D16" s="14"/>
      <c r="E16" s="14"/>
      <c r="F16" s="14"/>
      <c r="G16" s="14"/>
      <c r="H16" s="14"/>
      <c r="I16" s="14"/>
    </row>
    <row r="17" spans="1:10" ht="12.75" customHeight="1">
      <c r="A17" s="14"/>
      <c r="B17" s="14"/>
      <c r="C17" s="14"/>
      <c r="D17" s="14"/>
      <c r="E17" s="14"/>
      <c r="F17" s="14"/>
      <c r="G17" s="14"/>
      <c r="H17" s="14"/>
      <c r="I17" s="14"/>
    </row>
    <row r="18" spans="1:10" ht="12.75" customHeight="1">
      <c r="A18" s="15"/>
      <c r="B18" s="15"/>
      <c r="C18" s="15"/>
      <c r="D18" s="15"/>
      <c r="E18" s="15"/>
      <c r="F18" s="15"/>
      <c r="G18" s="15"/>
      <c r="H18" s="15"/>
      <c r="I18" s="15"/>
    </row>
    <row r="19" spans="1:10" ht="12.75" customHeight="1">
      <c r="A19" s="12" t="s">
        <v>49</v>
      </c>
    </row>
    <row r="21" spans="1:10" ht="12.75" customHeight="1">
      <c r="C21" s="16" t="s">
        <v>39</v>
      </c>
      <c r="D21" s="6">
        <v>4.2</v>
      </c>
      <c r="E21" s="17"/>
      <c r="F21" s="18"/>
      <c r="G21" s="19"/>
      <c r="H21" s="19"/>
    </row>
    <row r="22" spans="1:10" ht="12.75" customHeight="1">
      <c r="B22" s="20"/>
      <c r="C22" s="16" t="s">
        <v>40</v>
      </c>
      <c r="D22" s="2">
        <v>8760</v>
      </c>
      <c r="E22" s="21"/>
      <c r="F22" s="20"/>
      <c r="G22" s="20"/>
      <c r="H22" s="20"/>
    </row>
    <row r="23" spans="1:10" ht="12.75" customHeight="1">
      <c r="B23" s="20"/>
      <c r="C23" s="16" t="s">
        <v>41</v>
      </c>
      <c r="D23" s="22">
        <f>$D$21*$D$22</f>
        <v>36792</v>
      </c>
      <c r="E23" s="20"/>
      <c r="F23" s="20"/>
      <c r="G23" s="20"/>
      <c r="H23" s="20"/>
    </row>
    <row r="24" spans="1:10" ht="12.75" customHeight="1">
      <c r="A24" s="20"/>
      <c r="B24" s="20"/>
      <c r="C24" s="20"/>
      <c r="D24" s="20"/>
      <c r="E24" s="20"/>
      <c r="F24" s="20"/>
      <c r="G24" s="20"/>
      <c r="H24" s="20"/>
      <c r="I24" s="20"/>
    </row>
    <row r="25" spans="1:10" ht="12.75" customHeight="1">
      <c r="C25" s="23"/>
      <c r="D25" s="24"/>
      <c r="E25" s="24"/>
      <c r="F25" s="25" t="s">
        <v>0</v>
      </c>
      <c r="G25" s="24"/>
      <c r="H25" s="24"/>
      <c r="I25" s="26"/>
    </row>
    <row r="26" spans="1:10" ht="12.75" customHeight="1">
      <c r="A26" s="27"/>
      <c r="B26" s="27"/>
      <c r="C26" s="28" t="s">
        <v>1</v>
      </c>
      <c r="D26" s="29" t="s">
        <v>2</v>
      </c>
      <c r="E26" s="29" t="s">
        <v>36</v>
      </c>
      <c r="F26" s="29" t="s">
        <v>3</v>
      </c>
      <c r="G26" s="29" t="s">
        <v>4</v>
      </c>
      <c r="H26" s="30" t="s">
        <v>5</v>
      </c>
      <c r="I26" s="31" t="s">
        <v>6</v>
      </c>
    </row>
    <row r="27" spans="1:10" ht="12.75" customHeight="1">
      <c r="A27" s="32" t="s">
        <v>7</v>
      </c>
      <c r="B27" s="33"/>
      <c r="C27" s="34">
        <v>0.31</v>
      </c>
      <c r="D27" s="35">
        <v>0.31</v>
      </c>
      <c r="E27" s="35">
        <v>0.31</v>
      </c>
      <c r="F27" s="36">
        <v>0.28999999999999998</v>
      </c>
      <c r="G27" s="36">
        <v>4.41</v>
      </c>
      <c r="H27" s="37">
        <v>0.36</v>
      </c>
      <c r="I27" s="38">
        <v>0.95</v>
      </c>
    </row>
    <row r="28" spans="1:10" ht="12.75" customHeight="1">
      <c r="A28" s="39" t="s">
        <v>8</v>
      </c>
      <c r="B28" s="40"/>
      <c r="C28" s="41">
        <f t="shared" ref="C28:I28" si="0">$D$23*C27/2000</f>
        <v>5.7027600000000005</v>
      </c>
      <c r="D28" s="42">
        <f t="shared" si="0"/>
        <v>5.7027600000000005</v>
      </c>
      <c r="E28" s="42">
        <f t="shared" si="0"/>
        <v>5.7027600000000005</v>
      </c>
      <c r="F28" s="42">
        <f t="shared" si="0"/>
        <v>5.3348399999999989</v>
      </c>
      <c r="G28" s="42">
        <f t="shared" si="0"/>
        <v>81.126360000000005</v>
      </c>
      <c r="H28" s="42">
        <f t="shared" si="0"/>
        <v>6.6225599999999991</v>
      </c>
      <c r="I28" s="43">
        <f t="shared" si="0"/>
        <v>17.476200000000002</v>
      </c>
    </row>
    <row r="29" spans="1:10" ht="12.75" customHeight="1">
      <c r="A29" s="44" t="s">
        <v>23</v>
      </c>
      <c r="B29" s="44"/>
      <c r="C29" s="44"/>
      <c r="D29" s="44"/>
      <c r="E29" s="44"/>
      <c r="F29" s="44"/>
      <c r="G29" s="44"/>
      <c r="H29" s="44"/>
      <c r="I29" s="44"/>
    </row>
    <row r="30" spans="1:10" ht="12.75" customHeight="1">
      <c r="A30" s="45"/>
      <c r="B30" s="45"/>
      <c r="C30" s="45"/>
      <c r="D30" s="45"/>
      <c r="E30" s="45"/>
      <c r="F30" s="45"/>
      <c r="G30" s="45"/>
      <c r="H30" s="45"/>
      <c r="I30" s="45"/>
    </row>
    <row r="31" spans="1:10" ht="12.75" customHeight="1">
      <c r="A31" s="20"/>
      <c r="B31" s="20"/>
      <c r="C31" s="20"/>
      <c r="D31" s="20"/>
      <c r="E31" s="20"/>
      <c r="F31" s="20"/>
      <c r="G31" s="20"/>
      <c r="H31" s="20"/>
      <c r="I31" s="20"/>
    </row>
    <row r="32" spans="1:10" ht="12.75" customHeight="1">
      <c r="A32" s="12" t="s">
        <v>27</v>
      </c>
      <c r="B32" s="20"/>
      <c r="C32" s="46"/>
      <c r="D32" s="46"/>
      <c r="E32" s="46"/>
      <c r="F32" s="46"/>
      <c r="G32" s="46"/>
      <c r="H32" s="46"/>
      <c r="I32" s="46"/>
      <c r="J32" s="46"/>
    </row>
    <row r="33" spans="1:10" ht="12.75" customHeight="1">
      <c r="C33" s="23"/>
      <c r="D33" s="47"/>
      <c r="E33" s="24"/>
      <c r="F33" s="25" t="s">
        <v>0</v>
      </c>
      <c r="G33" s="25"/>
      <c r="H33" s="24"/>
      <c r="I33" s="24"/>
      <c r="J33" s="48"/>
    </row>
    <row r="34" spans="1:10" ht="12.75" customHeight="1">
      <c r="C34" s="49"/>
      <c r="D34" s="50"/>
      <c r="E34" s="50"/>
      <c r="F34" s="50"/>
      <c r="G34" s="50"/>
      <c r="H34" s="50"/>
      <c r="I34" s="50"/>
      <c r="J34" s="51" t="s">
        <v>19</v>
      </c>
    </row>
    <row r="35" spans="1:10" ht="12.75" customHeight="1">
      <c r="A35" s="27"/>
      <c r="B35" s="27"/>
      <c r="C35" s="52" t="s">
        <v>15</v>
      </c>
      <c r="D35" s="53" t="s">
        <v>17</v>
      </c>
      <c r="E35" s="53" t="s">
        <v>18</v>
      </c>
      <c r="F35" s="53" t="s">
        <v>12</v>
      </c>
      <c r="G35" s="53" t="s">
        <v>16</v>
      </c>
      <c r="H35" s="53" t="s">
        <v>13</v>
      </c>
      <c r="I35" s="53" t="s">
        <v>14</v>
      </c>
      <c r="J35" s="54" t="s">
        <v>26</v>
      </c>
    </row>
    <row r="36" spans="1:10" ht="12.75" customHeight="1">
      <c r="A36" s="55" t="s">
        <v>7</v>
      </c>
      <c r="B36" s="56"/>
      <c r="C36" s="57">
        <f>0.000933</f>
        <v>9.3300000000000002E-4</v>
      </c>
      <c r="D36" s="57">
        <f>0.000409</f>
        <v>4.0900000000000002E-4</v>
      </c>
      <c r="E36" s="57">
        <f>0.000285</f>
        <v>2.8499999999999999E-4</v>
      </c>
      <c r="F36" s="57">
        <f>0.0000391</f>
        <v>3.9100000000000002E-5</v>
      </c>
      <c r="G36" s="57">
        <f>0.00118</f>
        <v>1.1800000000000001E-3</v>
      </c>
      <c r="H36" s="57">
        <f>0.000767</f>
        <v>7.67E-4</v>
      </c>
      <c r="I36" s="57">
        <f>0.0000925</f>
        <v>9.2499999999999999E-5</v>
      </c>
      <c r="J36" s="57">
        <f>0.000168</f>
        <v>1.6799999999999999E-4</v>
      </c>
    </row>
    <row r="37" spans="1:10" ht="12.75" customHeight="1">
      <c r="A37" s="55" t="s">
        <v>8</v>
      </c>
      <c r="B37" s="56"/>
      <c r="C37" s="58">
        <f t="shared" ref="C37:J37" si="1">$D$23*C36/2000</f>
        <v>1.7163468000000001E-2</v>
      </c>
      <c r="D37" s="58">
        <f t="shared" si="1"/>
        <v>7.5239640000000002E-3</v>
      </c>
      <c r="E37" s="58">
        <f t="shared" si="1"/>
        <v>5.2428599999999994E-3</v>
      </c>
      <c r="F37" s="58">
        <f t="shared" si="1"/>
        <v>7.1928360000000002E-4</v>
      </c>
      <c r="G37" s="58">
        <f t="shared" si="1"/>
        <v>2.1707280000000002E-2</v>
      </c>
      <c r="H37" s="58">
        <f t="shared" si="1"/>
        <v>1.4109732E-2</v>
      </c>
      <c r="I37" s="58">
        <f t="shared" si="1"/>
        <v>1.70163E-3</v>
      </c>
      <c r="J37" s="58">
        <f t="shared" si="1"/>
        <v>3.0905279999999999E-3</v>
      </c>
    </row>
    <row r="38" spans="1:10" ht="12.75" customHeight="1">
      <c r="A38" s="59" t="s">
        <v>25</v>
      </c>
      <c r="B38" s="60"/>
      <c r="C38" s="60"/>
      <c r="D38" s="60"/>
      <c r="E38" s="60"/>
      <c r="F38" s="60"/>
      <c r="G38" s="60"/>
      <c r="H38" s="46"/>
      <c r="I38" s="46"/>
      <c r="J38" s="46"/>
    </row>
    <row r="39" spans="1:10" ht="12.75" customHeight="1">
      <c r="A39" s="27"/>
      <c r="B39" s="61"/>
      <c r="C39" s="61"/>
      <c r="D39" s="61"/>
      <c r="E39" s="61"/>
      <c r="F39" s="61"/>
      <c r="G39" s="61"/>
      <c r="H39" s="46"/>
      <c r="I39" s="46"/>
      <c r="J39" s="46"/>
    </row>
    <row r="40" spans="1:10" ht="12.75" customHeight="1">
      <c r="A40" s="20"/>
      <c r="B40" s="20"/>
      <c r="C40" s="46"/>
      <c r="D40" s="46"/>
      <c r="E40" s="62"/>
      <c r="F40" s="63"/>
      <c r="G40" s="64"/>
      <c r="H40" s="64"/>
      <c r="I40" s="65" t="s">
        <v>37</v>
      </c>
      <c r="J40" s="66">
        <f>SUM(C37:J37)</f>
        <v>7.1258745599999992E-2</v>
      </c>
    </row>
    <row r="41" spans="1:10" ht="12.75" customHeight="1">
      <c r="A41" s="20"/>
      <c r="B41" s="20"/>
      <c r="C41" s="46"/>
      <c r="D41" s="46"/>
      <c r="E41" s="67"/>
      <c r="F41" s="67"/>
      <c r="G41" s="68"/>
      <c r="H41" s="68"/>
      <c r="I41" s="69"/>
      <c r="J41" s="70"/>
    </row>
    <row r="42" spans="1:10" ht="12.75" customHeight="1">
      <c r="A42" s="12" t="s">
        <v>10</v>
      </c>
      <c r="B42" s="20"/>
      <c r="C42" s="46"/>
      <c r="D42" s="46"/>
      <c r="E42" s="67"/>
      <c r="F42" s="67"/>
      <c r="G42" s="68"/>
      <c r="H42" s="68"/>
      <c r="I42" s="69"/>
      <c r="J42" s="70"/>
    </row>
    <row r="43" spans="1:10" ht="12.75" customHeight="1">
      <c r="A43" s="71" t="s">
        <v>47</v>
      </c>
      <c r="B43" s="20"/>
      <c r="C43" s="46"/>
      <c r="D43" s="46"/>
      <c r="E43" s="67"/>
      <c r="F43" s="67"/>
      <c r="G43" s="68"/>
      <c r="H43" s="68"/>
      <c r="I43" s="69"/>
      <c r="J43" s="70"/>
    </row>
    <row r="44" spans="1:10" ht="12.75" customHeight="1">
      <c r="A44" s="71" t="s">
        <v>11</v>
      </c>
      <c r="B44" s="20"/>
      <c r="C44" s="46"/>
      <c r="D44" s="46"/>
      <c r="E44" s="67"/>
      <c r="F44" s="67"/>
      <c r="G44" s="68"/>
      <c r="H44" s="68"/>
      <c r="I44" s="69"/>
      <c r="J44" s="70"/>
    </row>
    <row r="45" spans="1:10" ht="12.75" customHeight="1">
      <c r="A45" s="71" t="s">
        <v>22</v>
      </c>
      <c r="B45" s="20"/>
      <c r="C45" s="46"/>
      <c r="D45" s="46"/>
      <c r="E45" s="67"/>
      <c r="F45" s="67"/>
      <c r="G45" s="68"/>
      <c r="H45" s="68"/>
      <c r="I45" s="69"/>
      <c r="J45" s="70"/>
    </row>
    <row r="46" spans="1:10" ht="12.75" customHeight="1">
      <c r="A46" s="71"/>
      <c r="B46" s="20"/>
      <c r="C46" s="46"/>
      <c r="D46" s="46"/>
      <c r="E46" s="67"/>
      <c r="F46" s="67"/>
      <c r="G46" s="68"/>
      <c r="H46" s="68"/>
      <c r="I46" s="69"/>
      <c r="J46" s="70"/>
    </row>
    <row r="47" spans="1:10" ht="12.75" customHeight="1">
      <c r="A47" s="12" t="s">
        <v>48</v>
      </c>
      <c r="B47" s="20"/>
      <c r="C47" s="20"/>
      <c r="D47" s="72"/>
      <c r="E47" s="20"/>
      <c r="F47" s="20"/>
      <c r="G47" s="27"/>
      <c r="H47" s="27"/>
      <c r="I47" s="27"/>
      <c r="J47" s="70"/>
    </row>
    <row r="48" spans="1:10" ht="12.75" customHeight="1">
      <c r="C48" s="23"/>
      <c r="D48" s="25" t="s">
        <v>0</v>
      </c>
      <c r="E48" s="48"/>
      <c r="F48" s="60"/>
      <c r="G48" s="73"/>
      <c r="H48" s="74"/>
      <c r="I48" s="74"/>
    </row>
    <row r="49" spans="1:10" ht="12.75" customHeight="1">
      <c r="C49" s="49"/>
      <c r="D49" s="50"/>
      <c r="E49" s="51"/>
      <c r="F49" s="75"/>
      <c r="G49" s="75"/>
      <c r="H49" s="75"/>
      <c r="I49" s="75"/>
    </row>
    <row r="50" spans="1:10" ht="12.75" customHeight="1">
      <c r="A50" s="27"/>
      <c r="B50" s="27"/>
      <c r="C50" s="52" t="s">
        <v>33</v>
      </c>
      <c r="D50" s="53" t="s">
        <v>34</v>
      </c>
      <c r="E50" s="53" t="s">
        <v>35</v>
      </c>
      <c r="F50" s="76"/>
      <c r="G50" s="75"/>
      <c r="H50" s="75"/>
      <c r="I50" s="75"/>
    </row>
    <row r="51" spans="1:10" ht="12.75" customHeight="1">
      <c r="A51" s="55" t="s">
        <v>7</v>
      </c>
      <c r="B51" s="56"/>
      <c r="C51" s="57">
        <v>164</v>
      </c>
      <c r="D51" s="57">
        <f>2.20462*3*10^-3</f>
        <v>6.6138599999999992E-3</v>
      </c>
      <c r="E51" s="57">
        <f>2.20462*6*10^-4</f>
        <v>1.3227719999999998E-3</v>
      </c>
      <c r="F51" s="77"/>
      <c r="G51" s="78"/>
      <c r="H51" s="78"/>
      <c r="I51" s="78"/>
    </row>
    <row r="52" spans="1:10" ht="12.75" customHeight="1">
      <c r="A52" s="55" t="s">
        <v>8</v>
      </c>
      <c r="B52" s="56"/>
      <c r="C52" s="58">
        <f>$D$23*C51/2000</f>
        <v>3016.944</v>
      </c>
      <c r="D52" s="58">
        <f>$D$23*D51/2000</f>
        <v>0.12166856855999998</v>
      </c>
      <c r="E52" s="58">
        <f>$D$23*E51/2000</f>
        <v>2.4333713711999997E-2</v>
      </c>
      <c r="F52" s="79"/>
      <c r="G52" s="80"/>
      <c r="H52" s="80"/>
      <c r="I52" s="80"/>
    </row>
    <row r="53" spans="1:10" ht="12.75" customHeight="1" thickBot="1">
      <c r="A53" s="27"/>
      <c r="B53" s="60"/>
      <c r="C53" s="80"/>
      <c r="D53" s="80"/>
      <c r="E53" s="80"/>
      <c r="F53" s="80"/>
      <c r="G53" s="80"/>
      <c r="H53" s="80"/>
      <c r="I53" s="80"/>
    </row>
    <row r="54" spans="1:10" ht="12.75" customHeight="1" thickBot="1">
      <c r="B54" s="81"/>
      <c r="C54" s="81"/>
      <c r="D54" s="20"/>
      <c r="F54" s="82"/>
      <c r="G54" s="83"/>
      <c r="H54" s="83"/>
      <c r="I54" s="84" t="s">
        <v>38</v>
      </c>
      <c r="J54" s="85">
        <f>C52+D52+E52</f>
        <v>3017.0900022822721</v>
      </c>
    </row>
    <row r="55" spans="1:10" ht="12.75" customHeight="1" thickBot="1">
      <c r="B55" s="81"/>
      <c r="C55" s="81"/>
      <c r="D55" s="20"/>
      <c r="F55" s="82"/>
      <c r="G55" s="83"/>
      <c r="H55" s="83"/>
      <c r="I55" s="84" t="s">
        <v>45</v>
      </c>
      <c r="J55" s="86">
        <f>C52*1+D52*25+E52*298</f>
        <v>3027.2371609001761</v>
      </c>
    </row>
    <row r="56" spans="1:10" ht="12.75" customHeight="1">
      <c r="A56" s="20"/>
      <c r="B56" s="20"/>
      <c r="C56" s="46"/>
      <c r="D56" s="46"/>
      <c r="E56" s="46"/>
      <c r="F56" s="46"/>
      <c r="G56" s="46"/>
      <c r="H56" s="46"/>
      <c r="I56" s="46"/>
    </row>
    <row r="57" spans="1:10" ht="12.75" customHeight="1">
      <c r="A57" s="12" t="s">
        <v>10</v>
      </c>
      <c r="B57" s="20"/>
      <c r="C57" s="20"/>
      <c r="D57" s="20"/>
      <c r="E57" s="20"/>
      <c r="F57" s="20"/>
      <c r="G57" s="20"/>
      <c r="H57" s="20"/>
    </row>
    <row r="58" spans="1:10" ht="12.75" customHeight="1">
      <c r="A58" s="71" t="s">
        <v>51</v>
      </c>
      <c r="B58" s="20"/>
      <c r="C58" s="20"/>
      <c r="D58" s="20"/>
      <c r="E58" s="20"/>
      <c r="F58" s="20"/>
      <c r="G58" s="20"/>
      <c r="H58" s="20"/>
    </row>
    <row r="59" spans="1:10" ht="12.75" customHeight="1">
      <c r="A59" s="71" t="s">
        <v>52</v>
      </c>
      <c r="B59" s="20"/>
      <c r="C59" s="20"/>
      <c r="D59" s="20"/>
      <c r="E59" s="20"/>
      <c r="F59" s="20"/>
      <c r="G59" s="20"/>
      <c r="H59" s="20"/>
    </row>
    <row r="60" spans="1:10" ht="12.75" customHeight="1">
      <c r="A60" s="87" t="s">
        <v>44</v>
      </c>
      <c r="B60" s="20"/>
      <c r="C60" s="20"/>
      <c r="D60" s="20"/>
      <c r="E60" s="20"/>
      <c r="F60" s="20"/>
      <c r="G60" s="20"/>
      <c r="H60" s="20"/>
    </row>
    <row r="61" spans="1:10" ht="12.75" customHeight="1">
      <c r="A61" s="71" t="s">
        <v>22</v>
      </c>
      <c r="B61" s="20"/>
      <c r="C61" s="20"/>
      <c r="D61" s="20"/>
      <c r="E61" s="20"/>
      <c r="F61" s="20"/>
      <c r="G61" s="20"/>
      <c r="H61" s="20"/>
    </row>
    <row r="62" spans="1:10" ht="32.25" customHeight="1">
      <c r="A62" s="88" t="s">
        <v>46</v>
      </c>
      <c r="B62" s="88"/>
      <c r="C62" s="88"/>
      <c r="D62" s="88"/>
      <c r="E62" s="88"/>
      <c r="F62" s="88"/>
      <c r="G62" s="88"/>
      <c r="H62" s="88"/>
    </row>
    <row r="63" spans="1:10" ht="12.75" customHeight="1">
      <c r="A63" s="89"/>
    </row>
    <row r="64" spans="1:10" ht="12.75" customHeight="1">
      <c r="A64" s="89"/>
    </row>
    <row r="65" spans="1:1" ht="12.75" customHeight="1">
      <c r="A65" s="89"/>
    </row>
    <row r="66" spans="1:1" ht="12.75" customHeight="1">
      <c r="A66" s="89"/>
    </row>
    <row r="67" spans="1:1" ht="12.75" customHeight="1">
      <c r="A67" s="89"/>
    </row>
    <row r="68" spans="1:1" ht="12.75" customHeight="1">
      <c r="A68" s="89"/>
    </row>
    <row r="69" spans="1:1" ht="12.75" customHeight="1">
      <c r="A69" s="89"/>
    </row>
    <row r="70" spans="1:1" ht="12.75" customHeight="1">
      <c r="A70" s="89"/>
    </row>
    <row r="71" spans="1:1" ht="12.75" customHeight="1">
      <c r="A71" s="89"/>
    </row>
    <row r="72" spans="1:1" ht="12.75" customHeight="1">
      <c r="A72" s="89"/>
    </row>
    <row r="73" spans="1:1" ht="12.75" customHeight="1">
      <c r="A73" s="89"/>
    </row>
    <row r="74" spans="1:1" ht="12.75" customHeight="1">
      <c r="A74" s="89"/>
    </row>
    <row r="75" spans="1:1" ht="12.75" customHeight="1">
      <c r="A75" s="89"/>
    </row>
  </sheetData>
  <sheetProtection algorithmName="SHA-512" hashValue="BYt0IVRxhCx7Zy2mni3CIZ3sFk/NYDVBrthec7xpESKQw/huc9vOU9bt8UTzViQCKjfJhROAvkBXx0lQISHgdg==" saltValue="DH+S/RF2ldOx+ez8jBx2KQ==" spinCount="100000" sheet="1" objects="1" scenarios="1"/>
  <mergeCells count="6">
    <mergeCell ref="A16:I17"/>
    <mergeCell ref="A62:H62"/>
    <mergeCell ref="A29:I30"/>
    <mergeCell ref="A5:J8"/>
    <mergeCell ref="A10:J10"/>
    <mergeCell ref="A12:J14"/>
  </mergeCells>
  <phoneticPr fontId="0" type="noConversion"/>
  <pageMargins left="0.5" right="0.5" top="0.5" bottom="0.5" header="0.5" footer="0.5"/>
  <pageSetup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outingRuleDescription xmlns="http://schemas.microsoft.com/sharepoint/v3">Internal Combustion Diesel Engine 600 hp and Less</RoutingRuleDescription>
    <Confidentiality_x0020_Status xmlns="157d2481-7646-4106-b82b-066a865f8875">Can be shared with public as necessary</Confidentiality_x0020_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628308D3A2DC448C73EE180961450F" ma:contentTypeVersion="6" ma:contentTypeDescription="Create a new document." ma:contentTypeScope="" ma:versionID="c0ca020b52890a0216d9b6b6ba0f0602">
  <xsd:schema xmlns:xsd="http://www.w3.org/2001/XMLSchema" xmlns:xs="http://www.w3.org/2001/XMLSchema" xmlns:p="http://schemas.microsoft.com/office/2006/metadata/properties" xmlns:ns1="http://schemas.microsoft.com/sharepoint/v3" xmlns:ns2="157d2481-7646-4106-b82b-066a865f8875" targetNamespace="http://schemas.microsoft.com/office/2006/metadata/properties" ma:root="true" ma:fieldsID="73245034564760b5d3d5b6e85716306d" ns1:_="" ns2:_="">
    <xsd:import namespace="http://schemas.microsoft.com/sharepoint/v3"/>
    <xsd:import namespace="157d2481-7646-4106-b82b-066a865f8875"/>
    <xsd:element name="properties">
      <xsd:complexType>
        <xsd:sequence>
          <xsd:element name="documentManagement">
            <xsd:complexType>
              <xsd:all>
                <xsd:element ref="ns1:RoutingRuleDescription"/>
                <xsd:element ref="ns2:Confidentiality_x0020_Status"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ma:displayName="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7d2481-7646-4106-b82b-066a865f8875" elementFormDefault="qualified">
    <xsd:import namespace="http://schemas.microsoft.com/office/2006/documentManagement/types"/>
    <xsd:import namespace="http://schemas.microsoft.com/office/infopath/2007/PartnerControls"/>
    <xsd:element name="Confidentiality_x0020_Status" ma:index="2" nillable="true" ma:displayName="Confidentiality Status" ma:description="Specify the confidentiality status of the document." ma:format="Dropdown" ma:internalName="Confidentiality_x0020_Status">
      <xsd:simpleType>
        <xsd:restriction base="dms:Choice">
          <xsd:enumeration value="Internal Deliberative - Not for sharing outside CTAP"/>
          <xsd:enumeration value="Can be shared with public as necessary"/>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60671-0C76-4F5B-BA66-D204B8CE0136}">
  <ds:schemaRefs>
    <ds:schemaRef ds:uri="http://schemas.microsoft.com/sharepoint/v3/contenttype/forms"/>
  </ds:schemaRefs>
</ds:datastoreItem>
</file>

<file path=customXml/itemProps2.xml><?xml version="1.0" encoding="utf-8"?>
<ds:datastoreItem xmlns:ds="http://schemas.openxmlformats.org/officeDocument/2006/customXml" ds:itemID="{0D116D75-E3D8-4958-8833-B7181272E335}">
  <ds:schemaRef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157d2481-7646-4106-b82b-066a865f8875"/>
    <ds:schemaRef ds:uri="http://schemas.microsoft.com/sharepoint/v3"/>
    <ds:schemaRef ds:uri="http://purl.org/dc/elements/1.1/"/>
  </ds:schemaRefs>
</ds:datastoreItem>
</file>

<file path=customXml/itemProps3.xml><?xml version="1.0" encoding="utf-8"?>
<ds:datastoreItem xmlns:ds="http://schemas.openxmlformats.org/officeDocument/2006/customXml" ds:itemID="{50767402-745F-4C3F-B4B0-DB8AD4E926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Diesel - hp</vt:lpstr>
      <vt:lpstr>Diesel - MMBtu</vt:lpstr>
      <vt:lpstr>'Diesel - hp'!Print_Area</vt:lpstr>
      <vt:lpstr>'Diesel - MMBtu'!Print_Area</vt:lpstr>
      <vt:lpstr>Print_Area</vt:lpstr>
    </vt:vector>
  </TitlesOfParts>
  <Company>IDEM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Combustion Diesel Engine 600 hp and Less</dc:title>
  <dc:creator/>
  <cp:lastModifiedBy>Bell, Nathan</cp:lastModifiedBy>
  <cp:lastPrinted>2009-04-09T19:23:19Z</cp:lastPrinted>
  <dcterms:created xsi:type="dcterms:W3CDTF">2002-01-21T16:51:05Z</dcterms:created>
  <dcterms:modified xsi:type="dcterms:W3CDTF">2022-03-10T21:36:26Z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0x0101003B628308D3A2DC448C73EE180961450F</vt:lpwstr>
  </property>
  <property fmtid="{D5CDD505-2E9C-101B-9397-08002B2CF9AE}" pid="3" name="Order">
    <vt:r8>9200</vt:r8>
  </property>
  <property fmtid="{D5CDD505-2E9C-101B-9397-08002B2CF9AE}" pid="4" name="Author">
    <vt:lpwstr>3;#;UserInfo</vt:lpwstr>
  </property>
  <property fmtid="{D5CDD505-2E9C-101B-9397-08002B2CF9AE}" pid="5" name="_ShortcutWebId">
    <vt:lpwstr/>
  </property>
  <property fmtid="{D5CDD505-2E9C-101B-9397-08002B2CF9AE}" pid="6" name="_ShortcutUniqueId">
    <vt:lpwstr/>
  </property>
  <property fmtid="{D5CDD505-2E9C-101B-9397-08002B2CF9AE}" pid="7" name="_ShortcutSiteId">
    <vt:lpwstr/>
  </property>
  <property fmtid="{D5CDD505-2E9C-101B-9397-08002B2CF9AE}" pid="8" name="Created">
    <vt:filetime>2014-01-11T02:23:24Z</vt:filetime>
  </property>
  <property fmtid="{D5CDD505-2E9C-101B-9397-08002B2CF9AE}" pid="9" name="Modified">
    <vt:filetime>2014-10-03T00:45:16Z</vt:filetime>
  </property>
  <property fmtid="{D5CDD505-2E9C-101B-9397-08002B2CF9AE}" pid="10" name="Editor">
    <vt:lpwstr>3;#;UserInfo</vt:lpwstr>
  </property>
  <property fmtid="{D5CDD505-2E9C-101B-9397-08002B2CF9AE}" pid="11" name="_ShortcutUrl">
    <vt:lpwstr/>
  </property>
  <property fmtid="{D5CDD505-2E9C-101B-9397-08002B2CF9AE}" pid="12" name="AssignedTo">
    <vt:lpwstr>22;#WOLKINS, JED</vt:lpwstr>
  </property>
  <property fmtid="{D5CDD505-2E9C-101B-9397-08002B2CF9AE}" pid="13" name="Training">
    <vt:bool>false</vt:bool>
  </property>
  <property fmtid="{D5CDD505-2E9C-101B-9397-08002B2CF9AE}" pid="14" name="Doc_type">
    <vt:lpwstr>Calculation</vt:lpwstr>
  </property>
  <property fmtid="{D5CDD505-2E9C-101B-9397-08002B2CF9AE}" pid="15" name="RoutingRuleDescription">
    <vt:lpwstr>Diesel Engines equal to or &lt; 4.2 MMBtu/hr, 600 hp</vt:lpwstr>
  </property>
</Properties>
</file>