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workbookProtection lockStructure="1"/>
  <bookViews>
    <workbookView xWindow="-47040" yWindow="-75" windowWidth="20730" windowHeight="11760" tabRatio="533"/>
  </bookViews>
  <sheets>
    <sheet name="PolicyInputs" sheetId="1" r:id="rId1"/>
    <sheet name="EconomicInputs" sheetId="3" r:id="rId2"/>
    <sheet name="TechnicalInputs" sheetId="4" r:id="rId3"/>
    <sheet name="Evasion" sheetId="7" r:id="rId4"/>
    <sheet name="TransactionCosts" sheetId="8" r:id="rId5"/>
    <sheet name="CollectionCosts" sheetId="9" r:id="rId6"/>
    <sheet name="TabularOutputs" sheetId="5" r:id="rId7"/>
    <sheet name="Lists" sheetId="2" r:id="rId8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7" i="1"/>
  <c r="Q5"/>
  <c r="R5"/>
  <c r="S5"/>
  <c r="S7"/>
  <c r="T5"/>
  <c r="T7"/>
  <c r="U5"/>
  <c r="U7"/>
  <c r="V5"/>
  <c r="V7"/>
  <c r="W5"/>
  <c r="W7"/>
  <c r="X5"/>
  <c r="X7"/>
  <c r="Y5"/>
  <c r="Y7"/>
  <c r="Z5"/>
  <c r="Z7"/>
  <c r="AA5"/>
  <c r="AA7"/>
  <c r="AB5"/>
  <c r="AB7"/>
  <c r="AC5"/>
  <c r="AC7"/>
  <c r="AD5"/>
  <c r="AD7"/>
  <c r="AE5"/>
  <c r="AE7"/>
  <c r="AF5"/>
  <c r="AF7"/>
  <c r="AG5"/>
  <c r="AG7"/>
  <c r="AH5"/>
  <c r="AH7"/>
  <c r="AI5"/>
  <c r="AI7"/>
  <c r="AJ5"/>
  <c r="AJ7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B9" i="5" a="1"/>
  <c r="B11"/>
  <c r="K11" i="3"/>
  <c r="A37"/>
  <c r="A38"/>
  <c r="A39"/>
  <c r="A40"/>
  <c r="A41"/>
  <c r="A42"/>
  <c r="A43"/>
  <c r="A42" i="5"/>
  <c r="B42"/>
  <c r="B73"/>
  <c r="B25" i="9"/>
  <c r="C22"/>
  <c r="C23"/>
  <c r="C24"/>
  <c r="C25"/>
  <c r="F25"/>
  <c r="B105" i="5"/>
  <c r="B130" a="1"/>
  <c r="B130"/>
  <c r="B138"/>
  <c r="A261"/>
  <c r="A262"/>
  <c r="A263"/>
  <c r="A264"/>
  <c r="A265"/>
  <c r="A266"/>
  <c r="A267"/>
  <c r="B267"/>
  <c r="C11"/>
  <c r="L11" i="3"/>
  <c r="C42" i="5"/>
  <c r="C73"/>
  <c r="I25" i="9"/>
  <c r="D11" i="5"/>
  <c r="M43" i="3"/>
  <c r="M11"/>
  <c r="D42" i="5"/>
  <c r="D73"/>
  <c r="R12" i="1"/>
  <c r="H11" i="5"/>
  <c r="J11" i="3"/>
  <c r="H42" i="5"/>
  <c r="H73"/>
  <c r="R24" i="1"/>
  <c r="T11" i="5"/>
  <c r="Z11" i="3"/>
  <c r="T42" i="5"/>
  <c r="T73"/>
  <c r="H19" i="9"/>
  <c r="H20"/>
  <c r="H21"/>
  <c r="H22"/>
  <c r="H23"/>
  <c r="H24"/>
  <c r="H25"/>
  <c r="J25"/>
  <c r="M25"/>
  <c r="C105" i="5"/>
  <c r="C130"/>
  <c r="C138"/>
  <c r="C267"/>
  <c r="O19" i="9"/>
  <c r="O20"/>
  <c r="O21"/>
  <c r="O22"/>
  <c r="O23"/>
  <c r="O24"/>
  <c r="O25"/>
  <c r="Q25"/>
  <c r="T25"/>
  <c r="D105" i="5"/>
  <c r="D130"/>
  <c r="D138"/>
  <c r="D267"/>
  <c r="R9" i="1"/>
  <c r="E11" i="5"/>
  <c r="N11" i="3"/>
  <c r="O11"/>
  <c r="E42" i="5"/>
  <c r="E73"/>
  <c r="W25" i="9"/>
  <c r="X25"/>
  <c r="AA25"/>
  <c r="E105" i="5"/>
  <c r="E130"/>
  <c r="E138"/>
  <c r="E267"/>
  <c r="R10" i="1"/>
  <c r="F11" i="5"/>
  <c r="C11" i="3"/>
  <c r="F42" i="5"/>
  <c r="F73"/>
  <c r="AC19" i="9"/>
  <c r="AC20"/>
  <c r="AC21"/>
  <c r="AC22"/>
  <c r="AC23"/>
  <c r="AC24"/>
  <c r="AC25"/>
  <c r="AE25"/>
  <c r="AW26"/>
  <c r="BA18"/>
  <c r="AX26"/>
  <c r="BB18"/>
  <c r="AY26"/>
  <c r="BC18"/>
  <c r="B8"/>
  <c r="AF25"/>
  <c r="AH25"/>
  <c r="F105" i="5"/>
  <c r="F130"/>
  <c r="F138"/>
  <c r="F267"/>
  <c r="R11" i="1"/>
  <c r="E11" i="3"/>
  <c r="F11"/>
  <c r="AJ19" i="9"/>
  <c r="AJ20"/>
  <c r="AJ21"/>
  <c r="AJ22"/>
  <c r="AJ23"/>
  <c r="AJ24"/>
  <c r="AJ25"/>
  <c r="AL25"/>
  <c r="BA20"/>
  <c r="BB20"/>
  <c r="BC20"/>
  <c r="B7"/>
  <c r="AM25"/>
  <c r="AO25"/>
  <c r="G130" i="5"/>
  <c r="A49" i="9"/>
  <c r="A50"/>
  <c r="A51"/>
  <c r="A52"/>
  <c r="A53"/>
  <c r="A54"/>
  <c r="A55"/>
  <c r="C55"/>
  <c r="F55"/>
  <c r="H105" i="5"/>
  <c r="H130"/>
  <c r="H138"/>
  <c r="H267"/>
  <c r="R13" i="1"/>
  <c r="I11" i="5"/>
  <c r="I130"/>
  <c r="I138"/>
  <c r="I267"/>
  <c r="R14" i="1"/>
  <c r="J130" i="5"/>
  <c r="R15" i="1"/>
  <c r="K11" i="5"/>
  <c r="Y11" i="3"/>
  <c r="K42" i="5"/>
  <c r="K73"/>
  <c r="W55" i="9"/>
  <c r="X55"/>
  <c r="AA55"/>
  <c r="K105" i="5"/>
  <c r="K130"/>
  <c r="K138"/>
  <c r="K267"/>
  <c r="R16" i="1"/>
  <c r="L11" i="5"/>
  <c r="W11" i="3"/>
  <c r="L42" i="5"/>
  <c r="L73"/>
  <c r="AE55" i="9"/>
  <c r="AH55"/>
  <c r="L105" i="5"/>
  <c r="L130"/>
  <c r="L138"/>
  <c r="L267"/>
  <c r="R17" i="1"/>
  <c r="M11" i="5"/>
  <c r="M42"/>
  <c r="M73"/>
  <c r="M105"/>
  <c r="M130"/>
  <c r="M138"/>
  <c r="M267"/>
  <c r="R18" i="1"/>
  <c r="N11" i="5"/>
  <c r="X11" i="3"/>
  <c r="N42" i="5"/>
  <c r="N73"/>
  <c r="B116" i="9"/>
  <c r="C116"/>
  <c r="F116"/>
  <c r="N105" i="5"/>
  <c r="N130"/>
  <c r="N138"/>
  <c r="N267"/>
  <c r="R19" i="1"/>
  <c r="O130" i="5"/>
  <c r="R20" i="1"/>
  <c r="P130" i="5"/>
  <c r="R21" i="1"/>
  <c r="Q11" i="5"/>
  <c r="Q5"/>
  <c r="Q6"/>
  <c r="Q42"/>
  <c r="Q73"/>
  <c r="Q105"/>
  <c r="Q130"/>
  <c r="Q138"/>
  <c r="Q267"/>
  <c r="R22" i="1"/>
  <c r="R11" i="5"/>
  <c r="R5"/>
  <c r="R6"/>
  <c r="R42"/>
  <c r="R73"/>
  <c r="R105"/>
  <c r="R130"/>
  <c r="R138"/>
  <c r="R267"/>
  <c r="R23" i="1"/>
  <c r="S11" i="5"/>
  <c r="S5"/>
  <c r="S6"/>
  <c r="S42"/>
  <c r="S73"/>
  <c r="S105"/>
  <c r="S130"/>
  <c r="S138"/>
  <c r="S267"/>
  <c r="AC79" i="9"/>
  <c r="AC80"/>
  <c r="AC81"/>
  <c r="AC82"/>
  <c r="AC83"/>
  <c r="AC84"/>
  <c r="AC85"/>
  <c r="AE85"/>
  <c r="AH85"/>
  <c r="T105" i="5"/>
  <c r="T130"/>
  <c r="T138"/>
  <c r="T267"/>
  <c r="U11"/>
  <c r="U130"/>
  <c r="U138"/>
  <c r="U267"/>
  <c r="V11"/>
  <c r="V130"/>
  <c r="V138"/>
  <c r="V267"/>
  <c r="W11"/>
  <c r="W130"/>
  <c r="W138"/>
  <c r="W267"/>
  <c r="R28" i="1"/>
  <c r="X11" i="5"/>
  <c r="V11" i="3"/>
  <c r="X42" i="5"/>
  <c r="X73"/>
  <c r="AK85" i="9"/>
  <c r="AL85"/>
  <c r="AO85"/>
  <c r="X105" i="5"/>
  <c r="X130"/>
  <c r="X138"/>
  <c r="X267"/>
  <c r="R29" i="1"/>
  <c r="Y11" i="5"/>
  <c r="Y130"/>
  <c r="Y138"/>
  <c r="Y267"/>
  <c r="R30" i="1"/>
  <c r="Z11" i="5"/>
  <c r="Z130"/>
  <c r="Z138"/>
  <c r="Z267"/>
  <c r="R31" i="1"/>
  <c r="AA11" i="5"/>
  <c r="AA130"/>
  <c r="AA138"/>
  <c r="AA267"/>
  <c r="R32" i="1"/>
  <c r="AB11" i="5"/>
  <c r="AB130"/>
  <c r="AB138"/>
  <c r="AB267"/>
  <c r="AC40"/>
  <c r="AC41"/>
  <c r="AC42"/>
  <c r="AC73"/>
  <c r="AC130"/>
  <c r="AC138"/>
  <c r="AC267"/>
  <c r="B12"/>
  <c r="K12" i="3"/>
  <c r="A44"/>
  <c r="A43" i="5"/>
  <c r="B43"/>
  <c r="B74"/>
  <c r="B26" i="9"/>
  <c r="C26"/>
  <c r="F26"/>
  <c r="B106" i="5"/>
  <c r="B139"/>
  <c r="A268"/>
  <c r="B268"/>
  <c r="C12"/>
  <c r="L12" i="3"/>
  <c r="C43" i="5"/>
  <c r="C74"/>
  <c r="I26" i="9"/>
  <c r="D12" i="5"/>
  <c r="M44" i="3"/>
  <c r="M12"/>
  <c r="D43" i="5"/>
  <c r="D74"/>
  <c r="S12" i="1"/>
  <c r="H12" i="5"/>
  <c r="J12" i="3"/>
  <c r="H43" i="5"/>
  <c r="H74"/>
  <c r="S24" i="1"/>
  <c r="T12" i="5"/>
  <c r="Z12" i="3"/>
  <c r="T43" i="5"/>
  <c r="T74"/>
  <c r="H26" i="9"/>
  <c r="J26"/>
  <c r="M26"/>
  <c r="C106" i="5"/>
  <c r="C139"/>
  <c r="C268"/>
  <c r="O26" i="9"/>
  <c r="Q26"/>
  <c r="T26"/>
  <c r="D106" i="5"/>
  <c r="D139"/>
  <c r="D268"/>
  <c r="S9" i="1"/>
  <c r="E12" i="5"/>
  <c r="N12" i="3"/>
  <c r="O12"/>
  <c r="E43" i="5"/>
  <c r="E74"/>
  <c r="W26" i="9"/>
  <c r="X26"/>
  <c r="AA26"/>
  <c r="E106" i="5"/>
  <c r="E139"/>
  <c r="E268"/>
  <c r="S10" i="1"/>
  <c r="C12" i="3"/>
  <c r="AC26" i="9"/>
  <c r="AE26"/>
  <c r="AF26"/>
  <c r="AH26"/>
  <c r="S11" i="1"/>
  <c r="E12" i="3"/>
  <c r="F12"/>
  <c r="AJ26" i="9"/>
  <c r="AL26"/>
  <c r="AM26"/>
  <c r="AO26"/>
  <c r="A56"/>
  <c r="C56"/>
  <c r="F56"/>
  <c r="H106" i="5"/>
  <c r="H139"/>
  <c r="H268"/>
  <c r="S13" i="1"/>
  <c r="I12" i="5"/>
  <c r="I139"/>
  <c r="I268"/>
  <c r="S14" i="1"/>
  <c r="S15"/>
  <c r="K12" i="5"/>
  <c r="Y12" i="3"/>
  <c r="K43" i="5"/>
  <c r="K74"/>
  <c r="W56" i="9"/>
  <c r="X56"/>
  <c r="AA56"/>
  <c r="K106" i="5"/>
  <c r="K139"/>
  <c r="K268"/>
  <c r="S16" i="1"/>
  <c r="W12" i="3"/>
  <c r="S17" i="1"/>
  <c r="S18"/>
  <c r="N12" i="5"/>
  <c r="X12" i="3"/>
  <c r="N43" i="5"/>
  <c r="N74"/>
  <c r="B117" i="9"/>
  <c r="C117"/>
  <c r="F117"/>
  <c r="N106" i="5"/>
  <c r="N139"/>
  <c r="N268"/>
  <c r="S19" i="1"/>
  <c r="S20"/>
  <c r="S21"/>
  <c r="Q12" i="5"/>
  <c r="Q7"/>
  <c r="Q43"/>
  <c r="Q74"/>
  <c r="Q106"/>
  <c r="Q139"/>
  <c r="Q268"/>
  <c r="S22" i="1"/>
  <c r="R12" i="5"/>
  <c r="R7"/>
  <c r="R43"/>
  <c r="R74"/>
  <c r="R106"/>
  <c r="R139"/>
  <c r="R268"/>
  <c r="S23" i="1"/>
  <c r="S12" i="5"/>
  <c r="S7"/>
  <c r="S43"/>
  <c r="S74"/>
  <c r="S106"/>
  <c r="S139"/>
  <c r="S268"/>
  <c r="AC86" i="9"/>
  <c r="AE86"/>
  <c r="AH86"/>
  <c r="T106" i="5"/>
  <c r="T139"/>
  <c r="T268"/>
  <c r="U12"/>
  <c r="U139"/>
  <c r="U268"/>
  <c r="V12"/>
  <c r="V139"/>
  <c r="V268"/>
  <c r="W12"/>
  <c r="W139"/>
  <c r="W268"/>
  <c r="S28" i="1"/>
  <c r="X12" i="5"/>
  <c r="V12" i="3"/>
  <c r="X43" i="5"/>
  <c r="X74"/>
  <c r="AK86" i="9"/>
  <c r="AL86"/>
  <c r="AO86"/>
  <c r="X106" i="5"/>
  <c r="X139"/>
  <c r="X268"/>
  <c r="S29" i="1"/>
  <c r="S30"/>
  <c r="S31"/>
  <c r="S32"/>
  <c r="AC43" i="5"/>
  <c r="AC74"/>
  <c r="AC139"/>
  <c r="AC268"/>
  <c r="B13"/>
  <c r="K13" i="3"/>
  <c r="A45"/>
  <c r="A44" i="5"/>
  <c r="B44"/>
  <c r="B75"/>
  <c r="B27" i="9"/>
  <c r="C27"/>
  <c r="F27"/>
  <c r="B107" i="5"/>
  <c r="B140"/>
  <c r="A269"/>
  <c r="B269"/>
  <c r="C13"/>
  <c r="L13" i="3"/>
  <c r="C44" i="5"/>
  <c r="C75"/>
  <c r="I27" i="9"/>
  <c r="D13" i="5"/>
  <c r="M45" i="3"/>
  <c r="M13"/>
  <c r="D44" i="5"/>
  <c r="D75"/>
  <c r="T12" i="1"/>
  <c r="H13" i="5"/>
  <c r="J13" i="3"/>
  <c r="H44" i="5"/>
  <c r="H75"/>
  <c r="T24" i="1"/>
  <c r="T13" i="5"/>
  <c r="Z13" i="3"/>
  <c r="T44" i="5"/>
  <c r="T75"/>
  <c r="H27" i="9"/>
  <c r="J27"/>
  <c r="M27"/>
  <c r="C107" i="5"/>
  <c r="C140"/>
  <c r="C269"/>
  <c r="O27" i="9"/>
  <c r="Q27"/>
  <c r="T27"/>
  <c r="D107" i="5"/>
  <c r="D140"/>
  <c r="D269"/>
  <c r="T9" i="1"/>
  <c r="E13" i="5"/>
  <c r="N13" i="3"/>
  <c r="O13"/>
  <c r="E44" i="5"/>
  <c r="E75"/>
  <c r="W27" i="9"/>
  <c r="X27"/>
  <c r="AA27"/>
  <c r="E107" i="5"/>
  <c r="E140"/>
  <c r="E269"/>
  <c r="T10" i="1"/>
  <c r="C13" i="3"/>
  <c r="AC27" i="9"/>
  <c r="AE27"/>
  <c r="AF27"/>
  <c r="AH27"/>
  <c r="T11" i="1"/>
  <c r="E13" i="3"/>
  <c r="F13"/>
  <c r="AJ27" i="9"/>
  <c r="AL27"/>
  <c r="AM27"/>
  <c r="AO27"/>
  <c r="A57"/>
  <c r="C57"/>
  <c r="F57"/>
  <c r="H107" i="5"/>
  <c r="H140"/>
  <c r="H269"/>
  <c r="T13" i="1"/>
  <c r="I13" i="5"/>
  <c r="I140"/>
  <c r="I269"/>
  <c r="T14" i="1"/>
  <c r="T15"/>
  <c r="K13" i="5"/>
  <c r="Y13" i="3"/>
  <c r="K44" i="5"/>
  <c r="K75"/>
  <c r="W57" i="9"/>
  <c r="X57"/>
  <c r="AA57"/>
  <c r="K107" i="5"/>
  <c r="K140"/>
  <c r="K269"/>
  <c r="T16" i="1"/>
  <c r="W13" i="3"/>
  <c r="T17" i="1"/>
  <c r="T18"/>
  <c r="N13" i="5"/>
  <c r="X13" i="3"/>
  <c r="N44" i="5"/>
  <c r="N75"/>
  <c r="B118" i="9"/>
  <c r="C118"/>
  <c r="F118"/>
  <c r="N107" i="5"/>
  <c r="N140"/>
  <c r="N269"/>
  <c r="T19" i="1"/>
  <c r="T20"/>
  <c r="T21"/>
  <c r="Q13" i="5"/>
  <c r="Q8"/>
  <c r="Q44"/>
  <c r="Q75"/>
  <c r="Q107"/>
  <c r="Q140"/>
  <c r="Q269"/>
  <c r="T22" i="1"/>
  <c r="R13" i="5"/>
  <c r="R8"/>
  <c r="R44"/>
  <c r="R75"/>
  <c r="R107"/>
  <c r="R140"/>
  <c r="R269"/>
  <c r="T23" i="1"/>
  <c r="S13" i="5"/>
  <c r="S8"/>
  <c r="S44"/>
  <c r="S75"/>
  <c r="S107"/>
  <c r="S140"/>
  <c r="S269"/>
  <c r="AC87" i="9"/>
  <c r="AE87"/>
  <c r="AH87"/>
  <c r="T107" i="5"/>
  <c r="T140"/>
  <c r="T269"/>
  <c r="U13"/>
  <c r="U140"/>
  <c r="U269"/>
  <c r="V13"/>
  <c r="V140"/>
  <c r="V269"/>
  <c r="W13"/>
  <c r="W140"/>
  <c r="W269"/>
  <c r="T28" i="1"/>
  <c r="X13" i="5"/>
  <c r="V13" i="3"/>
  <c r="X44" i="5"/>
  <c r="X75"/>
  <c r="AK87" i="9"/>
  <c r="AL87"/>
  <c r="AO87"/>
  <c r="X107" i="5"/>
  <c r="X140"/>
  <c r="X269"/>
  <c r="T29" i="1"/>
  <c r="T30"/>
  <c r="T31"/>
  <c r="T32"/>
  <c r="AC44" i="5"/>
  <c r="AC75"/>
  <c r="AC140"/>
  <c r="AC269"/>
  <c r="B14"/>
  <c r="K14" i="3"/>
  <c r="A46"/>
  <c r="A45" i="5"/>
  <c r="B45"/>
  <c r="B76"/>
  <c r="B28" i="9"/>
  <c r="C28"/>
  <c r="F28"/>
  <c r="B108" i="5"/>
  <c r="B141"/>
  <c r="A270"/>
  <c r="B270"/>
  <c r="C14"/>
  <c r="L14" i="3"/>
  <c r="C45" i="5"/>
  <c r="C76"/>
  <c r="I28" i="9"/>
  <c r="D14" i="5"/>
  <c r="M46" i="3"/>
  <c r="M14"/>
  <c r="D45" i="5"/>
  <c r="D76"/>
  <c r="U12" i="1"/>
  <c r="H14" i="5"/>
  <c r="J14" i="3"/>
  <c r="H45" i="5"/>
  <c r="H76"/>
  <c r="U24" i="1"/>
  <c r="T14" i="5"/>
  <c r="Z14" i="3"/>
  <c r="T45" i="5"/>
  <c r="T76"/>
  <c r="H28" i="9"/>
  <c r="J28"/>
  <c r="M28"/>
  <c r="C108" i="5"/>
  <c r="C141"/>
  <c r="C270"/>
  <c r="O28" i="9"/>
  <c r="Q28"/>
  <c r="T28"/>
  <c r="D108" i="5"/>
  <c r="D141"/>
  <c r="D270"/>
  <c r="U9" i="1"/>
  <c r="E14" i="5"/>
  <c r="N14" i="3"/>
  <c r="O14"/>
  <c r="E45" i="5"/>
  <c r="E76"/>
  <c r="W28" i="9"/>
  <c r="X28"/>
  <c r="AA28"/>
  <c r="E108" i="5"/>
  <c r="E141"/>
  <c r="E270"/>
  <c r="U10" i="1"/>
  <c r="C14" i="3"/>
  <c r="AC28" i="9"/>
  <c r="AE28"/>
  <c r="AF28"/>
  <c r="AH28"/>
  <c r="U11" i="1"/>
  <c r="E14" i="3"/>
  <c r="F14"/>
  <c r="AJ28" i="9"/>
  <c r="AL28"/>
  <c r="AM28"/>
  <c r="AO28"/>
  <c r="A58"/>
  <c r="C58"/>
  <c r="F58"/>
  <c r="H108" i="5"/>
  <c r="H141"/>
  <c r="H270"/>
  <c r="U13" i="1"/>
  <c r="I14" i="5"/>
  <c r="I141"/>
  <c r="I270"/>
  <c r="U14" i="1"/>
  <c r="U15"/>
  <c r="K14" i="5"/>
  <c r="Y14" i="3"/>
  <c r="K45" i="5"/>
  <c r="K76"/>
  <c r="W58" i="9"/>
  <c r="X58"/>
  <c r="AA58"/>
  <c r="K108" i="5"/>
  <c r="K141"/>
  <c r="K270"/>
  <c r="U16" i="1"/>
  <c r="W14" i="3"/>
  <c r="U17" i="1"/>
  <c r="U18"/>
  <c r="N14" i="5"/>
  <c r="X14" i="3"/>
  <c r="N45" i="5"/>
  <c r="N76"/>
  <c r="B119" i="9"/>
  <c r="C119"/>
  <c r="F119"/>
  <c r="N108" i="5"/>
  <c r="N141"/>
  <c r="N270"/>
  <c r="U19" i="1"/>
  <c r="U20"/>
  <c r="Q14" i="3"/>
  <c r="U9" i="8"/>
  <c r="K5" a="1"/>
  <c r="U5"/>
  <c r="K6" a="1"/>
  <c r="U6"/>
  <c r="U7"/>
  <c r="BI31"/>
  <c r="J31"/>
  <c r="K31"/>
  <c r="L31"/>
  <c r="CY31"/>
  <c r="BI32"/>
  <c r="J32"/>
  <c r="K32"/>
  <c r="L32"/>
  <c r="CY32"/>
  <c r="BI33"/>
  <c r="J33"/>
  <c r="K33"/>
  <c r="L33"/>
  <c r="CY33"/>
  <c r="BI34"/>
  <c r="J34"/>
  <c r="K34"/>
  <c r="L34"/>
  <c r="CY34"/>
  <c r="BI35"/>
  <c r="J35"/>
  <c r="K35"/>
  <c r="L35"/>
  <c r="CY35"/>
  <c r="BI36"/>
  <c r="J36"/>
  <c r="K36"/>
  <c r="L36"/>
  <c r="CY36"/>
  <c r="BI37"/>
  <c r="J37"/>
  <c r="K37"/>
  <c r="L37"/>
  <c r="CY37"/>
  <c r="BI38"/>
  <c r="J38"/>
  <c r="K38"/>
  <c r="L38"/>
  <c r="CY38"/>
  <c r="BI39"/>
  <c r="J39"/>
  <c r="K39"/>
  <c r="L39"/>
  <c r="CY39"/>
  <c r="BI40"/>
  <c r="J40"/>
  <c r="K40"/>
  <c r="L40"/>
  <c r="CY40"/>
  <c r="BI41"/>
  <c r="J41"/>
  <c r="K41"/>
  <c r="L41"/>
  <c r="CY41"/>
  <c r="BI42"/>
  <c r="J42"/>
  <c r="K42"/>
  <c r="L42"/>
  <c r="CY42"/>
  <c r="BI43"/>
  <c r="J43"/>
  <c r="K43"/>
  <c r="L43"/>
  <c r="CY43"/>
  <c r="BI44"/>
  <c r="J44"/>
  <c r="K44"/>
  <c r="L44"/>
  <c r="CY44"/>
  <c r="BI45"/>
  <c r="J45"/>
  <c r="K45"/>
  <c r="L45"/>
  <c r="CY45"/>
  <c r="BI46"/>
  <c r="J46"/>
  <c r="K46"/>
  <c r="L46"/>
  <c r="CY46"/>
  <c r="BI47"/>
  <c r="J47"/>
  <c r="K47"/>
  <c r="L47"/>
  <c r="CY47"/>
  <c r="BI48"/>
  <c r="J48"/>
  <c r="K48"/>
  <c r="L48"/>
  <c r="CY48"/>
  <c r="BI49"/>
  <c r="J49"/>
  <c r="K49"/>
  <c r="L49"/>
  <c r="CY49"/>
  <c r="BI50"/>
  <c r="J50"/>
  <c r="K50"/>
  <c r="L50"/>
  <c r="CY50"/>
  <c r="BI51"/>
  <c r="J51"/>
  <c r="K51"/>
  <c r="L51"/>
  <c r="CY51"/>
  <c r="BI52"/>
  <c r="J52"/>
  <c r="K52"/>
  <c r="L52"/>
  <c r="CY52"/>
  <c r="BI53"/>
  <c r="J53"/>
  <c r="K53"/>
  <c r="L53"/>
  <c r="CY53"/>
  <c r="BI54"/>
  <c r="J54"/>
  <c r="K54"/>
  <c r="L54"/>
  <c r="CY54"/>
  <c r="BI55"/>
  <c r="J55"/>
  <c r="K55"/>
  <c r="L55"/>
  <c r="CY55"/>
  <c r="BI56"/>
  <c r="J56"/>
  <c r="K56"/>
  <c r="L56"/>
  <c r="CY56"/>
  <c r="BI57"/>
  <c r="J57"/>
  <c r="K57"/>
  <c r="L57"/>
  <c r="CY57"/>
  <c r="BI58"/>
  <c r="J58"/>
  <c r="K58"/>
  <c r="L58"/>
  <c r="CY58"/>
  <c r="BI59"/>
  <c r="J59"/>
  <c r="K59"/>
  <c r="L59"/>
  <c r="CY59"/>
  <c r="BI60"/>
  <c r="J60"/>
  <c r="K60"/>
  <c r="L60"/>
  <c r="CY60"/>
  <c r="BI61"/>
  <c r="J61"/>
  <c r="K61"/>
  <c r="L61"/>
  <c r="CY61"/>
  <c r="BI62"/>
  <c r="J62"/>
  <c r="K62"/>
  <c r="L62"/>
  <c r="CY62"/>
  <c r="BI63"/>
  <c r="J63"/>
  <c r="K63"/>
  <c r="L63"/>
  <c r="CY63"/>
  <c r="BI64"/>
  <c r="J64"/>
  <c r="K64"/>
  <c r="L64"/>
  <c r="CY64"/>
  <c r="BI65"/>
  <c r="J65"/>
  <c r="K65"/>
  <c r="L65"/>
  <c r="CY65"/>
  <c r="BI66"/>
  <c r="J66"/>
  <c r="K66"/>
  <c r="L66"/>
  <c r="CY66"/>
  <c r="BI67"/>
  <c r="L67"/>
  <c r="CY67"/>
  <c r="CY68"/>
  <c r="CY69"/>
  <c r="CY70"/>
  <c r="U8"/>
  <c r="U10"/>
  <c r="S31"/>
  <c r="AN31"/>
  <c r="CD31"/>
  <c r="S32"/>
  <c r="AN32"/>
  <c r="CD32"/>
  <c r="S33"/>
  <c r="AN33"/>
  <c r="CD33"/>
  <c r="S34"/>
  <c r="AN34"/>
  <c r="CD34"/>
  <c r="S35"/>
  <c r="AN35"/>
  <c r="CD35"/>
  <c r="S36"/>
  <c r="AN36"/>
  <c r="CD36"/>
  <c r="S37"/>
  <c r="AN37"/>
  <c r="CD37"/>
  <c r="S38"/>
  <c r="AN38"/>
  <c r="CD38"/>
  <c r="S39"/>
  <c r="AN39"/>
  <c r="CD39"/>
  <c r="S40"/>
  <c r="AN40"/>
  <c r="CD40"/>
  <c r="S41"/>
  <c r="AN41"/>
  <c r="CD41"/>
  <c r="S42"/>
  <c r="AN42"/>
  <c r="CD42"/>
  <c r="S43"/>
  <c r="AN43"/>
  <c r="CD43"/>
  <c r="S44"/>
  <c r="AN44"/>
  <c r="CD44"/>
  <c r="S45"/>
  <c r="AN45"/>
  <c r="CD45"/>
  <c r="S46"/>
  <c r="AN46"/>
  <c r="CD46"/>
  <c r="S47"/>
  <c r="AN47"/>
  <c r="CD47"/>
  <c r="S48"/>
  <c r="AN48"/>
  <c r="CD48"/>
  <c r="S49"/>
  <c r="AN49"/>
  <c r="CD49"/>
  <c r="S50"/>
  <c r="AN50"/>
  <c r="CD50"/>
  <c r="S51"/>
  <c r="AN51"/>
  <c r="CD51"/>
  <c r="S52"/>
  <c r="AN52"/>
  <c r="CD52"/>
  <c r="S53"/>
  <c r="AN53"/>
  <c r="CD53"/>
  <c r="S54"/>
  <c r="AN54"/>
  <c r="CD54"/>
  <c r="S55"/>
  <c r="P12" a="1"/>
  <c r="U12"/>
  <c r="AN55"/>
  <c r="CD55"/>
  <c r="S56"/>
  <c r="AN56"/>
  <c r="CD56"/>
  <c r="S57"/>
  <c r="AN57"/>
  <c r="CD57"/>
  <c r="S58"/>
  <c r="AN58"/>
  <c r="CD58"/>
  <c r="S59"/>
  <c r="AN59"/>
  <c r="CD59"/>
  <c r="S60"/>
  <c r="AN60"/>
  <c r="CD60"/>
  <c r="S61"/>
  <c r="AN61"/>
  <c r="CD61"/>
  <c r="S62"/>
  <c r="AN62"/>
  <c r="CD62"/>
  <c r="S63"/>
  <c r="AN63"/>
  <c r="CD63"/>
  <c r="S64"/>
  <c r="AN64"/>
  <c r="CD64"/>
  <c r="S65"/>
  <c r="AN65"/>
  <c r="CD65"/>
  <c r="S66"/>
  <c r="AN66"/>
  <c r="CD66"/>
  <c r="S67"/>
  <c r="P11" a="1"/>
  <c r="U11"/>
  <c r="AN67"/>
  <c r="CD67"/>
  <c r="CD68"/>
  <c r="CY72"/>
  <c r="BI71"/>
  <c r="T9"/>
  <c r="BH55"/>
  <c r="BH56"/>
  <c r="BH57"/>
  <c r="BH58"/>
  <c r="BH59"/>
  <c r="BH60"/>
  <c r="BH61"/>
  <c r="BH62"/>
  <c r="BH63"/>
  <c r="BH64"/>
  <c r="BH65"/>
  <c r="BH66"/>
  <c r="BH71"/>
  <c r="BI70"/>
  <c r="BI72"/>
  <c r="C83" i="9" a="1"/>
  <c r="C88"/>
  <c r="DU36" i="8" a="1"/>
  <c r="DU41"/>
  <c r="DU40"/>
  <c r="DV41"/>
  <c r="A79" i="9"/>
  <c r="A80"/>
  <c r="A81"/>
  <c r="A82"/>
  <c r="A83"/>
  <c r="A84"/>
  <c r="A85"/>
  <c r="A86"/>
  <c r="A87"/>
  <c r="A88"/>
  <c r="D88"/>
  <c r="DS36" i="8" a="1"/>
  <c r="DS41"/>
  <c r="C9"/>
  <c r="DT41"/>
  <c r="DW36" a="1"/>
  <c r="DW41"/>
  <c r="DY41"/>
  <c r="DZ41"/>
  <c r="EA41"/>
  <c r="EB41"/>
  <c r="EC41"/>
  <c r="E88" i="9"/>
  <c r="F88"/>
  <c r="U21" i="1"/>
  <c r="Q14" i="5"/>
  <c r="Q9"/>
  <c r="Q45"/>
  <c r="Q76"/>
  <c r="I88" i="9"/>
  <c r="J88"/>
  <c r="M88"/>
  <c r="Q108" i="5"/>
  <c r="Q141"/>
  <c r="Q270"/>
  <c r="U22" i="1"/>
  <c r="R14" i="5"/>
  <c r="R9"/>
  <c r="R45"/>
  <c r="R76"/>
  <c r="R108"/>
  <c r="R141"/>
  <c r="R270"/>
  <c r="U23" i="1"/>
  <c r="S14" i="5"/>
  <c r="S9"/>
  <c r="S45"/>
  <c r="S76"/>
  <c r="W88" i="9"/>
  <c r="X88"/>
  <c r="AA88"/>
  <c r="S108" i="5"/>
  <c r="S141"/>
  <c r="S270"/>
  <c r="AC88" i="9"/>
  <c r="AE88"/>
  <c r="AH88"/>
  <c r="T108" i="5"/>
  <c r="T141"/>
  <c r="T270"/>
  <c r="U14"/>
  <c r="U141"/>
  <c r="U270"/>
  <c r="V14"/>
  <c r="V141"/>
  <c r="V270"/>
  <c r="W14"/>
  <c r="W141"/>
  <c r="W270"/>
  <c r="U28" i="1"/>
  <c r="X14" i="5"/>
  <c r="V14" i="3"/>
  <c r="X45" i="5"/>
  <c r="X76"/>
  <c r="AK88" i="9"/>
  <c r="AL88"/>
  <c r="AO88"/>
  <c r="X108" i="5"/>
  <c r="X141"/>
  <c r="X270"/>
  <c r="U29" i="1"/>
  <c r="U30"/>
  <c r="U31"/>
  <c r="U32"/>
  <c r="AC45" i="5"/>
  <c r="AC76"/>
  <c r="AC141"/>
  <c r="AC270"/>
  <c r="B15"/>
  <c r="K15" i="3"/>
  <c r="A47"/>
  <c r="A46" i="5"/>
  <c r="B46"/>
  <c r="B77"/>
  <c r="B29" i="9"/>
  <c r="C29"/>
  <c r="F29"/>
  <c r="B109" i="5"/>
  <c r="B142"/>
  <c r="A271"/>
  <c r="B271"/>
  <c r="C15"/>
  <c r="L15" i="3"/>
  <c r="C46" i="5"/>
  <c r="C77"/>
  <c r="I29" i="9"/>
  <c r="D15" i="5"/>
  <c r="M47" i="3"/>
  <c r="M15"/>
  <c r="D46" i="5"/>
  <c r="D77"/>
  <c r="V12" i="1"/>
  <c r="H15" i="5"/>
  <c r="J15" i="3"/>
  <c r="H46" i="5"/>
  <c r="H77"/>
  <c r="V24" i="1"/>
  <c r="T15" i="5"/>
  <c r="Z15" i="3"/>
  <c r="T46" i="5"/>
  <c r="T77"/>
  <c r="H29" i="9"/>
  <c r="J29"/>
  <c r="M29"/>
  <c r="C109" i="5"/>
  <c r="C142"/>
  <c r="C271"/>
  <c r="O29" i="9"/>
  <c r="Q29"/>
  <c r="T29"/>
  <c r="D109" i="5"/>
  <c r="D142"/>
  <c r="D271"/>
  <c r="V9" i="1"/>
  <c r="E15" i="5"/>
  <c r="N15" i="3"/>
  <c r="O15"/>
  <c r="E46" i="5"/>
  <c r="E77"/>
  <c r="W29" i="9"/>
  <c r="X29"/>
  <c r="AA29"/>
  <c r="E109" i="5"/>
  <c r="E142"/>
  <c r="E271"/>
  <c r="V10" i="1"/>
  <c r="C15" i="3"/>
  <c r="AC29" i="9"/>
  <c r="AE29"/>
  <c r="AF29"/>
  <c r="AH29"/>
  <c r="V11" i="1"/>
  <c r="E15" i="3"/>
  <c r="F15"/>
  <c r="AJ29" i="9"/>
  <c r="AL29"/>
  <c r="AM29"/>
  <c r="AO29"/>
  <c r="A59"/>
  <c r="C59"/>
  <c r="F59"/>
  <c r="H109" i="5"/>
  <c r="H142"/>
  <c r="H271"/>
  <c r="V13" i="1"/>
  <c r="I15" i="5"/>
  <c r="I142"/>
  <c r="I271"/>
  <c r="V14" i="1"/>
  <c r="V15"/>
  <c r="K15" i="5"/>
  <c r="Y15" i="3"/>
  <c r="K46" i="5"/>
  <c r="K77"/>
  <c r="W59" i="9"/>
  <c r="X59"/>
  <c r="AA59"/>
  <c r="K109" i="5"/>
  <c r="K142"/>
  <c r="K271"/>
  <c r="V16" i="1"/>
  <c r="W15" i="3"/>
  <c r="V17" i="1"/>
  <c r="V18"/>
  <c r="N15" i="5"/>
  <c r="X15" i="3"/>
  <c r="N46" i="5"/>
  <c r="N77"/>
  <c r="B120" i="9"/>
  <c r="C120"/>
  <c r="F120"/>
  <c r="N109" i="5"/>
  <c r="N142"/>
  <c r="N271"/>
  <c r="V19" i="1"/>
  <c r="V20"/>
  <c r="Q15" i="3"/>
  <c r="V9" i="8"/>
  <c r="BJ31"/>
  <c r="CZ31"/>
  <c r="BJ32"/>
  <c r="CZ32"/>
  <c r="BJ33"/>
  <c r="CZ33"/>
  <c r="BJ34"/>
  <c r="CZ34"/>
  <c r="BJ35"/>
  <c r="CZ35"/>
  <c r="BJ36"/>
  <c r="CZ36"/>
  <c r="BJ37"/>
  <c r="CZ37"/>
  <c r="BJ38"/>
  <c r="CZ38"/>
  <c r="BJ39"/>
  <c r="CZ39"/>
  <c r="BJ40"/>
  <c r="CZ40"/>
  <c r="BJ41"/>
  <c r="CZ41"/>
  <c r="BJ42"/>
  <c r="CZ42"/>
  <c r="BJ43"/>
  <c r="CZ43"/>
  <c r="BJ44"/>
  <c r="CZ44"/>
  <c r="BJ45"/>
  <c r="CZ45"/>
  <c r="BJ46"/>
  <c r="CZ46"/>
  <c r="BJ47"/>
  <c r="CZ47"/>
  <c r="BJ48"/>
  <c r="CZ48"/>
  <c r="BJ49"/>
  <c r="CZ49"/>
  <c r="BJ50"/>
  <c r="CZ50"/>
  <c r="BJ51"/>
  <c r="CZ51"/>
  <c r="BJ52"/>
  <c r="CZ52"/>
  <c r="BJ53"/>
  <c r="CZ53"/>
  <c r="BJ54"/>
  <c r="CZ54"/>
  <c r="BJ55"/>
  <c r="CZ55"/>
  <c r="BJ56"/>
  <c r="CZ56"/>
  <c r="BJ57"/>
  <c r="CZ57"/>
  <c r="BJ58"/>
  <c r="CZ58"/>
  <c r="BJ59"/>
  <c r="CZ59"/>
  <c r="BJ60"/>
  <c r="CZ60"/>
  <c r="BJ61"/>
  <c r="CZ61"/>
  <c r="BJ62"/>
  <c r="CZ62"/>
  <c r="BJ63"/>
  <c r="CZ63"/>
  <c r="BJ64"/>
  <c r="CZ64"/>
  <c r="BJ65"/>
  <c r="CZ65"/>
  <c r="BJ66"/>
  <c r="CZ66"/>
  <c r="BJ67"/>
  <c r="CZ67"/>
  <c r="CZ68"/>
  <c r="CZ69"/>
  <c r="CZ70"/>
  <c r="K2" a="1"/>
  <c r="V2"/>
  <c r="V12"/>
  <c r="V11"/>
  <c r="BJ71"/>
  <c r="BJ70"/>
  <c r="BJ72"/>
  <c r="A89" i="9"/>
  <c r="V21" i="1"/>
  <c r="Q15" i="5"/>
  <c r="Q21" i="1"/>
  <c r="Q10" i="5"/>
  <c r="Q46"/>
  <c r="Q77"/>
  <c r="I89" i="9"/>
  <c r="J89"/>
  <c r="M89"/>
  <c r="Q109" i="5"/>
  <c r="Q142"/>
  <c r="Q271"/>
  <c r="V22" i="1"/>
  <c r="R15" i="5"/>
  <c r="Q22" i="1"/>
  <c r="R10" i="5"/>
  <c r="R46"/>
  <c r="R77"/>
  <c r="R109"/>
  <c r="R142"/>
  <c r="R271"/>
  <c r="V23" i="1"/>
  <c r="S15" i="5"/>
  <c r="Q23" i="1"/>
  <c r="S10" i="5"/>
  <c r="S46"/>
  <c r="S77"/>
  <c r="W89" i="9"/>
  <c r="X89"/>
  <c r="AA89"/>
  <c r="S109" i="5"/>
  <c r="S142"/>
  <c r="S271"/>
  <c r="AC89" i="9"/>
  <c r="AE89"/>
  <c r="AH89"/>
  <c r="T109" i="5"/>
  <c r="T142"/>
  <c r="T271"/>
  <c r="U15"/>
  <c r="U142"/>
  <c r="U271"/>
  <c r="V15"/>
  <c r="V142"/>
  <c r="V271"/>
  <c r="W15"/>
  <c r="W142"/>
  <c r="W271"/>
  <c r="V28" i="1"/>
  <c r="X15" i="5"/>
  <c r="V15" i="3"/>
  <c r="X46" i="5"/>
  <c r="X77"/>
  <c r="AK89" i="9"/>
  <c r="AL89"/>
  <c r="AO89"/>
  <c r="X109" i="5"/>
  <c r="X142"/>
  <c r="X271"/>
  <c r="V29" i="1"/>
  <c r="V30"/>
  <c r="V31"/>
  <c r="V32"/>
  <c r="AC46" i="5"/>
  <c r="AC77"/>
  <c r="AC142"/>
  <c r="AC271"/>
  <c r="B16"/>
  <c r="K16" i="3"/>
  <c r="A48"/>
  <c r="A47" i="5"/>
  <c r="B47"/>
  <c r="B78"/>
  <c r="B30" i="9"/>
  <c r="C30"/>
  <c r="F30"/>
  <c r="B110" i="5"/>
  <c r="B143"/>
  <c r="A272"/>
  <c r="B272"/>
  <c r="C16"/>
  <c r="L16" i="3"/>
  <c r="C47" i="5"/>
  <c r="C78"/>
  <c r="I30" i="9"/>
  <c r="D16" i="5"/>
  <c r="M48" i="3"/>
  <c r="M16"/>
  <c r="D47" i="5"/>
  <c r="D78"/>
  <c r="W12" i="1"/>
  <c r="H16" i="5"/>
  <c r="J16" i="3"/>
  <c r="H47" i="5"/>
  <c r="H78"/>
  <c r="W24" i="1"/>
  <c r="T16" i="5"/>
  <c r="Z16" i="3"/>
  <c r="T47" i="5"/>
  <c r="T78"/>
  <c r="H30" i="9"/>
  <c r="J30"/>
  <c r="M30"/>
  <c r="C110" i="5"/>
  <c r="C143"/>
  <c r="C272"/>
  <c r="O30" i="9"/>
  <c r="Q30"/>
  <c r="T30"/>
  <c r="D110" i="5"/>
  <c r="D143"/>
  <c r="D272"/>
  <c r="W9" i="1"/>
  <c r="E16" i="5"/>
  <c r="N16" i="3"/>
  <c r="O16"/>
  <c r="E47" i="5"/>
  <c r="E78"/>
  <c r="W30" i="9"/>
  <c r="X30"/>
  <c r="AA30"/>
  <c r="E110" i="5"/>
  <c r="E143"/>
  <c r="E272"/>
  <c r="W10" i="1"/>
  <c r="C16" i="3"/>
  <c r="AC30" i="9"/>
  <c r="AE30"/>
  <c r="AF30"/>
  <c r="AH30"/>
  <c r="W11" i="1"/>
  <c r="E16" i="3"/>
  <c r="F16"/>
  <c r="AJ30" i="9"/>
  <c r="AL30"/>
  <c r="AM30"/>
  <c r="AO30"/>
  <c r="A60"/>
  <c r="C60"/>
  <c r="F60"/>
  <c r="H110" i="5"/>
  <c r="H143"/>
  <c r="H272"/>
  <c r="W13" i="1"/>
  <c r="I16" i="5"/>
  <c r="I143"/>
  <c r="I272"/>
  <c r="W14" i="1"/>
  <c r="W15"/>
  <c r="K16" i="5"/>
  <c r="Y16" i="3"/>
  <c r="K47" i="5"/>
  <c r="K78"/>
  <c r="W60" i="9"/>
  <c r="X60"/>
  <c r="AA60"/>
  <c r="K110" i="5"/>
  <c r="K143"/>
  <c r="K272"/>
  <c r="W16" i="1"/>
  <c r="W16" i="3"/>
  <c r="W17" i="1"/>
  <c r="W18"/>
  <c r="N16" i="5"/>
  <c r="X16" i="3"/>
  <c r="N47" i="5"/>
  <c r="N78"/>
  <c r="B121" i="9"/>
  <c r="C121"/>
  <c r="F121"/>
  <c r="N110" i="5"/>
  <c r="N143"/>
  <c r="N272"/>
  <c r="W19" i="1"/>
  <c r="W20"/>
  <c r="Q16" i="3"/>
  <c r="W9" i="8"/>
  <c r="BK31"/>
  <c r="DA31"/>
  <c r="BK32"/>
  <c r="DA32"/>
  <c r="BK33"/>
  <c r="DA33"/>
  <c r="BK34"/>
  <c r="DA34"/>
  <c r="BK35"/>
  <c r="DA35"/>
  <c r="BK36"/>
  <c r="DA36"/>
  <c r="BK37"/>
  <c r="DA37"/>
  <c r="BK38"/>
  <c r="DA38"/>
  <c r="BK39"/>
  <c r="DA39"/>
  <c r="BK40"/>
  <c r="DA40"/>
  <c r="BK41"/>
  <c r="DA41"/>
  <c r="BK42"/>
  <c r="DA42"/>
  <c r="BK43"/>
  <c r="DA43"/>
  <c r="BK44"/>
  <c r="DA44"/>
  <c r="BK45"/>
  <c r="DA45"/>
  <c r="BK46"/>
  <c r="DA46"/>
  <c r="BK47"/>
  <c r="DA47"/>
  <c r="BK48"/>
  <c r="DA48"/>
  <c r="BK49"/>
  <c r="DA49"/>
  <c r="BK50"/>
  <c r="DA50"/>
  <c r="BK51"/>
  <c r="DA51"/>
  <c r="BK52"/>
  <c r="DA52"/>
  <c r="BK53"/>
  <c r="DA53"/>
  <c r="BK54"/>
  <c r="DA54"/>
  <c r="BK55"/>
  <c r="DA55"/>
  <c r="BK56"/>
  <c r="DA56"/>
  <c r="BK57"/>
  <c r="DA57"/>
  <c r="BK58"/>
  <c r="DA58"/>
  <c r="BK59"/>
  <c r="DA59"/>
  <c r="BK60"/>
  <c r="DA60"/>
  <c r="BK61"/>
  <c r="DA61"/>
  <c r="BK62"/>
  <c r="DA62"/>
  <c r="BK63"/>
  <c r="DA63"/>
  <c r="BK64"/>
  <c r="DA64"/>
  <c r="BK65"/>
  <c r="DA65"/>
  <c r="BK66"/>
  <c r="DA66"/>
  <c r="BK67"/>
  <c r="DA67"/>
  <c r="DA68"/>
  <c r="DA69"/>
  <c r="DA70"/>
  <c r="W12"/>
  <c r="W11"/>
  <c r="BK71"/>
  <c r="BK70"/>
  <c r="BK72"/>
  <c r="A90" i="9"/>
  <c r="W21" i="1"/>
  <c r="Q16" i="5"/>
  <c r="Q47"/>
  <c r="Q78"/>
  <c r="I90" i="9"/>
  <c r="P7" i="1"/>
  <c r="C9" i="5"/>
  <c r="L9" i="3"/>
  <c r="A40" i="5"/>
  <c r="C40"/>
  <c r="C71"/>
  <c r="I23" i="9"/>
  <c r="P8" i="1"/>
  <c r="D9" i="5"/>
  <c r="M41" i="3"/>
  <c r="M9"/>
  <c r="D40" i="5"/>
  <c r="D71"/>
  <c r="H9"/>
  <c r="J9" i="3"/>
  <c r="H40" i="5"/>
  <c r="H71"/>
  <c r="T9"/>
  <c r="Z9" i="3"/>
  <c r="T40" i="5"/>
  <c r="T71"/>
  <c r="J23" i="9"/>
  <c r="M23"/>
  <c r="J90"/>
  <c r="M90"/>
  <c r="Q110" i="5"/>
  <c r="Q143"/>
  <c r="Q272"/>
  <c r="W22" i="1"/>
  <c r="R16" i="5"/>
  <c r="R47"/>
  <c r="R78"/>
  <c r="R110"/>
  <c r="R143"/>
  <c r="R272"/>
  <c r="W23" i="1"/>
  <c r="S16" i="5"/>
  <c r="S47"/>
  <c r="S78"/>
  <c r="W90" i="9"/>
  <c r="X90"/>
  <c r="AA90"/>
  <c r="S110" i="5"/>
  <c r="S143"/>
  <c r="S272"/>
  <c r="AC90" i="9"/>
  <c r="AE90"/>
  <c r="AH90"/>
  <c r="T110" i="5"/>
  <c r="T143"/>
  <c r="T272"/>
  <c r="U16"/>
  <c r="U143"/>
  <c r="U272"/>
  <c r="V16"/>
  <c r="V143"/>
  <c r="V272"/>
  <c r="W16"/>
  <c r="W143"/>
  <c r="W272"/>
  <c r="W28" i="1"/>
  <c r="X16" i="5"/>
  <c r="V16" i="3"/>
  <c r="X47" i="5"/>
  <c r="X78"/>
  <c r="AK90" i="9"/>
  <c r="AL90"/>
  <c r="AO90"/>
  <c r="X110" i="5"/>
  <c r="X143"/>
  <c r="X272"/>
  <c r="W29" i="1"/>
  <c r="W30"/>
  <c r="W31"/>
  <c r="W32"/>
  <c r="AC47" i="5"/>
  <c r="AC78"/>
  <c r="AC143"/>
  <c r="AC272"/>
  <c r="B17"/>
  <c r="K17" i="3"/>
  <c r="A49"/>
  <c r="A48" i="5"/>
  <c r="B48"/>
  <c r="B79"/>
  <c r="B31" i="9"/>
  <c r="C31"/>
  <c r="F31"/>
  <c r="B111" i="5"/>
  <c r="B144"/>
  <c r="A273"/>
  <c r="B273"/>
  <c r="C17"/>
  <c r="L17" i="3"/>
  <c r="C48" i="5"/>
  <c r="C79"/>
  <c r="I31" i="9"/>
  <c r="D17" i="5"/>
  <c r="M49" i="3"/>
  <c r="M17"/>
  <c r="D48" i="5"/>
  <c r="D79"/>
  <c r="X12" i="1"/>
  <c r="H17" i="5"/>
  <c r="J17" i="3"/>
  <c r="H48" i="5"/>
  <c r="H79"/>
  <c r="X24" i="1"/>
  <c r="T17" i="5"/>
  <c r="Z17" i="3"/>
  <c r="T48" i="5"/>
  <c r="T79"/>
  <c r="H31" i="9"/>
  <c r="J31"/>
  <c r="M31"/>
  <c r="C111" i="5"/>
  <c r="C144"/>
  <c r="C273"/>
  <c r="O31" i="9"/>
  <c r="Q31"/>
  <c r="T31"/>
  <c r="D111" i="5"/>
  <c r="D144"/>
  <c r="D273"/>
  <c r="X9" i="1"/>
  <c r="E17" i="5"/>
  <c r="N17" i="3"/>
  <c r="O17"/>
  <c r="E48" i="5"/>
  <c r="E79"/>
  <c r="W31" i="9"/>
  <c r="X31"/>
  <c r="AA31"/>
  <c r="E111" i="5"/>
  <c r="E144"/>
  <c r="E273"/>
  <c r="X10" i="1"/>
  <c r="C17" i="3"/>
  <c r="AC31" i="9"/>
  <c r="AE31"/>
  <c r="AF31"/>
  <c r="AH31"/>
  <c r="X11" i="1"/>
  <c r="E17" i="3"/>
  <c r="F17"/>
  <c r="AJ31" i="9"/>
  <c r="AL31"/>
  <c r="AM31"/>
  <c r="AO31"/>
  <c r="A61"/>
  <c r="C61"/>
  <c r="F61"/>
  <c r="H111" i="5"/>
  <c r="H144"/>
  <c r="H273"/>
  <c r="X13" i="1"/>
  <c r="I17" i="5"/>
  <c r="I144"/>
  <c r="I273"/>
  <c r="X14" i="1"/>
  <c r="X15"/>
  <c r="K17" i="5"/>
  <c r="Y17" i="3"/>
  <c r="K48" i="5"/>
  <c r="K79"/>
  <c r="W61" i="9"/>
  <c r="X61"/>
  <c r="AA61"/>
  <c r="K111" i="5"/>
  <c r="K144"/>
  <c r="K273"/>
  <c r="X16" i="1"/>
  <c r="W17" i="3"/>
  <c r="X17" i="1"/>
  <c r="X18"/>
  <c r="N17" i="5"/>
  <c r="X17" i="3"/>
  <c r="N48" i="5"/>
  <c r="N79"/>
  <c r="B122" i="9"/>
  <c r="C122"/>
  <c r="F122"/>
  <c r="N111" i="5"/>
  <c r="N144"/>
  <c r="N273"/>
  <c r="X19" i="1"/>
  <c r="X20"/>
  <c r="Q17" i="3"/>
  <c r="X9" i="8"/>
  <c r="BL31"/>
  <c r="DB31"/>
  <c r="BL32"/>
  <c r="DB32"/>
  <c r="BL33"/>
  <c r="DB33"/>
  <c r="BL34"/>
  <c r="DB34"/>
  <c r="BL35"/>
  <c r="DB35"/>
  <c r="BL36"/>
  <c r="DB36"/>
  <c r="BL37"/>
  <c r="DB37"/>
  <c r="BL38"/>
  <c r="DB38"/>
  <c r="BL39"/>
  <c r="DB39"/>
  <c r="BL40"/>
  <c r="DB40"/>
  <c r="BL41"/>
  <c r="DB41"/>
  <c r="BL42"/>
  <c r="DB42"/>
  <c r="BL43"/>
  <c r="DB43"/>
  <c r="BL44"/>
  <c r="DB44"/>
  <c r="BL45"/>
  <c r="DB45"/>
  <c r="BL46"/>
  <c r="DB46"/>
  <c r="BL47"/>
  <c r="DB47"/>
  <c r="BL48"/>
  <c r="DB48"/>
  <c r="BL49"/>
  <c r="DB49"/>
  <c r="BL50"/>
  <c r="DB50"/>
  <c r="BL51"/>
  <c r="DB51"/>
  <c r="BL52"/>
  <c r="DB52"/>
  <c r="BL53"/>
  <c r="DB53"/>
  <c r="BL54"/>
  <c r="DB54"/>
  <c r="BL55"/>
  <c r="DB55"/>
  <c r="BL56"/>
  <c r="DB56"/>
  <c r="BL57"/>
  <c r="DB57"/>
  <c r="BL58"/>
  <c r="DB58"/>
  <c r="BL59"/>
  <c r="DB59"/>
  <c r="BL60"/>
  <c r="DB60"/>
  <c r="BL61"/>
  <c r="DB61"/>
  <c r="BL62"/>
  <c r="DB62"/>
  <c r="BL63"/>
  <c r="DB63"/>
  <c r="BL64"/>
  <c r="DB64"/>
  <c r="BL65"/>
  <c r="DB65"/>
  <c r="BL66"/>
  <c r="DB66"/>
  <c r="BL67"/>
  <c r="DB67"/>
  <c r="DB68"/>
  <c r="DB69"/>
  <c r="DB70"/>
  <c r="X12"/>
  <c r="X11"/>
  <c r="BL71"/>
  <c r="BL70"/>
  <c r="BL72"/>
  <c r="A91" i="9"/>
  <c r="X21" i="1"/>
  <c r="Q17" i="5"/>
  <c r="Q48"/>
  <c r="Q79"/>
  <c r="I91" i="9"/>
  <c r="J91"/>
  <c r="M91"/>
  <c r="Q111" i="5"/>
  <c r="Q144"/>
  <c r="Q273"/>
  <c r="X22" i="1"/>
  <c r="R17" i="5"/>
  <c r="R48"/>
  <c r="R79"/>
  <c r="R111"/>
  <c r="R144"/>
  <c r="R273"/>
  <c r="X23" i="1"/>
  <c r="S17" i="5"/>
  <c r="S48"/>
  <c r="S79"/>
  <c r="W91" i="9"/>
  <c r="X91"/>
  <c r="AA91"/>
  <c r="S111" i="5"/>
  <c r="S144"/>
  <c r="S273"/>
  <c r="AC91" i="9"/>
  <c r="AE91"/>
  <c r="AH91"/>
  <c r="T111" i="5"/>
  <c r="T144"/>
  <c r="T273"/>
  <c r="U17"/>
  <c r="U144"/>
  <c r="U273"/>
  <c r="V17"/>
  <c r="V144"/>
  <c r="V273"/>
  <c r="W17"/>
  <c r="W144"/>
  <c r="W273"/>
  <c r="X28" i="1"/>
  <c r="X17" i="5"/>
  <c r="V17" i="3"/>
  <c r="X48" i="5"/>
  <c r="X79"/>
  <c r="AK91" i="9"/>
  <c r="AL91"/>
  <c r="AO91"/>
  <c r="X111" i="5"/>
  <c r="X144"/>
  <c r="X273"/>
  <c r="X29" i="1"/>
  <c r="X30"/>
  <c r="X31"/>
  <c r="X32"/>
  <c r="AC48" i="5"/>
  <c r="AC79"/>
  <c r="AC144"/>
  <c r="AC273"/>
  <c r="B18"/>
  <c r="K18" i="3"/>
  <c r="A50"/>
  <c r="A49" i="5"/>
  <c r="B49"/>
  <c r="B80"/>
  <c r="B32" i="9"/>
  <c r="C32"/>
  <c r="F32"/>
  <c r="B112" i="5"/>
  <c r="B145"/>
  <c r="A274"/>
  <c r="B274"/>
  <c r="C18"/>
  <c r="L18" i="3"/>
  <c r="C49" i="5"/>
  <c r="C80"/>
  <c r="I32" i="9"/>
  <c r="D18" i="5"/>
  <c r="M50" i="3"/>
  <c r="M18"/>
  <c r="D49" i="5"/>
  <c r="D80"/>
  <c r="Y12" i="1"/>
  <c r="H18" i="5"/>
  <c r="J18" i="3"/>
  <c r="H49" i="5"/>
  <c r="H80"/>
  <c r="Y24" i="1"/>
  <c r="T18" i="5"/>
  <c r="Z18" i="3"/>
  <c r="T49" i="5"/>
  <c r="T80"/>
  <c r="H32" i="9"/>
  <c r="J32"/>
  <c r="M32"/>
  <c r="C112" i="5"/>
  <c r="C145"/>
  <c r="C274"/>
  <c r="O32" i="9"/>
  <c r="Q32"/>
  <c r="T32"/>
  <c r="D112" i="5"/>
  <c r="D145"/>
  <c r="D274"/>
  <c r="Y9" i="1"/>
  <c r="E18" i="5"/>
  <c r="N18" i="3"/>
  <c r="O18"/>
  <c r="E49" i="5"/>
  <c r="E80"/>
  <c r="W32" i="9"/>
  <c r="X32"/>
  <c r="AA32"/>
  <c r="E112" i="5"/>
  <c r="E145"/>
  <c r="E274"/>
  <c r="Y10" i="1"/>
  <c r="C18" i="3"/>
  <c r="AC32" i="9"/>
  <c r="AE32"/>
  <c r="AF32"/>
  <c r="AH32"/>
  <c r="Y11" i="1"/>
  <c r="E18" i="3"/>
  <c r="F18"/>
  <c r="AJ32" i="9"/>
  <c r="AL32"/>
  <c r="AM32"/>
  <c r="AO32"/>
  <c r="A62"/>
  <c r="C62"/>
  <c r="F62"/>
  <c r="H112" i="5"/>
  <c r="H145"/>
  <c r="H274"/>
  <c r="Y13" i="1"/>
  <c r="I18" i="5"/>
  <c r="I145"/>
  <c r="I274"/>
  <c r="Y14" i="1"/>
  <c r="Y15"/>
  <c r="K18" i="5"/>
  <c r="Y18" i="3"/>
  <c r="K49" i="5"/>
  <c r="K80"/>
  <c r="W62" i="9"/>
  <c r="X62"/>
  <c r="AA62"/>
  <c r="K112" i="5"/>
  <c r="K145"/>
  <c r="K274"/>
  <c r="Y16" i="1"/>
  <c r="W18" i="3"/>
  <c r="Y17" i="1"/>
  <c r="Y18"/>
  <c r="N18" i="5"/>
  <c r="X18" i="3"/>
  <c r="N49" i="5"/>
  <c r="N80"/>
  <c r="B123" i="9"/>
  <c r="C123"/>
  <c r="F123"/>
  <c r="N112" i="5"/>
  <c r="N145"/>
  <c r="N274"/>
  <c r="Y19" i="1"/>
  <c r="Y20"/>
  <c r="Q18" i="3"/>
  <c r="Y9" i="8"/>
  <c r="BM31"/>
  <c r="DC31"/>
  <c r="BM32"/>
  <c r="DC32"/>
  <c r="BM33"/>
  <c r="DC33"/>
  <c r="BM34"/>
  <c r="DC34"/>
  <c r="BM35"/>
  <c r="DC35"/>
  <c r="BM36"/>
  <c r="DC36"/>
  <c r="BM37"/>
  <c r="DC37"/>
  <c r="BM38"/>
  <c r="DC38"/>
  <c r="BM39"/>
  <c r="DC39"/>
  <c r="BM40"/>
  <c r="DC40"/>
  <c r="BM41"/>
  <c r="DC41"/>
  <c r="BM42"/>
  <c r="DC42"/>
  <c r="BM43"/>
  <c r="DC43"/>
  <c r="BM44"/>
  <c r="DC44"/>
  <c r="BM45"/>
  <c r="DC45"/>
  <c r="BM46"/>
  <c r="DC46"/>
  <c r="BM47"/>
  <c r="DC47"/>
  <c r="BM48"/>
  <c r="DC48"/>
  <c r="BM49"/>
  <c r="DC49"/>
  <c r="BM50"/>
  <c r="DC50"/>
  <c r="BM51"/>
  <c r="DC51"/>
  <c r="BM52"/>
  <c r="DC52"/>
  <c r="BM53"/>
  <c r="DC53"/>
  <c r="BM54"/>
  <c r="DC54"/>
  <c r="BM55"/>
  <c r="DC55"/>
  <c r="BM56"/>
  <c r="DC56"/>
  <c r="BM57"/>
  <c r="DC57"/>
  <c r="BM58"/>
  <c r="DC58"/>
  <c r="BM59"/>
  <c r="DC59"/>
  <c r="BM60"/>
  <c r="DC60"/>
  <c r="BM61"/>
  <c r="DC61"/>
  <c r="BM62"/>
  <c r="DC62"/>
  <c r="BM63"/>
  <c r="DC63"/>
  <c r="BM64"/>
  <c r="DC64"/>
  <c r="BM65"/>
  <c r="DC65"/>
  <c r="BM66"/>
  <c r="DC66"/>
  <c r="BM67"/>
  <c r="DC67"/>
  <c r="DC68"/>
  <c r="DC69"/>
  <c r="DC70"/>
  <c r="Y12"/>
  <c r="Y11"/>
  <c r="BM71"/>
  <c r="BM70"/>
  <c r="BM72"/>
  <c r="A92" i="9"/>
  <c r="Y21" i="1"/>
  <c r="Q18" i="5"/>
  <c r="Q49"/>
  <c r="Q80"/>
  <c r="I92" i="9"/>
  <c r="J92"/>
  <c r="M92"/>
  <c r="Q112" i="5"/>
  <c r="Q145"/>
  <c r="Q274"/>
  <c r="Y22" i="1"/>
  <c r="R18" i="5"/>
  <c r="R49"/>
  <c r="R80"/>
  <c r="R112"/>
  <c r="R145"/>
  <c r="R274"/>
  <c r="Y23" i="1"/>
  <c r="S18" i="5"/>
  <c r="S49"/>
  <c r="S80"/>
  <c r="W92" i="9"/>
  <c r="X92"/>
  <c r="AA92"/>
  <c r="S112" i="5"/>
  <c r="S145"/>
  <c r="S274"/>
  <c r="AC92" i="9"/>
  <c r="AE92"/>
  <c r="AH92"/>
  <c r="T112" i="5"/>
  <c r="T145"/>
  <c r="T274"/>
  <c r="U18"/>
  <c r="U145"/>
  <c r="U274"/>
  <c r="V18"/>
  <c r="V145"/>
  <c r="V274"/>
  <c r="W18"/>
  <c r="W145"/>
  <c r="W274"/>
  <c r="Y28" i="1"/>
  <c r="X18" i="5"/>
  <c r="V18" i="3"/>
  <c r="X49" i="5"/>
  <c r="X80"/>
  <c r="AK92" i="9"/>
  <c r="AL92"/>
  <c r="AO92"/>
  <c r="X112" i="5"/>
  <c r="X145"/>
  <c r="X274"/>
  <c r="Y29" i="1"/>
  <c r="Y30"/>
  <c r="Y31"/>
  <c r="Y32"/>
  <c r="AC49" i="5"/>
  <c r="AC80"/>
  <c r="AC145"/>
  <c r="AC274"/>
  <c r="B19"/>
  <c r="K19" i="3"/>
  <c r="A51"/>
  <c r="A50" i="5"/>
  <c r="B50"/>
  <c r="B81"/>
  <c r="B33" i="9"/>
  <c r="C33"/>
  <c r="F33"/>
  <c r="B113" i="5"/>
  <c r="B146"/>
  <c r="A275"/>
  <c r="B275"/>
  <c r="C19"/>
  <c r="L19" i="3"/>
  <c r="C50" i="5"/>
  <c r="C81"/>
  <c r="I33" i="9"/>
  <c r="D19" i="5"/>
  <c r="M51" i="3"/>
  <c r="M19"/>
  <c r="D50" i="5"/>
  <c r="D81"/>
  <c r="Z12" i="1"/>
  <c r="H19" i="5"/>
  <c r="J19" i="3"/>
  <c r="H50" i="5"/>
  <c r="H81"/>
  <c r="Z24" i="1"/>
  <c r="T19" i="5"/>
  <c r="Z19" i="3"/>
  <c r="T50" i="5"/>
  <c r="T81"/>
  <c r="H33" i="9"/>
  <c r="J33"/>
  <c r="M33"/>
  <c r="C113" i="5"/>
  <c r="C146"/>
  <c r="C275"/>
  <c r="O33" i="9"/>
  <c r="Q33"/>
  <c r="T33"/>
  <c r="D113" i="5"/>
  <c r="D146"/>
  <c r="D275"/>
  <c r="Z9" i="1"/>
  <c r="E19" i="5"/>
  <c r="N19" i="3"/>
  <c r="O19"/>
  <c r="E50" i="5"/>
  <c r="E81"/>
  <c r="W33" i="9"/>
  <c r="X33"/>
  <c r="AA33"/>
  <c r="E113" i="5"/>
  <c r="E146"/>
  <c r="E275"/>
  <c r="Z10" i="1"/>
  <c r="C19" i="3"/>
  <c r="AC33" i="9"/>
  <c r="AE33"/>
  <c r="AF33"/>
  <c r="AH33"/>
  <c r="Z11" i="1"/>
  <c r="E19" i="3"/>
  <c r="F19"/>
  <c r="AJ33" i="9"/>
  <c r="AL33"/>
  <c r="AM33"/>
  <c r="AO33"/>
  <c r="A63"/>
  <c r="C63"/>
  <c r="F63"/>
  <c r="H113" i="5"/>
  <c r="H146"/>
  <c r="H275"/>
  <c r="Z13" i="1"/>
  <c r="I19" i="5"/>
  <c r="I146"/>
  <c r="I275"/>
  <c r="Z14" i="1"/>
  <c r="Z15"/>
  <c r="K19" i="5"/>
  <c r="Y19" i="3"/>
  <c r="K50" i="5"/>
  <c r="K81"/>
  <c r="W63" i="9"/>
  <c r="X63"/>
  <c r="AA63"/>
  <c r="K113" i="5"/>
  <c r="K146"/>
  <c r="K275"/>
  <c r="Z16" i="1"/>
  <c r="W19" i="3"/>
  <c r="Z17" i="1"/>
  <c r="Z18"/>
  <c r="N19" i="5"/>
  <c r="X19" i="3"/>
  <c r="N50" i="5"/>
  <c r="N81"/>
  <c r="B124" i="9"/>
  <c r="C124"/>
  <c r="F124"/>
  <c r="N113" i="5"/>
  <c r="N146"/>
  <c r="N275"/>
  <c r="Z19" i="1"/>
  <c r="Z20"/>
  <c r="Q19" i="3"/>
  <c r="Z9" i="8"/>
  <c r="BN31"/>
  <c r="DD31"/>
  <c r="BN32"/>
  <c r="DD32"/>
  <c r="BN33"/>
  <c r="DD33"/>
  <c r="BN34"/>
  <c r="DD34"/>
  <c r="BN35"/>
  <c r="DD35"/>
  <c r="BN36"/>
  <c r="DD36"/>
  <c r="BN37"/>
  <c r="DD37"/>
  <c r="BN38"/>
  <c r="DD38"/>
  <c r="BN39"/>
  <c r="DD39"/>
  <c r="BN40"/>
  <c r="DD40"/>
  <c r="BN41"/>
  <c r="DD41"/>
  <c r="BN42"/>
  <c r="DD42"/>
  <c r="BN43"/>
  <c r="DD43"/>
  <c r="BN44"/>
  <c r="DD44"/>
  <c r="BN45"/>
  <c r="DD45"/>
  <c r="BN46"/>
  <c r="DD46"/>
  <c r="BN47"/>
  <c r="DD47"/>
  <c r="BN48"/>
  <c r="DD48"/>
  <c r="BN49"/>
  <c r="DD49"/>
  <c r="BN50"/>
  <c r="DD50"/>
  <c r="BN51"/>
  <c r="DD51"/>
  <c r="BN52"/>
  <c r="DD52"/>
  <c r="BN53"/>
  <c r="DD53"/>
  <c r="BN54"/>
  <c r="DD54"/>
  <c r="BN55"/>
  <c r="DD55"/>
  <c r="BN56"/>
  <c r="DD56"/>
  <c r="BN57"/>
  <c r="DD57"/>
  <c r="BN58"/>
  <c r="DD58"/>
  <c r="BN59"/>
  <c r="DD59"/>
  <c r="BN60"/>
  <c r="DD60"/>
  <c r="BN61"/>
  <c r="DD61"/>
  <c r="BN62"/>
  <c r="DD62"/>
  <c r="BN63"/>
  <c r="DD63"/>
  <c r="BN64"/>
  <c r="DD64"/>
  <c r="BN65"/>
  <c r="DD65"/>
  <c r="BN66"/>
  <c r="DD66"/>
  <c r="BN67"/>
  <c r="DD67"/>
  <c r="DD68"/>
  <c r="DD69"/>
  <c r="DD70"/>
  <c r="Z12"/>
  <c r="Z11"/>
  <c r="BN71"/>
  <c r="BN70"/>
  <c r="BN72"/>
  <c r="A93" i="9"/>
  <c r="Z21" i="1"/>
  <c r="Q19" i="5"/>
  <c r="Q50"/>
  <c r="Q81"/>
  <c r="I93" i="9"/>
  <c r="J93"/>
  <c r="M93"/>
  <c r="Q113" i="5"/>
  <c r="Q146"/>
  <c r="Q275"/>
  <c r="Z22" i="1"/>
  <c r="R19" i="5"/>
  <c r="R50"/>
  <c r="R81"/>
  <c r="R113"/>
  <c r="R146"/>
  <c r="R275"/>
  <c r="Z23" i="1"/>
  <c r="S19" i="5"/>
  <c r="S50"/>
  <c r="S81"/>
  <c r="W93" i="9"/>
  <c r="X93"/>
  <c r="AA93"/>
  <c r="S113" i="5"/>
  <c r="S146"/>
  <c r="S275"/>
  <c r="AC93" i="9"/>
  <c r="AE93"/>
  <c r="AH93"/>
  <c r="T113" i="5"/>
  <c r="T146"/>
  <c r="T275"/>
  <c r="U19"/>
  <c r="U146"/>
  <c r="U275"/>
  <c r="V19"/>
  <c r="V146"/>
  <c r="V275"/>
  <c r="W19"/>
  <c r="W146"/>
  <c r="W275"/>
  <c r="Z28" i="1"/>
  <c r="X19" i="5"/>
  <c r="V19" i="3"/>
  <c r="X50" i="5"/>
  <c r="X81"/>
  <c r="AK93" i="9"/>
  <c r="AL93"/>
  <c r="AO93"/>
  <c r="X113" i="5"/>
  <c r="X146"/>
  <c r="X275"/>
  <c r="Z29" i="1"/>
  <c r="Z30"/>
  <c r="Z31"/>
  <c r="Z32"/>
  <c r="AC50" i="5"/>
  <c r="AC81"/>
  <c r="AC146"/>
  <c r="AC275"/>
  <c r="B20"/>
  <c r="K20" i="3"/>
  <c r="A52"/>
  <c r="A51" i="5"/>
  <c r="B51"/>
  <c r="B82"/>
  <c r="B34" i="9"/>
  <c r="C34"/>
  <c r="F34"/>
  <c r="B114" i="5"/>
  <c r="B147"/>
  <c r="A276"/>
  <c r="B276"/>
  <c r="C20"/>
  <c r="L20" i="3"/>
  <c r="C51" i="5"/>
  <c r="C82"/>
  <c r="I34" i="9"/>
  <c r="D20" i="5"/>
  <c r="M52" i="3"/>
  <c r="M20"/>
  <c r="D51" i="5"/>
  <c r="D82"/>
  <c r="AA12" i="1"/>
  <c r="H20" i="5"/>
  <c r="J20" i="3"/>
  <c r="H51" i="5"/>
  <c r="H82"/>
  <c r="AA24" i="1"/>
  <c r="T20" i="5"/>
  <c r="Z20" i="3"/>
  <c r="T51" i="5"/>
  <c r="T82"/>
  <c r="H34" i="9"/>
  <c r="J34"/>
  <c r="M34"/>
  <c r="C114" i="5"/>
  <c r="C147"/>
  <c r="C276"/>
  <c r="O34" i="9"/>
  <c r="Q34"/>
  <c r="T34"/>
  <c r="D114" i="5"/>
  <c r="D147"/>
  <c r="D276"/>
  <c r="AA9" i="1"/>
  <c r="E20" i="5"/>
  <c r="N20" i="3"/>
  <c r="O20"/>
  <c r="E51" i="5"/>
  <c r="E82"/>
  <c r="W34" i="9"/>
  <c r="X34"/>
  <c r="AA34"/>
  <c r="E114" i="5"/>
  <c r="E147"/>
  <c r="E276"/>
  <c r="AA10" i="1"/>
  <c r="C20" i="3"/>
  <c r="AC34" i="9"/>
  <c r="AE34"/>
  <c r="AF34"/>
  <c r="AH34"/>
  <c r="AA11" i="1"/>
  <c r="E20" i="3"/>
  <c r="F20"/>
  <c r="AJ34" i="9"/>
  <c r="AL34"/>
  <c r="AM34"/>
  <c r="AO34"/>
  <c r="A64"/>
  <c r="C64"/>
  <c r="F64"/>
  <c r="H114" i="5"/>
  <c r="H147"/>
  <c r="H276"/>
  <c r="AA13" i="1"/>
  <c r="I20" i="5"/>
  <c r="I147"/>
  <c r="I276"/>
  <c r="AA14" i="1"/>
  <c r="AA15"/>
  <c r="K20" i="5"/>
  <c r="Y20" i="3"/>
  <c r="K51" i="5"/>
  <c r="K82"/>
  <c r="W64" i="9"/>
  <c r="X64"/>
  <c r="AA64"/>
  <c r="K114" i="5"/>
  <c r="K147"/>
  <c r="K276"/>
  <c r="AA16" i="1"/>
  <c r="W20" i="3"/>
  <c r="AA17" i="1"/>
  <c r="AA18"/>
  <c r="N20" i="5"/>
  <c r="X20" i="3"/>
  <c r="N51" i="5"/>
  <c r="N82"/>
  <c r="B125" i="9"/>
  <c r="C125"/>
  <c r="F125"/>
  <c r="N114" i="5"/>
  <c r="N147"/>
  <c r="N276"/>
  <c r="AA19" i="1"/>
  <c r="AA20"/>
  <c r="Q20" i="3"/>
  <c r="AA9" i="8"/>
  <c r="BO31"/>
  <c r="DE31"/>
  <c r="BO32"/>
  <c r="DE32"/>
  <c r="BO33"/>
  <c r="DE33"/>
  <c r="BO34"/>
  <c r="DE34"/>
  <c r="BO35"/>
  <c r="DE35"/>
  <c r="BO36"/>
  <c r="DE36"/>
  <c r="BO37"/>
  <c r="DE37"/>
  <c r="BO38"/>
  <c r="DE38"/>
  <c r="BO39"/>
  <c r="DE39"/>
  <c r="BO40"/>
  <c r="DE40"/>
  <c r="BO41"/>
  <c r="DE41"/>
  <c r="BO42"/>
  <c r="DE42"/>
  <c r="BO43"/>
  <c r="DE43"/>
  <c r="BO44"/>
  <c r="DE44"/>
  <c r="BO45"/>
  <c r="DE45"/>
  <c r="BO46"/>
  <c r="DE46"/>
  <c r="BO47"/>
  <c r="DE47"/>
  <c r="BO48"/>
  <c r="DE48"/>
  <c r="BO49"/>
  <c r="DE49"/>
  <c r="BO50"/>
  <c r="DE50"/>
  <c r="BO51"/>
  <c r="DE51"/>
  <c r="BO52"/>
  <c r="DE52"/>
  <c r="BO53"/>
  <c r="DE53"/>
  <c r="BO54"/>
  <c r="DE54"/>
  <c r="BO55"/>
  <c r="DE55"/>
  <c r="BO56"/>
  <c r="DE56"/>
  <c r="BO57"/>
  <c r="DE57"/>
  <c r="BO58"/>
  <c r="DE58"/>
  <c r="BO59"/>
  <c r="DE59"/>
  <c r="BO60"/>
  <c r="DE60"/>
  <c r="BO61"/>
  <c r="DE61"/>
  <c r="BO62"/>
  <c r="DE62"/>
  <c r="BO63"/>
  <c r="DE63"/>
  <c r="BO64"/>
  <c r="DE64"/>
  <c r="BO65"/>
  <c r="DE65"/>
  <c r="BO66"/>
  <c r="DE66"/>
  <c r="BO67"/>
  <c r="DE67"/>
  <c r="DE68"/>
  <c r="DE69"/>
  <c r="DE70"/>
  <c r="AA12"/>
  <c r="AA11"/>
  <c r="BO71"/>
  <c r="BO70"/>
  <c r="BO72"/>
  <c r="A94" i="9"/>
  <c r="AA21" i="1"/>
  <c r="Q20" i="5"/>
  <c r="Q51"/>
  <c r="Q82"/>
  <c r="I94" i="9"/>
  <c r="J94"/>
  <c r="M94"/>
  <c r="Q114" i="5"/>
  <c r="Q147"/>
  <c r="Q276"/>
  <c r="AA22" i="1"/>
  <c r="R20" i="5"/>
  <c r="R51"/>
  <c r="R82"/>
  <c r="R114"/>
  <c r="R147"/>
  <c r="R276"/>
  <c r="AA23" i="1"/>
  <c r="S20" i="5"/>
  <c r="S51"/>
  <c r="S82"/>
  <c r="W94" i="9"/>
  <c r="X94"/>
  <c r="AA94"/>
  <c r="S114" i="5"/>
  <c r="S147"/>
  <c r="S276"/>
  <c r="AC94" i="9"/>
  <c r="AE94"/>
  <c r="AH94"/>
  <c r="T114" i="5"/>
  <c r="T147"/>
  <c r="T276"/>
  <c r="U20"/>
  <c r="U147"/>
  <c r="U276"/>
  <c r="V20"/>
  <c r="V147"/>
  <c r="V276"/>
  <c r="W20"/>
  <c r="W147"/>
  <c r="W276"/>
  <c r="AA28" i="1"/>
  <c r="X20" i="5"/>
  <c r="V20" i="3"/>
  <c r="X51" i="5"/>
  <c r="X82"/>
  <c r="AK94" i="9"/>
  <c r="AL94"/>
  <c r="AO94"/>
  <c r="X114" i="5"/>
  <c r="X147"/>
  <c r="X276"/>
  <c r="AA29" i="1"/>
  <c r="AA30"/>
  <c r="AA31"/>
  <c r="AA32"/>
  <c r="AC51" i="5"/>
  <c r="AC82"/>
  <c r="AC147"/>
  <c r="AC276"/>
  <c r="B21"/>
  <c r="K21" i="3"/>
  <c r="A53"/>
  <c r="A52" i="5"/>
  <c r="B52"/>
  <c r="B83"/>
  <c r="B35" i="9"/>
  <c r="C35"/>
  <c r="F35"/>
  <c r="B115" i="5"/>
  <c r="B148"/>
  <c r="A277"/>
  <c r="B277"/>
  <c r="C21"/>
  <c r="L21" i="3"/>
  <c r="C52" i="5"/>
  <c r="C83"/>
  <c r="I35" i="9"/>
  <c r="D21" i="5"/>
  <c r="M53" i="3"/>
  <c r="M21"/>
  <c r="D52" i="5"/>
  <c r="D83"/>
  <c r="AB12" i="1"/>
  <c r="H21" i="5"/>
  <c r="J21" i="3"/>
  <c r="H52" i="5"/>
  <c r="H83"/>
  <c r="AB24" i="1"/>
  <c r="T21" i="5"/>
  <c r="Z21" i="3"/>
  <c r="T52" i="5"/>
  <c r="T83"/>
  <c r="H35" i="9"/>
  <c r="J35"/>
  <c r="M35"/>
  <c r="C115" i="5"/>
  <c r="C148"/>
  <c r="C277"/>
  <c r="O35" i="9"/>
  <c r="Q35"/>
  <c r="T35"/>
  <c r="D115" i="5"/>
  <c r="D148"/>
  <c r="D277"/>
  <c r="AB9" i="1"/>
  <c r="E21" i="5"/>
  <c r="N21" i="3"/>
  <c r="O21"/>
  <c r="E52" i="5"/>
  <c r="E83"/>
  <c r="W35" i="9"/>
  <c r="X35"/>
  <c r="AA35"/>
  <c r="E115" i="5"/>
  <c r="E148"/>
  <c r="E277"/>
  <c r="AB10" i="1"/>
  <c r="C21" i="3"/>
  <c r="AC35" i="9"/>
  <c r="AE35"/>
  <c r="AF35"/>
  <c r="AH35"/>
  <c r="AB11" i="1"/>
  <c r="E21" i="3"/>
  <c r="F21"/>
  <c r="AJ35" i="9"/>
  <c r="AL35"/>
  <c r="AM35"/>
  <c r="AO35"/>
  <c r="A65"/>
  <c r="C65"/>
  <c r="F65"/>
  <c r="H115" i="5"/>
  <c r="H148"/>
  <c r="H277"/>
  <c r="AB13" i="1"/>
  <c r="I21" i="5"/>
  <c r="I148"/>
  <c r="I277"/>
  <c r="AB14" i="1"/>
  <c r="AB15"/>
  <c r="K21" i="5"/>
  <c r="Y21" i="3"/>
  <c r="K52" i="5"/>
  <c r="K83"/>
  <c r="W65" i="9"/>
  <c r="X65"/>
  <c r="AA65"/>
  <c r="K115" i="5"/>
  <c r="K148"/>
  <c r="K277"/>
  <c r="AB16" i="1"/>
  <c r="W21" i="3"/>
  <c r="AB17" i="1"/>
  <c r="AB18"/>
  <c r="N21" i="5"/>
  <c r="X21" i="3"/>
  <c r="N52" i="5"/>
  <c r="N83"/>
  <c r="B126" i="9"/>
  <c r="C126"/>
  <c r="F126"/>
  <c r="N115" i="5"/>
  <c r="N148"/>
  <c r="N277"/>
  <c r="AB19" i="1"/>
  <c r="AB20"/>
  <c r="Q21" i="3"/>
  <c r="AB9" i="8"/>
  <c r="BP31"/>
  <c r="DF31"/>
  <c r="BP32"/>
  <c r="DF32"/>
  <c r="BP33"/>
  <c r="DF33"/>
  <c r="BP34"/>
  <c r="DF34"/>
  <c r="BP35"/>
  <c r="DF35"/>
  <c r="BP36"/>
  <c r="DF36"/>
  <c r="BP37"/>
  <c r="DF37"/>
  <c r="BP38"/>
  <c r="DF38"/>
  <c r="BP39"/>
  <c r="DF39"/>
  <c r="BP40"/>
  <c r="DF40"/>
  <c r="BP41"/>
  <c r="DF41"/>
  <c r="BP42"/>
  <c r="DF42"/>
  <c r="BP43"/>
  <c r="DF43"/>
  <c r="BP44"/>
  <c r="DF44"/>
  <c r="BP45"/>
  <c r="DF45"/>
  <c r="BP46"/>
  <c r="DF46"/>
  <c r="BP47"/>
  <c r="DF47"/>
  <c r="BP48"/>
  <c r="DF48"/>
  <c r="BP49"/>
  <c r="DF49"/>
  <c r="BP50"/>
  <c r="DF50"/>
  <c r="BP51"/>
  <c r="DF51"/>
  <c r="BP52"/>
  <c r="DF52"/>
  <c r="BP53"/>
  <c r="DF53"/>
  <c r="BP54"/>
  <c r="DF54"/>
  <c r="BP55"/>
  <c r="DF55"/>
  <c r="BP56"/>
  <c r="DF56"/>
  <c r="BP57"/>
  <c r="DF57"/>
  <c r="BP58"/>
  <c r="DF58"/>
  <c r="BP59"/>
  <c r="DF59"/>
  <c r="BP60"/>
  <c r="DF60"/>
  <c r="BP61"/>
  <c r="DF61"/>
  <c r="BP62"/>
  <c r="DF62"/>
  <c r="BP63"/>
  <c r="DF63"/>
  <c r="BP64"/>
  <c r="DF64"/>
  <c r="BP65"/>
  <c r="DF65"/>
  <c r="BP66"/>
  <c r="DF66"/>
  <c r="BP67"/>
  <c r="DF67"/>
  <c r="DF68"/>
  <c r="DF69"/>
  <c r="DF70"/>
  <c r="AB12"/>
  <c r="AB11"/>
  <c r="BP71"/>
  <c r="BP70"/>
  <c r="BP72"/>
  <c r="A95" i="9"/>
  <c r="AB21" i="1"/>
  <c r="Q21" i="5"/>
  <c r="Q52"/>
  <c r="Q83"/>
  <c r="I95" i="9"/>
  <c r="J95"/>
  <c r="M95"/>
  <c r="Q115" i="5"/>
  <c r="Q148"/>
  <c r="Q277"/>
  <c r="AB22" i="1"/>
  <c r="R21" i="5"/>
  <c r="R52"/>
  <c r="R83"/>
  <c r="R115"/>
  <c r="R148"/>
  <c r="R277"/>
  <c r="AB23" i="1"/>
  <c r="S21" i="5"/>
  <c r="S52"/>
  <c r="S83"/>
  <c r="W95" i="9"/>
  <c r="X95"/>
  <c r="AA95"/>
  <c r="S115" i="5"/>
  <c r="S148"/>
  <c r="S277"/>
  <c r="AC95" i="9"/>
  <c r="AE95"/>
  <c r="AH95"/>
  <c r="T115" i="5"/>
  <c r="T148"/>
  <c r="T277"/>
  <c r="U21"/>
  <c r="U148"/>
  <c r="U277"/>
  <c r="V21"/>
  <c r="V148"/>
  <c r="V277"/>
  <c r="W21"/>
  <c r="W148"/>
  <c r="W277"/>
  <c r="AB28" i="1"/>
  <c r="X21" i="5"/>
  <c r="V21" i="3"/>
  <c r="X52" i="5"/>
  <c r="X83"/>
  <c r="AK95" i="9"/>
  <c r="AL95"/>
  <c r="AO95"/>
  <c r="X115" i="5"/>
  <c r="X148"/>
  <c r="X277"/>
  <c r="AB29" i="1"/>
  <c r="AB30"/>
  <c r="AB31"/>
  <c r="AB32"/>
  <c r="AC52" i="5"/>
  <c r="AC83"/>
  <c r="AC148"/>
  <c r="AC277"/>
  <c r="B22"/>
  <c r="K22" i="3"/>
  <c r="A54"/>
  <c r="A53" i="5"/>
  <c r="B53"/>
  <c r="B84"/>
  <c r="B36" i="9"/>
  <c r="C36"/>
  <c r="F36"/>
  <c r="B116" i="5"/>
  <c r="B149"/>
  <c r="A278"/>
  <c r="B278"/>
  <c r="C22"/>
  <c r="L22" i="3"/>
  <c r="C53" i="5"/>
  <c r="C84"/>
  <c r="I36" i="9"/>
  <c r="D22" i="5"/>
  <c r="M54" i="3"/>
  <c r="M22"/>
  <c r="D53" i="5"/>
  <c r="D84"/>
  <c r="AC12" i="1"/>
  <c r="H22" i="5"/>
  <c r="J22" i="3"/>
  <c r="H53" i="5"/>
  <c r="H84"/>
  <c r="AC24" i="1"/>
  <c r="T22" i="5"/>
  <c r="Z22" i="3"/>
  <c r="T53" i="5"/>
  <c r="T84"/>
  <c r="H36" i="9"/>
  <c r="J36"/>
  <c r="M36"/>
  <c r="C116" i="5"/>
  <c r="C149"/>
  <c r="C278"/>
  <c r="O36" i="9"/>
  <c r="Q36"/>
  <c r="T36"/>
  <c r="D116" i="5"/>
  <c r="D149"/>
  <c r="D278"/>
  <c r="AC9" i="1"/>
  <c r="E22" i="5"/>
  <c r="N22" i="3"/>
  <c r="O22"/>
  <c r="E53" i="5"/>
  <c r="E84"/>
  <c r="W36" i="9"/>
  <c r="X36"/>
  <c r="AA36"/>
  <c r="E116" i="5"/>
  <c r="E149"/>
  <c r="E278"/>
  <c r="AC10" i="1"/>
  <c r="C22" i="3"/>
  <c r="AC36" i="9"/>
  <c r="AE36"/>
  <c r="AF36"/>
  <c r="AH36"/>
  <c r="AC11" i="1"/>
  <c r="E22" i="3"/>
  <c r="F22"/>
  <c r="AJ36" i="9"/>
  <c r="AL36"/>
  <c r="AM36"/>
  <c r="AO36"/>
  <c r="A66"/>
  <c r="C66"/>
  <c r="F66"/>
  <c r="H116" i="5"/>
  <c r="H149"/>
  <c r="H278"/>
  <c r="AC13" i="1"/>
  <c r="I22" i="5"/>
  <c r="I149"/>
  <c r="I278"/>
  <c r="AC14" i="1"/>
  <c r="AC15"/>
  <c r="K22" i="5"/>
  <c r="Y22" i="3"/>
  <c r="K53" i="5"/>
  <c r="K84"/>
  <c r="W66" i="9"/>
  <c r="X66"/>
  <c r="AA66"/>
  <c r="K116" i="5"/>
  <c r="K149"/>
  <c r="K278"/>
  <c r="AC16" i="1"/>
  <c r="W22" i="3"/>
  <c r="AC17" i="1"/>
  <c r="AC18"/>
  <c r="N22" i="5"/>
  <c r="X22" i="3"/>
  <c r="N53" i="5"/>
  <c r="N84"/>
  <c r="B127" i="9"/>
  <c r="C127"/>
  <c r="F127"/>
  <c r="N116" i="5"/>
  <c r="N149"/>
  <c r="N278"/>
  <c r="AC19" i="1"/>
  <c r="AC20"/>
  <c r="Q22" i="3"/>
  <c r="AC9" i="8"/>
  <c r="BQ31"/>
  <c r="DG31"/>
  <c r="BQ32"/>
  <c r="DG32"/>
  <c r="BQ33"/>
  <c r="DG33"/>
  <c r="BQ34"/>
  <c r="DG34"/>
  <c r="BQ35"/>
  <c r="DG35"/>
  <c r="BQ36"/>
  <c r="DG36"/>
  <c r="BQ37"/>
  <c r="DG37"/>
  <c r="BQ38"/>
  <c r="DG38"/>
  <c r="BQ39"/>
  <c r="DG39"/>
  <c r="BQ40"/>
  <c r="DG40"/>
  <c r="BQ41"/>
  <c r="DG41"/>
  <c r="BQ42"/>
  <c r="DG42"/>
  <c r="BQ43"/>
  <c r="DG43"/>
  <c r="BQ44"/>
  <c r="DG44"/>
  <c r="BQ45"/>
  <c r="DG45"/>
  <c r="BQ46"/>
  <c r="DG46"/>
  <c r="BQ47"/>
  <c r="DG47"/>
  <c r="BQ48"/>
  <c r="DG48"/>
  <c r="BQ49"/>
  <c r="DG49"/>
  <c r="BQ50"/>
  <c r="DG50"/>
  <c r="BQ51"/>
  <c r="DG51"/>
  <c r="BQ52"/>
  <c r="DG52"/>
  <c r="BQ53"/>
  <c r="DG53"/>
  <c r="BQ54"/>
  <c r="DG54"/>
  <c r="BQ55"/>
  <c r="DG55"/>
  <c r="BQ56"/>
  <c r="DG56"/>
  <c r="BQ57"/>
  <c r="DG57"/>
  <c r="BQ58"/>
  <c r="DG58"/>
  <c r="BQ59"/>
  <c r="DG59"/>
  <c r="BQ60"/>
  <c r="DG60"/>
  <c r="BQ61"/>
  <c r="DG61"/>
  <c r="BQ62"/>
  <c r="DG62"/>
  <c r="BQ63"/>
  <c r="DG63"/>
  <c r="BQ64"/>
  <c r="DG64"/>
  <c r="BQ65"/>
  <c r="DG65"/>
  <c r="BQ66"/>
  <c r="DG66"/>
  <c r="BQ67"/>
  <c r="DG67"/>
  <c r="DG68"/>
  <c r="DG69"/>
  <c r="DG70"/>
  <c r="AC12"/>
  <c r="AC11"/>
  <c r="BQ71"/>
  <c r="BQ70"/>
  <c r="BQ72"/>
  <c r="A96" i="9"/>
  <c r="AC21" i="1"/>
  <c r="Q22" i="5"/>
  <c r="Q53"/>
  <c r="Q84"/>
  <c r="I96" i="9"/>
  <c r="J96"/>
  <c r="M96"/>
  <c r="Q116" i="5"/>
  <c r="Q149"/>
  <c r="Q278"/>
  <c r="AC22" i="1"/>
  <c r="R22" i="5"/>
  <c r="R53"/>
  <c r="R84"/>
  <c r="R116"/>
  <c r="R149"/>
  <c r="R278"/>
  <c r="AC23" i="1"/>
  <c r="S22" i="5"/>
  <c r="S53"/>
  <c r="S84"/>
  <c r="W96" i="9"/>
  <c r="X96"/>
  <c r="AA96"/>
  <c r="S116" i="5"/>
  <c r="S149"/>
  <c r="S278"/>
  <c r="AC96" i="9"/>
  <c r="AE96"/>
  <c r="AH96"/>
  <c r="T116" i="5"/>
  <c r="T149"/>
  <c r="T278"/>
  <c r="U22"/>
  <c r="U149"/>
  <c r="U278"/>
  <c r="V22"/>
  <c r="V149"/>
  <c r="V278"/>
  <c r="W22"/>
  <c r="W149"/>
  <c r="W278"/>
  <c r="AC28" i="1"/>
  <c r="X22" i="5"/>
  <c r="V22" i="3"/>
  <c r="X53" i="5"/>
  <c r="X84"/>
  <c r="AK96" i="9"/>
  <c r="AL96"/>
  <c r="AO96"/>
  <c r="X116" i="5"/>
  <c r="X149"/>
  <c r="X278"/>
  <c r="AC29" i="1"/>
  <c r="AC30"/>
  <c r="AC31"/>
  <c r="AC32"/>
  <c r="AC53" i="5"/>
  <c r="AC84"/>
  <c r="AC149"/>
  <c r="AC278"/>
  <c r="B23"/>
  <c r="K23" i="3"/>
  <c r="A55"/>
  <c r="A54" i="5"/>
  <c r="B54"/>
  <c r="B85"/>
  <c r="B37" i="9"/>
  <c r="C37"/>
  <c r="F37"/>
  <c r="B117" i="5"/>
  <c r="B150"/>
  <c r="A279"/>
  <c r="B279"/>
  <c r="C23"/>
  <c r="L23" i="3"/>
  <c r="C54" i="5"/>
  <c r="C85"/>
  <c r="I37" i="9"/>
  <c r="D23" i="5"/>
  <c r="M55" i="3"/>
  <c r="M23"/>
  <c r="D54" i="5"/>
  <c r="D85"/>
  <c r="AD12" i="1"/>
  <c r="H23" i="5"/>
  <c r="J23" i="3"/>
  <c r="H54" i="5"/>
  <c r="H85"/>
  <c r="AD24" i="1"/>
  <c r="T23" i="5"/>
  <c r="Z23" i="3"/>
  <c r="T54" i="5"/>
  <c r="T85"/>
  <c r="H37" i="9"/>
  <c r="J37"/>
  <c r="M37"/>
  <c r="C117" i="5"/>
  <c r="C150"/>
  <c r="C279"/>
  <c r="O37" i="9"/>
  <c r="Q37"/>
  <c r="T37"/>
  <c r="D117" i="5"/>
  <c r="D150"/>
  <c r="D279"/>
  <c r="AD9" i="1"/>
  <c r="E23" i="5"/>
  <c r="N23" i="3"/>
  <c r="O23"/>
  <c r="E54" i="5"/>
  <c r="E85"/>
  <c r="W37" i="9"/>
  <c r="X37"/>
  <c r="AA37"/>
  <c r="E117" i="5"/>
  <c r="E150"/>
  <c r="E279"/>
  <c r="AD10" i="1"/>
  <c r="C23" i="3"/>
  <c r="AC37" i="9"/>
  <c r="AE37"/>
  <c r="AF37"/>
  <c r="AH37"/>
  <c r="AD11" i="1"/>
  <c r="E23" i="3"/>
  <c r="F23"/>
  <c r="AJ37" i="9"/>
  <c r="AL37"/>
  <c r="AM37"/>
  <c r="AO37"/>
  <c r="A67"/>
  <c r="C67"/>
  <c r="F67"/>
  <c r="H117" i="5"/>
  <c r="H150"/>
  <c r="H279"/>
  <c r="AD13" i="1"/>
  <c r="I23" i="5"/>
  <c r="I150"/>
  <c r="I279"/>
  <c r="AD14" i="1"/>
  <c r="AD15"/>
  <c r="K23" i="5"/>
  <c r="Y23" i="3"/>
  <c r="K54" i="5"/>
  <c r="K85"/>
  <c r="W67" i="9"/>
  <c r="X67"/>
  <c r="AA67"/>
  <c r="K117" i="5"/>
  <c r="K150"/>
  <c r="K279"/>
  <c r="AD16" i="1"/>
  <c r="W23" i="3"/>
  <c r="AD17" i="1"/>
  <c r="AD18"/>
  <c r="N23" i="5"/>
  <c r="X23" i="3"/>
  <c r="N54" i="5"/>
  <c r="N85"/>
  <c r="B128" i="9"/>
  <c r="C128"/>
  <c r="F128"/>
  <c r="N117" i="5"/>
  <c r="N150"/>
  <c r="N279"/>
  <c r="AD19" i="1"/>
  <c r="AD20"/>
  <c r="Q23" i="3"/>
  <c r="AD9" i="8"/>
  <c r="BR31"/>
  <c r="DH31"/>
  <c r="BR32"/>
  <c r="DH32"/>
  <c r="BR33"/>
  <c r="DH33"/>
  <c r="BR34"/>
  <c r="DH34"/>
  <c r="BR35"/>
  <c r="DH35"/>
  <c r="BR36"/>
  <c r="DH36"/>
  <c r="BR37"/>
  <c r="DH37"/>
  <c r="BR38"/>
  <c r="DH38"/>
  <c r="BR39"/>
  <c r="DH39"/>
  <c r="BR40"/>
  <c r="DH40"/>
  <c r="BR41"/>
  <c r="DH41"/>
  <c r="BR42"/>
  <c r="DH42"/>
  <c r="BR43"/>
  <c r="DH43"/>
  <c r="BR44"/>
  <c r="DH44"/>
  <c r="BR45"/>
  <c r="DH45"/>
  <c r="BR46"/>
  <c r="DH46"/>
  <c r="BR47"/>
  <c r="DH47"/>
  <c r="BR48"/>
  <c r="DH48"/>
  <c r="BR49"/>
  <c r="DH49"/>
  <c r="BR50"/>
  <c r="DH50"/>
  <c r="BR51"/>
  <c r="DH51"/>
  <c r="BR52"/>
  <c r="DH52"/>
  <c r="BR53"/>
  <c r="DH53"/>
  <c r="BR54"/>
  <c r="DH54"/>
  <c r="BR55"/>
  <c r="DH55"/>
  <c r="BR56"/>
  <c r="DH56"/>
  <c r="BR57"/>
  <c r="DH57"/>
  <c r="BR58"/>
  <c r="DH58"/>
  <c r="BR59"/>
  <c r="DH59"/>
  <c r="BR60"/>
  <c r="DH60"/>
  <c r="BR61"/>
  <c r="DH61"/>
  <c r="BR62"/>
  <c r="DH62"/>
  <c r="BR63"/>
  <c r="DH63"/>
  <c r="BR64"/>
  <c r="DH64"/>
  <c r="BR65"/>
  <c r="DH65"/>
  <c r="BR66"/>
  <c r="DH66"/>
  <c r="BR67"/>
  <c r="DH67"/>
  <c r="DH68"/>
  <c r="DH69"/>
  <c r="DH70"/>
  <c r="AD12"/>
  <c r="AD11"/>
  <c r="BR71"/>
  <c r="BR70"/>
  <c r="BR72"/>
  <c r="A97" i="9"/>
  <c r="AD21" i="1"/>
  <c r="Q23" i="5"/>
  <c r="Q54"/>
  <c r="Q85"/>
  <c r="I97" i="9"/>
  <c r="J97"/>
  <c r="M97"/>
  <c r="Q117" i="5"/>
  <c r="Q150"/>
  <c r="Q279"/>
  <c r="AD22" i="1"/>
  <c r="R23" i="5"/>
  <c r="R54"/>
  <c r="R85"/>
  <c r="R117"/>
  <c r="R150"/>
  <c r="R279"/>
  <c r="AD23" i="1"/>
  <c r="S23" i="5"/>
  <c r="S54"/>
  <c r="S85"/>
  <c r="W97" i="9"/>
  <c r="X97"/>
  <c r="AA97"/>
  <c r="S117" i="5"/>
  <c r="S150"/>
  <c r="S279"/>
  <c r="AC97" i="9"/>
  <c r="AE97"/>
  <c r="AH97"/>
  <c r="T117" i="5"/>
  <c r="T150"/>
  <c r="T279"/>
  <c r="U23"/>
  <c r="U150"/>
  <c r="U279"/>
  <c r="V23"/>
  <c r="V150"/>
  <c r="V279"/>
  <c r="W23"/>
  <c r="W150"/>
  <c r="W279"/>
  <c r="AD28" i="1"/>
  <c r="X23" i="5"/>
  <c r="V23" i="3"/>
  <c r="X54" i="5"/>
  <c r="X85"/>
  <c r="AK97" i="9"/>
  <c r="AL97"/>
  <c r="AO97"/>
  <c r="X117" i="5"/>
  <c r="X150"/>
  <c r="X279"/>
  <c r="AD29" i="1"/>
  <c r="AD30"/>
  <c r="AD31"/>
  <c r="AD32"/>
  <c r="AC54" i="5"/>
  <c r="AC85"/>
  <c r="AC150"/>
  <c r="AC279"/>
  <c r="B24"/>
  <c r="K24" i="3"/>
  <c r="A56"/>
  <c r="A55" i="5"/>
  <c r="B55"/>
  <c r="B86"/>
  <c r="B38" i="9"/>
  <c r="C38"/>
  <c r="F38"/>
  <c r="B118" i="5"/>
  <c r="B151"/>
  <c r="A280"/>
  <c r="B280"/>
  <c r="C24"/>
  <c r="L24" i="3"/>
  <c r="C55" i="5"/>
  <c r="C86"/>
  <c r="I38" i="9"/>
  <c r="D24" i="5"/>
  <c r="M56" i="3"/>
  <c r="M24"/>
  <c r="D55" i="5"/>
  <c r="D86"/>
  <c r="AE12" i="1"/>
  <c r="H24" i="5"/>
  <c r="J24" i="3"/>
  <c r="H55" i="5"/>
  <c r="H86"/>
  <c r="AE24" i="1"/>
  <c r="T24" i="5"/>
  <c r="Z24" i="3"/>
  <c r="T55" i="5"/>
  <c r="T86"/>
  <c r="H38" i="9"/>
  <c r="J38"/>
  <c r="M38"/>
  <c r="C118" i="5"/>
  <c r="C151"/>
  <c r="C280"/>
  <c r="O38" i="9"/>
  <c r="Q38"/>
  <c r="T38"/>
  <c r="D118" i="5"/>
  <c r="D151"/>
  <c r="D280"/>
  <c r="AE9" i="1"/>
  <c r="E24" i="5"/>
  <c r="N24" i="3"/>
  <c r="O24"/>
  <c r="E55" i="5"/>
  <c r="E86"/>
  <c r="W38" i="9"/>
  <c r="X38"/>
  <c r="AA38"/>
  <c r="E118" i="5"/>
  <c r="E151"/>
  <c r="E280"/>
  <c r="AE10" i="1"/>
  <c r="C24" i="3"/>
  <c r="AC38" i="9"/>
  <c r="AE38"/>
  <c r="AF38"/>
  <c r="AH38"/>
  <c r="AE11" i="1"/>
  <c r="E24" i="3"/>
  <c r="F24"/>
  <c r="AJ38" i="9"/>
  <c r="AL38"/>
  <c r="AM38"/>
  <c r="AO38"/>
  <c r="A68"/>
  <c r="C68"/>
  <c r="F68"/>
  <c r="H118" i="5"/>
  <c r="H151"/>
  <c r="H280"/>
  <c r="AE13" i="1"/>
  <c r="I24" i="5"/>
  <c r="I151"/>
  <c r="I280"/>
  <c r="AE14" i="1"/>
  <c r="AE15"/>
  <c r="K24" i="5"/>
  <c r="Y24" i="3"/>
  <c r="K55" i="5"/>
  <c r="K86"/>
  <c r="W68" i="9"/>
  <c r="X68"/>
  <c r="AA68"/>
  <c r="K118" i="5"/>
  <c r="K151"/>
  <c r="K280"/>
  <c r="AE16" i="1"/>
  <c r="W24" i="3"/>
  <c r="AE17" i="1"/>
  <c r="AE18"/>
  <c r="N24" i="5"/>
  <c r="X24" i="3"/>
  <c r="N55" i="5"/>
  <c r="N86"/>
  <c r="B129" i="9"/>
  <c r="C129"/>
  <c r="F129"/>
  <c r="N118" i="5"/>
  <c r="N151"/>
  <c r="N280"/>
  <c r="AE19" i="1"/>
  <c r="AE20"/>
  <c r="Q24" i="3"/>
  <c r="AE9" i="8"/>
  <c r="BS31"/>
  <c r="DI31"/>
  <c r="BS32"/>
  <c r="DI32"/>
  <c r="BS33"/>
  <c r="DI33"/>
  <c r="BS34"/>
  <c r="DI34"/>
  <c r="BS35"/>
  <c r="DI35"/>
  <c r="BS36"/>
  <c r="DI36"/>
  <c r="BS37"/>
  <c r="DI37"/>
  <c r="BS38"/>
  <c r="DI38"/>
  <c r="BS39"/>
  <c r="DI39"/>
  <c r="BS40"/>
  <c r="DI40"/>
  <c r="BS41"/>
  <c r="DI41"/>
  <c r="BS42"/>
  <c r="DI42"/>
  <c r="BS43"/>
  <c r="DI43"/>
  <c r="BS44"/>
  <c r="DI44"/>
  <c r="BS45"/>
  <c r="DI45"/>
  <c r="BS46"/>
  <c r="DI46"/>
  <c r="BS47"/>
  <c r="DI47"/>
  <c r="BS48"/>
  <c r="DI48"/>
  <c r="BS49"/>
  <c r="DI49"/>
  <c r="BS50"/>
  <c r="DI50"/>
  <c r="BS51"/>
  <c r="DI51"/>
  <c r="BS52"/>
  <c r="DI52"/>
  <c r="BS53"/>
  <c r="DI53"/>
  <c r="BS54"/>
  <c r="DI54"/>
  <c r="BS55"/>
  <c r="DI55"/>
  <c r="BS56"/>
  <c r="DI56"/>
  <c r="BS57"/>
  <c r="DI57"/>
  <c r="BS58"/>
  <c r="DI58"/>
  <c r="BS59"/>
  <c r="DI59"/>
  <c r="BS60"/>
  <c r="DI60"/>
  <c r="BS61"/>
  <c r="DI61"/>
  <c r="BS62"/>
  <c r="DI62"/>
  <c r="BS63"/>
  <c r="DI63"/>
  <c r="BS64"/>
  <c r="DI64"/>
  <c r="BS65"/>
  <c r="DI65"/>
  <c r="BS66"/>
  <c r="DI66"/>
  <c r="BS67"/>
  <c r="DI67"/>
  <c r="DI68"/>
  <c r="DI69"/>
  <c r="DI70"/>
  <c r="AE12"/>
  <c r="AE11"/>
  <c r="BS71"/>
  <c r="BS70"/>
  <c r="BS72"/>
  <c r="A98" i="9"/>
  <c r="AE21" i="1"/>
  <c r="Q24" i="5"/>
  <c r="Q55"/>
  <c r="Q86"/>
  <c r="I98" i="9"/>
  <c r="J98"/>
  <c r="M98"/>
  <c r="Q118" i="5"/>
  <c r="Q151"/>
  <c r="Q280"/>
  <c r="AE22" i="1"/>
  <c r="R24" i="5"/>
  <c r="R55"/>
  <c r="R86"/>
  <c r="R118"/>
  <c r="R151"/>
  <c r="R280"/>
  <c r="AE23" i="1"/>
  <c r="S24" i="5"/>
  <c r="S55"/>
  <c r="S86"/>
  <c r="W98" i="9"/>
  <c r="X98"/>
  <c r="AA98"/>
  <c r="S118" i="5"/>
  <c r="S151"/>
  <c r="S280"/>
  <c r="AC98" i="9"/>
  <c r="AE98"/>
  <c r="AH98"/>
  <c r="T118" i="5"/>
  <c r="T151"/>
  <c r="T280"/>
  <c r="U24"/>
  <c r="U151"/>
  <c r="U280"/>
  <c r="V24"/>
  <c r="V151"/>
  <c r="V280"/>
  <c r="W24"/>
  <c r="W151"/>
  <c r="W280"/>
  <c r="AE28" i="1"/>
  <c r="X24" i="5"/>
  <c r="V24" i="3"/>
  <c r="X55" i="5"/>
  <c r="X86"/>
  <c r="AK98" i="9"/>
  <c r="AL98"/>
  <c r="AO98"/>
  <c r="X118" i="5"/>
  <c r="X151"/>
  <c r="X280"/>
  <c r="AE29" i="1"/>
  <c r="AE30"/>
  <c r="AE31"/>
  <c r="AE32"/>
  <c r="AC55" i="5"/>
  <c r="AC86"/>
  <c r="AC151"/>
  <c r="AC280"/>
  <c r="B25"/>
  <c r="K25" i="3"/>
  <c r="A57"/>
  <c r="A56" i="5"/>
  <c r="B56"/>
  <c r="B87"/>
  <c r="B39" i="9"/>
  <c r="C39"/>
  <c r="F39"/>
  <c r="B119" i="5"/>
  <c r="B152"/>
  <c r="A281"/>
  <c r="B281"/>
  <c r="C25"/>
  <c r="L25" i="3"/>
  <c r="C56" i="5"/>
  <c r="C87"/>
  <c r="I39" i="9"/>
  <c r="D25" i="5"/>
  <c r="M57" i="3"/>
  <c r="M25"/>
  <c r="D56" i="5"/>
  <c r="D87"/>
  <c r="AF12" i="1"/>
  <c r="H25" i="5"/>
  <c r="J25" i="3"/>
  <c r="H56" i="5"/>
  <c r="H87"/>
  <c r="AF24" i="1"/>
  <c r="T25" i="5"/>
  <c r="Z25" i="3"/>
  <c r="T56" i="5"/>
  <c r="T87"/>
  <c r="H39" i="9"/>
  <c r="J39"/>
  <c r="M39"/>
  <c r="C119" i="5"/>
  <c r="C152"/>
  <c r="C281"/>
  <c r="O39" i="9"/>
  <c r="Q39"/>
  <c r="T39"/>
  <c r="D119" i="5"/>
  <c r="D152"/>
  <c r="D281"/>
  <c r="AF9" i="1"/>
  <c r="E25" i="5"/>
  <c r="N25" i="3"/>
  <c r="O25"/>
  <c r="E56" i="5"/>
  <c r="E87"/>
  <c r="W39" i="9"/>
  <c r="X39"/>
  <c r="AA39"/>
  <c r="E119" i="5"/>
  <c r="E152"/>
  <c r="E281"/>
  <c r="AF10" i="1"/>
  <c r="C25" i="3"/>
  <c r="AC39" i="9"/>
  <c r="AE39"/>
  <c r="AF39"/>
  <c r="AH39"/>
  <c r="AF11" i="1"/>
  <c r="E25" i="3"/>
  <c r="F25"/>
  <c r="AJ39" i="9"/>
  <c r="AL39"/>
  <c r="AM39"/>
  <c r="AO39"/>
  <c r="A69"/>
  <c r="C69"/>
  <c r="F69"/>
  <c r="H119" i="5"/>
  <c r="H152"/>
  <c r="H281"/>
  <c r="AF13" i="1"/>
  <c r="I25" i="5"/>
  <c r="I152"/>
  <c r="I281"/>
  <c r="AF14" i="1"/>
  <c r="AF15"/>
  <c r="K25" i="5"/>
  <c r="Y25" i="3"/>
  <c r="K56" i="5"/>
  <c r="K87"/>
  <c r="W69" i="9"/>
  <c r="X69"/>
  <c r="AA69"/>
  <c r="K119" i="5"/>
  <c r="K152"/>
  <c r="K281"/>
  <c r="AF16" i="1"/>
  <c r="W25" i="3"/>
  <c r="AF17" i="1"/>
  <c r="AF18"/>
  <c r="N25" i="5"/>
  <c r="X25" i="3"/>
  <c r="N56" i="5"/>
  <c r="N87"/>
  <c r="B130" i="9"/>
  <c r="C130"/>
  <c r="F130"/>
  <c r="N119" i="5"/>
  <c r="N152"/>
  <c r="N281"/>
  <c r="AF19" i="1"/>
  <c r="AF20"/>
  <c r="Q25" i="3"/>
  <c r="AF9" i="8"/>
  <c r="BT31"/>
  <c r="DJ31"/>
  <c r="BT32"/>
  <c r="DJ32"/>
  <c r="BT33"/>
  <c r="DJ33"/>
  <c r="BT34"/>
  <c r="DJ34"/>
  <c r="BT35"/>
  <c r="DJ35"/>
  <c r="BT36"/>
  <c r="DJ36"/>
  <c r="BT37"/>
  <c r="DJ37"/>
  <c r="BT38"/>
  <c r="DJ38"/>
  <c r="BT39"/>
  <c r="DJ39"/>
  <c r="BT40"/>
  <c r="DJ40"/>
  <c r="BT41"/>
  <c r="DJ41"/>
  <c r="BT42"/>
  <c r="DJ42"/>
  <c r="BT43"/>
  <c r="DJ43"/>
  <c r="BT44"/>
  <c r="DJ44"/>
  <c r="BT45"/>
  <c r="DJ45"/>
  <c r="BT46"/>
  <c r="DJ46"/>
  <c r="BT47"/>
  <c r="DJ47"/>
  <c r="BT48"/>
  <c r="DJ48"/>
  <c r="BT49"/>
  <c r="DJ49"/>
  <c r="BT50"/>
  <c r="DJ50"/>
  <c r="BT51"/>
  <c r="DJ51"/>
  <c r="BT52"/>
  <c r="DJ52"/>
  <c r="BT53"/>
  <c r="DJ53"/>
  <c r="BT54"/>
  <c r="DJ54"/>
  <c r="BT55"/>
  <c r="DJ55"/>
  <c r="BT56"/>
  <c r="DJ56"/>
  <c r="BT57"/>
  <c r="DJ57"/>
  <c r="BT58"/>
  <c r="DJ58"/>
  <c r="BT59"/>
  <c r="DJ59"/>
  <c r="BT60"/>
  <c r="DJ60"/>
  <c r="BT61"/>
  <c r="DJ61"/>
  <c r="BT62"/>
  <c r="DJ62"/>
  <c r="BT63"/>
  <c r="DJ63"/>
  <c r="BT64"/>
  <c r="DJ64"/>
  <c r="BT65"/>
  <c r="DJ65"/>
  <c r="BT66"/>
  <c r="DJ66"/>
  <c r="BT67"/>
  <c r="DJ67"/>
  <c r="DJ68"/>
  <c r="DJ69"/>
  <c r="DJ70"/>
  <c r="AF12"/>
  <c r="AF11"/>
  <c r="BT71"/>
  <c r="BT70"/>
  <c r="BT72"/>
  <c r="A99" i="9"/>
  <c r="AF21" i="1"/>
  <c r="Q25" i="5"/>
  <c r="Q56"/>
  <c r="Q87"/>
  <c r="I99" i="9"/>
  <c r="J99"/>
  <c r="M99"/>
  <c r="Q119" i="5"/>
  <c r="Q152"/>
  <c r="Q281"/>
  <c r="AF22" i="1"/>
  <c r="R25" i="5"/>
  <c r="R56"/>
  <c r="R87"/>
  <c r="R119"/>
  <c r="R152"/>
  <c r="R281"/>
  <c r="AF23" i="1"/>
  <c r="S25" i="5"/>
  <c r="S56"/>
  <c r="S87"/>
  <c r="W99" i="9"/>
  <c r="X99"/>
  <c r="AA99"/>
  <c r="S119" i="5"/>
  <c r="S152"/>
  <c r="S281"/>
  <c r="AC99" i="9"/>
  <c r="AE99"/>
  <c r="AH99"/>
  <c r="T119" i="5"/>
  <c r="T152"/>
  <c r="T281"/>
  <c r="U25"/>
  <c r="U152"/>
  <c r="U281"/>
  <c r="V25"/>
  <c r="V152"/>
  <c r="V281"/>
  <c r="W25"/>
  <c r="W152"/>
  <c r="W281"/>
  <c r="AF28" i="1"/>
  <c r="X25" i="5"/>
  <c r="V25" i="3"/>
  <c r="X56" i="5"/>
  <c r="X87"/>
  <c r="AK99" i="9"/>
  <c r="AL99"/>
  <c r="AO99"/>
  <c r="X119" i="5"/>
  <c r="X152"/>
  <c r="X281"/>
  <c r="AF29" i="1"/>
  <c r="AF30"/>
  <c r="AF31"/>
  <c r="AF32"/>
  <c r="AC56" i="5"/>
  <c r="AC87"/>
  <c r="AC152"/>
  <c r="AC281"/>
  <c r="B26"/>
  <c r="K26" i="3"/>
  <c r="A58"/>
  <c r="A57" i="5"/>
  <c r="B57"/>
  <c r="B88"/>
  <c r="B40" i="9"/>
  <c r="C40"/>
  <c r="F40"/>
  <c r="B120" i="5"/>
  <c r="B153"/>
  <c r="A282"/>
  <c r="B282"/>
  <c r="C26"/>
  <c r="L26" i="3"/>
  <c r="C57" i="5"/>
  <c r="C88"/>
  <c r="I40" i="9"/>
  <c r="D26" i="5"/>
  <c r="M58" i="3"/>
  <c r="M26"/>
  <c r="D57" i="5"/>
  <c r="D88"/>
  <c r="AG12" i="1"/>
  <c r="H26" i="5"/>
  <c r="J26" i="3"/>
  <c r="H57" i="5"/>
  <c r="H88"/>
  <c r="AG24" i="1"/>
  <c r="T26" i="5"/>
  <c r="Z26" i="3"/>
  <c r="T57" i="5"/>
  <c r="T88"/>
  <c r="H40" i="9"/>
  <c r="J40"/>
  <c r="M40"/>
  <c r="C120" i="5"/>
  <c r="C153"/>
  <c r="C282"/>
  <c r="O40" i="9"/>
  <c r="Q40"/>
  <c r="T40"/>
  <c r="D120" i="5"/>
  <c r="D153"/>
  <c r="D282"/>
  <c r="AG9" i="1"/>
  <c r="E26" i="5"/>
  <c r="N26" i="3"/>
  <c r="O26"/>
  <c r="E57" i="5"/>
  <c r="E88"/>
  <c r="W40" i="9"/>
  <c r="X40"/>
  <c r="AA40"/>
  <c r="E120" i="5"/>
  <c r="E153"/>
  <c r="E282"/>
  <c r="AG10" i="1"/>
  <c r="C26" i="3"/>
  <c r="AC40" i="9"/>
  <c r="AE40"/>
  <c r="AF40"/>
  <c r="AH40"/>
  <c r="AG11" i="1"/>
  <c r="E26" i="3"/>
  <c r="F26"/>
  <c r="AJ40" i="9"/>
  <c r="AL40"/>
  <c r="AM40"/>
  <c r="AO40"/>
  <c r="A70"/>
  <c r="C70"/>
  <c r="F70"/>
  <c r="H120" i="5"/>
  <c r="H153"/>
  <c r="H282"/>
  <c r="AG13" i="1"/>
  <c r="I26" i="5"/>
  <c r="I153"/>
  <c r="I282"/>
  <c r="AG14" i="1"/>
  <c r="AG15"/>
  <c r="K26" i="5"/>
  <c r="Y26" i="3"/>
  <c r="K57" i="5"/>
  <c r="K88"/>
  <c r="W70" i="9"/>
  <c r="X70"/>
  <c r="AA70"/>
  <c r="K120" i="5"/>
  <c r="K153"/>
  <c r="K282"/>
  <c r="AG16" i="1"/>
  <c r="W26" i="3"/>
  <c r="AG17" i="1"/>
  <c r="AG18"/>
  <c r="N26" i="5"/>
  <c r="X26" i="3"/>
  <c r="N57" i="5"/>
  <c r="N88"/>
  <c r="B131" i="9"/>
  <c r="C131"/>
  <c r="F131"/>
  <c r="N120" i="5"/>
  <c r="N153"/>
  <c r="N282"/>
  <c r="AG19" i="1"/>
  <c r="AG20"/>
  <c r="Q26" i="3"/>
  <c r="AG9" i="8"/>
  <c r="BU31"/>
  <c r="DK31"/>
  <c r="BU32"/>
  <c r="DK32"/>
  <c r="BU33"/>
  <c r="DK33"/>
  <c r="BU34"/>
  <c r="DK34"/>
  <c r="BU35"/>
  <c r="DK35"/>
  <c r="BU36"/>
  <c r="DK36"/>
  <c r="BU37"/>
  <c r="DK37"/>
  <c r="BU38"/>
  <c r="DK38"/>
  <c r="BU39"/>
  <c r="DK39"/>
  <c r="BU40"/>
  <c r="DK40"/>
  <c r="BU41"/>
  <c r="DK41"/>
  <c r="BU42"/>
  <c r="DK42"/>
  <c r="BU43"/>
  <c r="DK43"/>
  <c r="BU44"/>
  <c r="DK44"/>
  <c r="BU45"/>
  <c r="DK45"/>
  <c r="BU46"/>
  <c r="DK46"/>
  <c r="BU47"/>
  <c r="DK47"/>
  <c r="BU48"/>
  <c r="DK48"/>
  <c r="BU49"/>
  <c r="DK49"/>
  <c r="BU50"/>
  <c r="DK50"/>
  <c r="BU51"/>
  <c r="DK51"/>
  <c r="BU52"/>
  <c r="DK52"/>
  <c r="BU53"/>
  <c r="DK53"/>
  <c r="BU54"/>
  <c r="DK54"/>
  <c r="BU55"/>
  <c r="DK55"/>
  <c r="BU56"/>
  <c r="DK56"/>
  <c r="BU57"/>
  <c r="DK57"/>
  <c r="BU58"/>
  <c r="DK58"/>
  <c r="BU59"/>
  <c r="DK59"/>
  <c r="BU60"/>
  <c r="DK60"/>
  <c r="BU61"/>
  <c r="DK61"/>
  <c r="BU62"/>
  <c r="DK62"/>
  <c r="BU63"/>
  <c r="DK63"/>
  <c r="BU64"/>
  <c r="DK64"/>
  <c r="BU65"/>
  <c r="DK65"/>
  <c r="BU66"/>
  <c r="DK66"/>
  <c r="BU67"/>
  <c r="DK67"/>
  <c r="DK68"/>
  <c r="DK69"/>
  <c r="DK70"/>
  <c r="AG12"/>
  <c r="AG11"/>
  <c r="BU71"/>
  <c r="BU70"/>
  <c r="BU72"/>
  <c r="A100" i="9"/>
  <c r="AG21" i="1"/>
  <c r="Q26" i="5"/>
  <c r="Q57"/>
  <c r="Q88"/>
  <c r="I100" i="9"/>
  <c r="J100"/>
  <c r="M100"/>
  <c r="Q120" i="5"/>
  <c r="Q153"/>
  <c r="Q282"/>
  <c r="AG22" i="1"/>
  <c r="R26" i="5"/>
  <c r="R57"/>
  <c r="R88"/>
  <c r="R120"/>
  <c r="R153"/>
  <c r="R282"/>
  <c r="AG23" i="1"/>
  <c r="S26" i="5"/>
  <c r="S57"/>
  <c r="S88"/>
  <c r="W100" i="9"/>
  <c r="X100"/>
  <c r="AA100"/>
  <c r="S120" i="5"/>
  <c r="S153"/>
  <c r="S282"/>
  <c r="AC100" i="9"/>
  <c r="AE100"/>
  <c r="AH100"/>
  <c r="T120" i="5"/>
  <c r="T153"/>
  <c r="T282"/>
  <c r="U26"/>
  <c r="U153"/>
  <c r="U282"/>
  <c r="V26"/>
  <c r="V153"/>
  <c r="V282"/>
  <c r="W26"/>
  <c r="W153"/>
  <c r="W282"/>
  <c r="AG28" i="1"/>
  <c r="X26" i="5"/>
  <c r="V26" i="3"/>
  <c r="X57" i="5"/>
  <c r="X88"/>
  <c r="AK100" i="9"/>
  <c r="AL100"/>
  <c r="AO100"/>
  <c r="X120" i="5"/>
  <c r="X153"/>
  <c r="X282"/>
  <c r="AG29" i="1"/>
  <c r="AG30"/>
  <c r="AG31"/>
  <c r="AG32"/>
  <c r="AC57" i="5"/>
  <c r="AC88"/>
  <c r="AC153"/>
  <c r="AC282"/>
  <c r="B27"/>
  <c r="K27" i="3"/>
  <c r="A59"/>
  <c r="A58" i="5"/>
  <c r="B58"/>
  <c r="B89"/>
  <c r="B41" i="9"/>
  <c r="C41"/>
  <c r="F41"/>
  <c r="B121" i="5"/>
  <c r="B154"/>
  <c r="A283"/>
  <c r="B283"/>
  <c r="C27"/>
  <c r="L27" i="3"/>
  <c r="C58" i="5"/>
  <c r="C89"/>
  <c r="I41" i="9"/>
  <c r="D27" i="5"/>
  <c r="M59" i="3"/>
  <c r="M27"/>
  <c r="D58" i="5"/>
  <c r="D89"/>
  <c r="AH12" i="1"/>
  <c r="H27" i="5"/>
  <c r="J27" i="3"/>
  <c r="H58" i="5"/>
  <c r="H89"/>
  <c r="AH24" i="1"/>
  <c r="T27" i="5"/>
  <c r="Z27" i="3"/>
  <c r="T58" i="5"/>
  <c r="T89"/>
  <c r="H41" i="9"/>
  <c r="J41"/>
  <c r="M41"/>
  <c r="C121" i="5"/>
  <c r="C154"/>
  <c r="C283"/>
  <c r="O41" i="9"/>
  <c r="Q41"/>
  <c r="T41"/>
  <c r="D121" i="5"/>
  <c r="D154"/>
  <c r="D283"/>
  <c r="AH9" i="1"/>
  <c r="E27" i="5"/>
  <c r="N27" i="3"/>
  <c r="O27"/>
  <c r="E58" i="5"/>
  <c r="E89"/>
  <c r="W41" i="9"/>
  <c r="X41"/>
  <c r="AA41"/>
  <c r="E121" i="5"/>
  <c r="E154"/>
  <c r="E283"/>
  <c r="AH10" i="1"/>
  <c r="C27" i="3"/>
  <c r="AC41" i="9"/>
  <c r="AE41"/>
  <c r="AF41"/>
  <c r="AH41"/>
  <c r="AH11" i="1"/>
  <c r="E27" i="3"/>
  <c r="F27"/>
  <c r="AJ41" i="9"/>
  <c r="AL41"/>
  <c r="AM41"/>
  <c r="AO41"/>
  <c r="A71"/>
  <c r="C71"/>
  <c r="F71"/>
  <c r="H121" i="5"/>
  <c r="H154"/>
  <c r="H283"/>
  <c r="AH13" i="1"/>
  <c r="I27" i="5"/>
  <c r="I154"/>
  <c r="I283"/>
  <c r="AH14" i="1"/>
  <c r="AH15"/>
  <c r="K27" i="5"/>
  <c r="Y27" i="3"/>
  <c r="K58" i="5"/>
  <c r="K89"/>
  <c r="W71" i="9"/>
  <c r="X71"/>
  <c r="AA71"/>
  <c r="K121" i="5"/>
  <c r="K154"/>
  <c r="K283"/>
  <c r="AH16" i="1"/>
  <c r="W27" i="3"/>
  <c r="AH17" i="1"/>
  <c r="AH18"/>
  <c r="N27" i="5"/>
  <c r="X27" i="3"/>
  <c r="N58" i="5"/>
  <c r="N89"/>
  <c r="B132" i="9"/>
  <c r="C132"/>
  <c r="F132"/>
  <c r="N121" i="5"/>
  <c r="N154"/>
  <c r="N283"/>
  <c r="AH19" i="1"/>
  <c r="AH20"/>
  <c r="Q27" i="3"/>
  <c r="AH9" i="8"/>
  <c r="BV31"/>
  <c r="DL31"/>
  <c r="BV32"/>
  <c r="DL32"/>
  <c r="BV33"/>
  <c r="DL33"/>
  <c r="BV34"/>
  <c r="DL34"/>
  <c r="BV35"/>
  <c r="DL35"/>
  <c r="BV36"/>
  <c r="DL36"/>
  <c r="BV37"/>
  <c r="DL37"/>
  <c r="BV38"/>
  <c r="DL38"/>
  <c r="BV39"/>
  <c r="DL39"/>
  <c r="BV40"/>
  <c r="DL40"/>
  <c r="BV41"/>
  <c r="DL41"/>
  <c r="BV42"/>
  <c r="DL42"/>
  <c r="BV43"/>
  <c r="DL43"/>
  <c r="BV44"/>
  <c r="DL44"/>
  <c r="BV45"/>
  <c r="DL45"/>
  <c r="BV46"/>
  <c r="DL46"/>
  <c r="BV47"/>
  <c r="DL47"/>
  <c r="BV48"/>
  <c r="DL48"/>
  <c r="BV49"/>
  <c r="DL49"/>
  <c r="BV50"/>
  <c r="DL50"/>
  <c r="BV51"/>
  <c r="DL51"/>
  <c r="BV52"/>
  <c r="DL52"/>
  <c r="BV53"/>
  <c r="DL53"/>
  <c r="BV54"/>
  <c r="DL54"/>
  <c r="BV55"/>
  <c r="DL55"/>
  <c r="BV56"/>
  <c r="DL56"/>
  <c r="BV57"/>
  <c r="DL57"/>
  <c r="BV58"/>
  <c r="DL58"/>
  <c r="BV59"/>
  <c r="DL59"/>
  <c r="BV60"/>
  <c r="DL60"/>
  <c r="BV61"/>
  <c r="DL61"/>
  <c r="BV62"/>
  <c r="DL62"/>
  <c r="BV63"/>
  <c r="DL63"/>
  <c r="BV64"/>
  <c r="DL64"/>
  <c r="BV65"/>
  <c r="DL65"/>
  <c r="BV66"/>
  <c r="DL66"/>
  <c r="BV67"/>
  <c r="DL67"/>
  <c r="DL68"/>
  <c r="DL69"/>
  <c r="DL70"/>
  <c r="AH12"/>
  <c r="AH11"/>
  <c r="BV71"/>
  <c r="BV70"/>
  <c r="BV72"/>
  <c r="A101" i="9"/>
  <c r="AH21" i="1"/>
  <c r="Q27" i="5"/>
  <c r="Q58"/>
  <c r="Q89"/>
  <c r="I101" i="9"/>
  <c r="J101"/>
  <c r="M101"/>
  <c r="Q121" i="5"/>
  <c r="Q154"/>
  <c r="Q283"/>
  <c r="AH22" i="1"/>
  <c r="R27" i="5"/>
  <c r="R58"/>
  <c r="R89"/>
  <c r="R121"/>
  <c r="R154"/>
  <c r="R283"/>
  <c r="AH23" i="1"/>
  <c r="S27" i="5"/>
  <c r="S58"/>
  <c r="S89"/>
  <c r="W101" i="9"/>
  <c r="X101"/>
  <c r="AA101"/>
  <c r="S121" i="5"/>
  <c r="S154"/>
  <c r="S283"/>
  <c r="AC101" i="9"/>
  <c r="AE101"/>
  <c r="AH101"/>
  <c r="T121" i="5"/>
  <c r="T154"/>
  <c r="T283"/>
  <c r="U27"/>
  <c r="U154"/>
  <c r="U283"/>
  <c r="V27"/>
  <c r="V154"/>
  <c r="V283"/>
  <c r="W27"/>
  <c r="W154"/>
  <c r="W283"/>
  <c r="AH28" i="1"/>
  <c r="X27" i="5"/>
  <c r="V27" i="3"/>
  <c r="X58" i="5"/>
  <c r="X89"/>
  <c r="AK101" i="9"/>
  <c r="AL101"/>
  <c r="AO101"/>
  <c r="X121" i="5"/>
  <c r="X154"/>
  <c r="X283"/>
  <c r="AH29" i="1"/>
  <c r="AH30"/>
  <c r="AH31"/>
  <c r="AH32"/>
  <c r="AC58" i="5"/>
  <c r="AC89"/>
  <c r="AC154"/>
  <c r="AC283"/>
  <c r="B28"/>
  <c r="K28" i="3"/>
  <c r="A60"/>
  <c r="A59" i="5"/>
  <c r="B59"/>
  <c r="B90"/>
  <c r="B42" i="9"/>
  <c r="C42"/>
  <c r="F42"/>
  <c r="B122" i="5"/>
  <c r="B155"/>
  <c r="A284"/>
  <c r="B284"/>
  <c r="C28"/>
  <c r="L28" i="3"/>
  <c r="C59" i="5"/>
  <c r="C90"/>
  <c r="I42" i="9"/>
  <c r="D28" i="5"/>
  <c r="M60" i="3"/>
  <c r="M28"/>
  <c r="D59" i="5"/>
  <c r="D90"/>
  <c r="AI12" i="1"/>
  <c r="H28" i="5"/>
  <c r="J28" i="3"/>
  <c r="H59" i="5"/>
  <c r="H90"/>
  <c r="AI24" i="1"/>
  <c r="T28" i="5"/>
  <c r="Z28" i="3"/>
  <c r="T59" i="5"/>
  <c r="T90"/>
  <c r="H42" i="9"/>
  <c r="J42"/>
  <c r="M42"/>
  <c r="C122" i="5"/>
  <c r="C155"/>
  <c r="C284"/>
  <c r="O42" i="9"/>
  <c r="Q42"/>
  <c r="T42"/>
  <c r="D122" i="5"/>
  <c r="D155"/>
  <c r="D284"/>
  <c r="AI9" i="1"/>
  <c r="E28" i="5"/>
  <c r="N28" i="3"/>
  <c r="O28"/>
  <c r="E59" i="5"/>
  <c r="E90"/>
  <c r="W42" i="9"/>
  <c r="X42"/>
  <c r="AA42"/>
  <c r="E122" i="5"/>
  <c r="E155"/>
  <c r="E284"/>
  <c r="AI10" i="1"/>
  <c r="C28" i="3"/>
  <c r="AC42" i="9"/>
  <c r="AE42"/>
  <c r="AF42"/>
  <c r="AH42"/>
  <c r="AI11" i="1"/>
  <c r="E28" i="3"/>
  <c r="F28"/>
  <c r="AJ42" i="9"/>
  <c r="AL42"/>
  <c r="AM42"/>
  <c r="AO42"/>
  <c r="A72"/>
  <c r="C72"/>
  <c r="F72"/>
  <c r="H122" i="5"/>
  <c r="H155"/>
  <c r="H284"/>
  <c r="AI13" i="1"/>
  <c r="I28" i="5"/>
  <c r="I155"/>
  <c r="I284"/>
  <c r="AI14" i="1"/>
  <c r="AI15"/>
  <c r="K28" i="5"/>
  <c r="Y28" i="3"/>
  <c r="K59" i="5"/>
  <c r="K90"/>
  <c r="W72" i="9"/>
  <c r="X72"/>
  <c r="AA72"/>
  <c r="K122" i="5"/>
  <c r="K155"/>
  <c r="K284"/>
  <c r="AI16" i="1"/>
  <c r="W28" i="3"/>
  <c r="AI17" i="1"/>
  <c r="AI18"/>
  <c r="N28" i="5"/>
  <c r="X28" i="3"/>
  <c r="N59" i="5"/>
  <c r="N90"/>
  <c r="B133" i="9"/>
  <c r="C133"/>
  <c r="F133"/>
  <c r="N122" i="5"/>
  <c r="N155"/>
  <c r="N284"/>
  <c r="AI19" i="1"/>
  <c r="AI20"/>
  <c r="Q28" i="3"/>
  <c r="AI9" i="8"/>
  <c r="BW31"/>
  <c r="DM31"/>
  <c r="BW32"/>
  <c r="DM32"/>
  <c r="BW33"/>
  <c r="DM33"/>
  <c r="BW34"/>
  <c r="DM34"/>
  <c r="BW35"/>
  <c r="DM35"/>
  <c r="BW36"/>
  <c r="DM36"/>
  <c r="BW37"/>
  <c r="DM37"/>
  <c r="BW38"/>
  <c r="DM38"/>
  <c r="BW39"/>
  <c r="DM39"/>
  <c r="BW40"/>
  <c r="DM40"/>
  <c r="BW41"/>
  <c r="DM41"/>
  <c r="BW42"/>
  <c r="DM42"/>
  <c r="BW43"/>
  <c r="DM43"/>
  <c r="BW44"/>
  <c r="DM44"/>
  <c r="BW45"/>
  <c r="DM45"/>
  <c r="BW46"/>
  <c r="DM46"/>
  <c r="BW47"/>
  <c r="DM47"/>
  <c r="BW48"/>
  <c r="DM48"/>
  <c r="BW49"/>
  <c r="DM49"/>
  <c r="BW50"/>
  <c r="DM50"/>
  <c r="BW51"/>
  <c r="DM51"/>
  <c r="BW52"/>
  <c r="DM52"/>
  <c r="BW53"/>
  <c r="DM53"/>
  <c r="BW54"/>
  <c r="DM54"/>
  <c r="BW55"/>
  <c r="DM55"/>
  <c r="BW56"/>
  <c r="DM56"/>
  <c r="BW57"/>
  <c r="DM57"/>
  <c r="BW58"/>
  <c r="DM58"/>
  <c r="BW59"/>
  <c r="DM59"/>
  <c r="BW60"/>
  <c r="DM60"/>
  <c r="BW61"/>
  <c r="DM61"/>
  <c r="BW62"/>
  <c r="DM62"/>
  <c r="BW63"/>
  <c r="DM63"/>
  <c r="BW64"/>
  <c r="DM64"/>
  <c r="BW65"/>
  <c r="DM65"/>
  <c r="BW66"/>
  <c r="DM66"/>
  <c r="BW67"/>
  <c r="DM67"/>
  <c r="DM68"/>
  <c r="DM69"/>
  <c r="DM70"/>
  <c r="AI12"/>
  <c r="AI11"/>
  <c r="BW71"/>
  <c r="BW70"/>
  <c r="BW72"/>
  <c r="A102" i="9"/>
  <c r="AI21" i="1"/>
  <c r="Q28" i="5"/>
  <c r="Q59"/>
  <c r="Q90"/>
  <c r="I102" i="9"/>
  <c r="J102"/>
  <c r="M102"/>
  <c r="Q122" i="5"/>
  <c r="Q155"/>
  <c r="Q284"/>
  <c r="AI22" i="1"/>
  <c r="R28" i="5"/>
  <c r="R59"/>
  <c r="R90"/>
  <c r="R122"/>
  <c r="R155"/>
  <c r="R284"/>
  <c r="AI23" i="1"/>
  <c r="S28" i="5"/>
  <c r="S59"/>
  <c r="S90"/>
  <c r="W102" i="9"/>
  <c r="X102"/>
  <c r="AA102"/>
  <c r="S122" i="5"/>
  <c r="S155"/>
  <c r="S284"/>
  <c r="AC102" i="9"/>
  <c r="AE102"/>
  <c r="AH102"/>
  <c r="T122" i="5"/>
  <c r="T155"/>
  <c r="T284"/>
  <c r="U28"/>
  <c r="U155"/>
  <c r="U284"/>
  <c r="V28"/>
  <c r="V155"/>
  <c r="V284"/>
  <c r="W28"/>
  <c r="W155"/>
  <c r="W284"/>
  <c r="AI28" i="1"/>
  <c r="X28" i="5"/>
  <c r="V28" i="3"/>
  <c r="X59" i="5"/>
  <c r="X90"/>
  <c r="AK102" i="9"/>
  <c r="AL102"/>
  <c r="AO102"/>
  <c r="X122" i="5"/>
  <c r="X155"/>
  <c r="X284"/>
  <c r="AI29" i="1"/>
  <c r="AI30"/>
  <c r="AI31"/>
  <c r="AI32"/>
  <c r="AC59" i="5"/>
  <c r="AC90"/>
  <c r="AC155"/>
  <c r="AC284"/>
  <c r="B29"/>
  <c r="K29" i="3"/>
  <c r="A61"/>
  <c r="A60" i="5"/>
  <c r="B60"/>
  <c r="B91"/>
  <c r="B43" i="9"/>
  <c r="C43"/>
  <c r="F43"/>
  <c r="B123" i="5"/>
  <c r="B156"/>
  <c r="A285"/>
  <c r="B285"/>
  <c r="C29"/>
  <c r="L29" i="3"/>
  <c r="C60" i="5"/>
  <c r="C91"/>
  <c r="I43" i="9"/>
  <c r="D29" i="5"/>
  <c r="M61" i="3"/>
  <c r="M29"/>
  <c r="D60" i="5"/>
  <c r="D91"/>
  <c r="AJ12" i="1"/>
  <c r="H29" i="5"/>
  <c r="J29" i="3"/>
  <c r="H60" i="5"/>
  <c r="H91"/>
  <c r="AJ24" i="1"/>
  <c r="T29" i="5"/>
  <c r="Z29" i="3"/>
  <c r="T60" i="5"/>
  <c r="T91"/>
  <c r="H43" i="9"/>
  <c r="J43"/>
  <c r="M43"/>
  <c r="C123" i="5"/>
  <c r="C156"/>
  <c r="C285"/>
  <c r="O43" i="9"/>
  <c r="Q43"/>
  <c r="T43"/>
  <c r="D123" i="5"/>
  <c r="D156"/>
  <c r="D285"/>
  <c r="AJ9" i="1"/>
  <c r="E29" i="5"/>
  <c r="N29" i="3"/>
  <c r="O29"/>
  <c r="E60" i="5"/>
  <c r="E91"/>
  <c r="W43" i="9"/>
  <c r="X43"/>
  <c r="AA43"/>
  <c r="E123" i="5"/>
  <c r="E156"/>
  <c r="E285"/>
  <c r="AJ10" i="1"/>
  <c r="C29" i="3"/>
  <c r="AC43" i="9"/>
  <c r="AE43"/>
  <c r="AF43"/>
  <c r="AH43"/>
  <c r="AJ11" i="1"/>
  <c r="E29" i="3"/>
  <c r="F29"/>
  <c r="AJ43" i="9"/>
  <c r="AL43"/>
  <c r="AM43"/>
  <c r="AO43"/>
  <c r="A73"/>
  <c r="C73"/>
  <c r="F73"/>
  <c r="H123" i="5"/>
  <c r="H156"/>
  <c r="H285"/>
  <c r="AJ13" i="1"/>
  <c r="AJ14"/>
  <c r="AJ15"/>
  <c r="Y29" i="3"/>
  <c r="AJ16" i="1"/>
  <c r="W29" i="3"/>
  <c r="AJ17" i="1"/>
  <c r="AJ18"/>
  <c r="X29" i="3"/>
  <c r="AJ19" i="1"/>
  <c r="AJ20"/>
  <c r="Q29" i="3"/>
  <c r="AJ9" i="8"/>
  <c r="BX31"/>
  <c r="DN31"/>
  <c r="BX32"/>
  <c r="DN32"/>
  <c r="BX33"/>
  <c r="DN33"/>
  <c r="BX34"/>
  <c r="DN34"/>
  <c r="BX35"/>
  <c r="DN35"/>
  <c r="BX36"/>
  <c r="DN36"/>
  <c r="BX37"/>
  <c r="DN37"/>
  <c r="BX38"/>
  <c r="DN38"/>
  <c r="BX39"/>
  <c r="DN39"/>
  <c r="BX40"/>
  <c r="DN40"/>
  <c r="BX41"/>
  <c r="DN41"/>
  <c r="BX42"/>
  <c r="DN42"/>
  <c r="BX43"/>
  <c r="DN43"/>
  <c r="BX44"/>
  <c r="DN44"/>
  <c r="BX45"/>
  <c r="DN45"/>
  <c r="BX46"/>
  <c r="DN46"/>
  <c r="BX47"/>
  <c r="DN47"/>
  <c r="BX48"/>
  <c r="DN48"/>
  <c r="BX49"/>
  <c r="DN49"/>
  <c r="BX50"/>
  <c r="DN50"/>
  <c r="BX51"/>
  <c r="DN51"/>
  <c r="BX52"/>
  <c r="DN52"/>
  <c r="BX53"/>
  <c r="DN53"/>
  <c r="BX54"/>
  <c r="DN54"/>
  <c r="BX55"/>
  <c r="DN55"/>
  <c r="BX56"/>
  <c r="DN56"/>
  <c r="BX57"/>
  <c r="DN57"/>
  <c r="BX58"/>
  <c r="DN58"/>
  <c r="BX59"/>
  <c r="DN59"/>
  <c r="BX60"/>
  <c r="DN60"/>
  <c r="BX61"/>
  <c r="DN61"/>
  <c r="BX62"/>
  <c r="DN62"/>
  <c r="BX63"/>
  <c r="DN63"/>
  <c r="BX64"/>
  <c r="DN64"/>
  <c r="BX65"/>
  <c r="DN65"/>
  <c r="BX66"/>
  <c r="DN66"/>
  <c r="BX67"/>
  <c r="DN67"/>
  <c r="DN68"/>
  <c r="DN69"/>
  <c r="DN70"/>
  <c r="AJ12"/>
  <c r="AJ11"/>
  <c r="BX71"/>
  <c r="BX70"/>
  <c r="BX72"/>
  <c r="A103" i="9"/>
  <c r="AJ21" i="1"/>
  <c r="Q29" i="5"/>
  <c r="Q60"/>
  <c r="Q91"/>
  <c r="I103" i="9"/>
  <c r="J103"/>
  <c r="M103"/>
  <c r="Q123" i="5"/>
  <c r="Q156"/>
  <c r="Q285"/>
  <c r="AJ22" i="1"/>
  <c r="R29" i="5"/>
  <c r="R60"/>
  <c r="R91"/>
  <c r="R123"/>
  <c r="R156"/>
  <c r="R285"/>
  <c r="AJ23" i="1"/>
  <c r="S29" i="5"/>
  <c r="S60"/>
  <c r="S91"/>
  <c r="W103" i="9"/>
  <c r="X103"/>
  <c r="AA103"/>
  <c r="S123" i="5"/>
  <c r="S156"/>
  <c r="S285"/>
  <c r="AC103" i="9"/>
  <c r="AE103"/>
  <c r="AH103"/>
  <c r="T123" i="5"/>
  <c r="T156"/>
  <c r="T285"/>
  <c r="U29"/>
  <c r="U156"/>
  <c r="U285"/>
  <c r="V29"/>
  <c r="V156"/>
  <c r="V285"/>
  <c r="W29"/>
  <c r="W156"/>
  <c r="W285"/>
  <c r="AJ28" i="1"/>
  <c r="X29" i="5"/>
  <c r="V29" i="3"/>
  <c r="X60" i="5"/>
  <c r="X91"/>
  <c r="AK103" i="9"/>
  <c r="AL103"/>
  <c r="AO103"/>
  <c r="X123" i="5"/>
  <c r="X156"/>
  <c r="X285"/>
  <c r="AJ29" i="1"/>
  <c r="AJ30"/>
  <c r="AJ31"/>
  <c r="AJ32"/>
  <c r="AC60" i="5"/>
  <c r="AC91"/>
  <c r="AC156"/>
  <c r="AC285"/>
  <c r="K298"/>
  <c r="L298"/>
  <c r="K299"/>
  <c r="L299"/>
  <c r="K300"/>
  <c r="L300"/>
  <c r="K301"/>
  <c r="L301"/>
  <c r="K302"/>
  <c r="L302"/>
  <c r="K303"/>
  <c r="L303"/>
  <c r="K304"/>
  <c r="L304"/>
  <c r="K305"/>
  <c r="L305"/>
  <c r="K306"/>
  <c r="L306"/>
  <c r="K307"/>
  <c r="L307"/>
  <c r="K308"/>
  <c r="L308"/>
  <c r="K309"/>
  <c r="L309"/>
  <c r="K310"/>
  <c r="L310"/>
  <c r="K311"/>
  <c r="L311"/>
  <c r="K312"/>
  <c r="L312"/>
  <c r="K313"/>
  <c r="L313"/>
  <c r="AH154"/>
  <c r="K314"/>
  <c r="L314"/>
  <c r="AH155"/>
  <c r="K315"/>
  <c r="L315"/>
  <c r="AH156"/>
  <c r="K316"/>
  <c r="L316"/>
  <c r="L317"/>
  <c r="B170"/>
  <c r="C170"/>
  <c r="D170"/>
  <c r="E170"/>
  <c r="F170"/>
  <c r="H170"/>
  <c r="I170"/>
  <c r="K170"/>
  <c r="L170"/>
  <c r="M170"/>
  <c r="N170"/>
  <c r="Q170"/>
  <c r="R170"/>
  <c r="S170"/>
  <c r="T170"/>
  <c r="U170"/>
  <c r="V170"/>
  <c r="W170"/>
  <c r="X170"/>
  <c r="Y170"/>
  <c r="Z170"/>
  <c r="AA170"/>
  <c r="AB170"/>
  <c r="AC168"/>
  <c r="AC169"/>
  <c r="AC170"/>
  <c r="B171"/>
  <c r="C171"/>
  <c r="D171"/>
  <c r="E171"/>
  <c r="H171"/>
  <c r="I171"/>
  <c r="K171"/>
  <c r="N171"/>
  <c r="Q171"/>
  <c r="R171"/>
  <c r="S171"/>
  <c r="T171"/>
  <c r="U171"/>
  <c r="V171"/>
  <c r="W171"/>
  <c r="X171"/>
  <c r="AC171"/>
  <c r="B172"/>
  <c r="C172"/>
  <c r="D172"/>
  <c r="E172"/>
  <c r="H172"/>
  <c r="I172"/>
  <c r="K172"/>
  <c r="N172"/>
  <c r="Q172"/>
  <c r="R172"/>
  <c r="S172"/>
  <c r="T172"/>
  <c r="U172"/>
  <c r="V172"/>
  <c r="W172"/>
  <c r="X172"/>
  <c r="AC172"/>
  <c r="B173"/>
  <c r="C173"/>
  <c r="D173"/>
  <c r="E173"/>
  <c r="H173"/>
  <c r="I173"/>
  <c r="K173"/>
  <c r="N173"/>
  <c r="Q173"/>
  <c r="R173"/>
  <c r="S173"/>
  <c r="T173"/>
  <c r="U173"/>
  <c r="V173"/>
  <c r="W173"/>
  <c r="X173"/>
  <c r="AC173"/>
  <c r="B174"/>
  <c r="C174"/>
  <c r="D174"/>
  <c r="E174"/>
  <c r="H174"/>
  <c r="I174"/>
  <c r="K174"/>
  <c r="N174"/>
  <c r="Q174"/>
  <c r="R174"/>
  <c r="S174"/>
  <c r="T174"/>
  <c r="U174"/>
  <c r="V174"/>
  <c r="W174"/>
  <c r="X174"/>
  <c r="AC174"/>
  <c r="B175"/>
  <c r="C175"/>
  <c r="D175"/>
  <c r="E175"/>
  <c r="H175"/>
  <c r="I175"/>
  <c r="K175"/>
  <c r="N175"/>
  <c r="Q175"/>
  <c r="R175"/>
  <c r="S175"/>
  <c r="T175"/>
  <c r="U175"/>
  <c r="V175"/>
  <c r="W175"/>
  <c r="X175"/>
  <c r="AC175"/>
  <c r="B176"/>
  <c r="C176"/>
  <c r="D176"/>
  <c r="E176"/>
  <c r="H176"/>
  <c r="I176"/>
  <c r="K176"/>
  <c r="N176"/>
  <c r="Q176"/>
  <c r="R176"/>
  <c r="S176"/>
  <c r="T176"/>
  <c r="U176"/>
  <c r="V176"/>
  <c r="W176"/>
  <c r="X176"/>
  <c r="AC176"/>
  <c r="B177"/>
  <c r="C177"/>
  <c r="D177"/>
  <c r="E177"/>
  <c r="H177"/>
  <c r="I177"/>
  <c r="K177"/>
  <c r="N177"/>
  <c r="Q177"/>
  <c r="R177"/>
  <c r="S177"/>
  <c r="T177"/>
  <c r="U177"/>
  <c r="V177"/>
  <c r="W177"/>
  <c r="X177"/>
  <c r="AC177"/>
  <c r="B178"/>
  <c r="C178"/>
  <c r="D178"/>
  <c r="E178"/>
  <c r="H178"/>
  <c r="I178"/>
  <c r="K178"/>
  <c r="N178"/>
  <c r="Q178"/>
  <c r="R178"/>
  <c r="S178"/>
  <c r="T178"/>
  <c r="U178"/>
  <c r="V178"/>
  <c r="W178"/>
  <c r="X178"/>
  <c r="AC178"/>
  <c r="B179"/>
  <c r="C179"/>
  <c r="D179"/>
  <c r="E179"/>
  <c r="H179"/>
  <c r="I179"/>
  <c r="K179"/>
  <c r="N179"/>
  <c r="Q179"/>
  <c r="R179"/>
  <c r="S179"/>
  <c r="T179"/>
  <c r="U179"/>
  <c r="V179"/>
  <c r="W179"/>
  <c r="X179"/>
  <c r="AC179"/>
  <c r="B180"/>
  <c r="C180"/>
  <c r="D180"/>
  <c r="E180"/>
  <c r="H180"/>
  <c r="I180"/>
  <c r="K180"/>
  <c r="N180"/>
  <c r="Q180"/>
  <c r="R180"/>
  <c r="S180"/>
  <c r="T180"/>
  <c r="U180"/>
  <c r="V180"/>
  <c r="W180"/>
  <c r="X180"/>
  <c r="AC180"/>
  <c r="B181"/>
  <c r="C181"/>
  <c r="D181"/>
  <c r="E181"/>
  <c r="H181"/>
  <c r="I181"/>
  <c r="K181"/>
  <c r="N181"/>
  <c r="Q181"/>
  <c r="R181"/>
  <c r="S181"/>
  <c r="T181"/>
  <c r="U181"/>
  <c r="V181"/>
  <c r="W181"/>
  <c r="X181"/>
  <c r="AC181"/>
  <c r="B182"/>
  <c r="C182"/>
  <c r="D182"/>
  <c r="E182"/>
  <c r="H182"/>
  <c r="I182"/>
  <c r="K182"/>
  <c r="N182"/>
  <c r="Q182"/>
  <c r="R182"/>
  <c r="S182"/>
  <c r="T182"/>
  <c r="U182"/>
  <c r="V182"/>
  <c r="W182"/>
  <c r="X182"/>
  <c r="AC182"/>
  <c r="B183"/>
  <c r="C183"/>
  <c r="D183"/>
  <c r="E183"/>
  <c r="H183"/>
  <c r="I183"/>
  <c r="K183"/>
  <c r="N183"/>
  <c r="Q183"/>
  <c r="R183"/>
  <c r="S183"/>
  <c r="T183"/>
  <c r="U183"/>
  <c r="V183"/>
  <c r="W183"/>
  <c r="X183"/>
  <c r="AC183"/>
  <c r="B184"/>
  <c r="C184"/>
  <c r="D184"/>
  <c r="E184"/>
  <c r="H184"/>
  <c r="I184"/>
  <c r="K184"/>
  <c r="N184"/>
  <c r="Q184"/>
  <c r="R184"/>
  <c r="S184"/>
  <c r="T184"/>
  <c r="U184"/>
  <c r="V184"/>
  <c r="W184"/>
  <c r="X184"/>
  <c r="AC184"/>
  <c r="B185"/>
  <c r="C185"/>
  <c r="D185"/>
  <c r="E185"/>
  <c r="H185"/>
  <c r="I185"/>
  <c r="K185"/>
  <c r="N185"/>
  <c r="Q185"/>
  <c r="R185"/>
  <c r="S185"/>
  <c r="T185"/>
  <c r="U185"/>
  <c r="V185"/>
  <c r="W185"/>
  <c r="X185"/>
  <c r="AC185"/>
  <c r="B186"/>
  <c r="C186"/>
  <c r="D186"/>
  <c r="E186"/>
  <c r="H186"/>
  <c r="I186"/>
  <c r="K186"/>
  <c r="N186"/>
  <c r="Q186"/>
  <c r="R186"/>
  <c r="S186"/>
  <c r="T186"/>
  <c r="U186"/>
  <c r="V186"/>
  <c r="W186"/>
  <c r="X186"/>
  <c r="AC186"/>
  <c r="B187"/>
  <c r="C187"/>
  <c r="D187"/>
  <c r="E187"/>
  <c r="H187"/>
  <c r="I187"/>
  <c r="K187"/>
  <c r="N187"/>
  <c r="Q187"/>
  <c r="R187"/>
  <c r="S187"/>
  <c r="T187"/>
  <c r="U187"/>
  <c r="V187"/>
  <c r="W187"/>
  <c r="X187"/>
  <c r="AC187"/>
  <c r="B188"/>
  <c r="C188"/>
  <c r="D188"/>
  <c r="E188"/>
  <c r="H188"/>
  <c r="Q188"/>
  <c r="R188"/>
  <c r="S188"/>
  <c r="T188"/>
  <c r="U188"/>
  <c r="V188"/>
  <c r="W188"/>
  <c r="X188"/>
  <c r="AC188"/>
  <c r="Q20" i="1"/>
  <c r="Q19"/>
  <c r="G18"/>
  <c r="P18"/>
  <c r="Q18"/>
  <c r="Q17"/>
  <c r="Q16"/>
  <c r="Q15"/>
  <c r="Q14"/>
  <c r="Q13"/>
  <c r="Q12"/>
  <c r="Q7"/>
  <c r="Q8"/>
  <c r="P10"/>
  <c r="Q10"/>
  <c r="P11"/>
  <c r="Q11"/>
  <c r="P6"/>
  <c r="Q33"/>
  <c r="Q30"/>
  <c r="Q31"/>
  <c r="Q32"/>
  <c r="Q29"/>
  <c r="Q28"/>
  <c r="Q24"/>
  <c r="Q6"/>
  <c r="K10" i="3"/>
  <c r="A41" i="5"/>
  <c r="C10"/>
  <c r="L10" i="3"/>
  <c r="C41" i="5"/>
  <c r="C72"/>
  <c r="I24" i="9"/>
  <c r="D10" i="5"/>
  <c r="M42" i="3"/>
  <c r="M10"/>
  <c r="D41" i="5"/>
  <c r="D72"/>
  <c r="H10"/>
  <c r="J10" i="3"/>
  <c r="H41" i="5"/>
  <c r="H72"/>
  <c r="T10"/>
  <c r="Z10" i="3"/>
  <c r="T41" i="5"/>
  <c r="T72"/>
  <c r="J24" i="9"/>
  <c r="M24"/>
  <c r="C104" i="5"/>
  <c r="C169"/>
  <c r="Q24" i="9"/>
  <c r="T24"/>
  <c r="D104" i="5"/>
  <c r="D169"/>
  <c r="E10"/>
  <c r="N10" i="3"/>
  <c r="O10"/>
  <c r="E41" i="5"/>
  <c r="E72"/>
  <c r="X24" i="9"/>
  <c r="E104" i="5"/>
  <c r="E169"/>
  <c r="F10"/>
  <c r="C10" i="3"/>
  <c r="F41" i="5"/>
  <c r="F72"/>
  <c r="AE24" i="9"/>
  <c r="AF24"/>
  <c r="AH24"/>
  <c r="F104" i="5"/>
  <c r="F169"/>
  <c r="E10" i="3"/>
  <c r="F10"/>
  <c r="AL24" i="9"/>
  <c r="AM24"/>
  <c r="AO24"/>
  <c r="C54"/>
  <c r="F54"/>
  <c r="H104" i="5"/>
  <c r="H169"/>
  <c r="I10"/>
  <c r="AA10" i="3"/>
  <c r="I41" i="5"/>
  <c r="I72"/>
  <c r="I104"/>
  <c r="I169"/>
  <c r="J10"/>
  <c r="J41"/>
  <c r="J72"/>
  <c r="J104"/>
  <c r="J169"/>
  <c r="K10"/>
  <c r="Y10" i="3"/>
  <c r="K41" i="5"/>
  <c r="K72"/>
  <c r="W54" i="9"/>
  <c r="X54"/>
  <c r="AA54"/>
  <c r="K104" i="5"/>
  <c r="K169"/>
  <c r="L10"/>
  <c r="W10" i="3"/>
  <c r="L41" i="5"/>
  <c r="L72"/>
  <c r="AE54" i="9"/>
  <c r="AH54"/>
  <c r="L104" i="5"/>
  <c r="L169"/>
  <c r="M10"/>
  <c r="M41"/>
  <c r="M72"/>
  <c r="M104"/>
  <c r="M169"/>
  <c r="X10" i="3"/>
  <c r="O10" i="5"/>
  <c r="O41"/>
  <c r="O72"/>
  <c r="I115" i="9"/>
  <c r="J115"/>
  <c r="M115"/>
  <c r="O104" i="5"/>
  <c r="O169"/>
  <c r="P10"/>
  <c r="P169"/>
  <c r="Q41"/>
  <c r="Q72"/>
  <c r="Q104"/>
  <c r="Q169"/>
  <c r="R41"/>
  <c r="R72"/>
  <c r="R104"/>
  <c r="R169"/>
  <c r="S41"/>
  <c r="S72"/>
  <c r="S104"/>
  <c r="S169"/>
  <c r="AE84" i="9"/>
  <c r="AH84"/>
  <c r="T104" i="5"/>
  <c r="T169"/>
  <c r="U10"/>
  <c r="U169"/>
  <c r="V10"/>
  <c r="V169"/>
  <c r="W10"/>
  <c r="W169"/>
  <c r="X10"/>
  <c r="V10" i="3"/>
  <c r="X41" i="5"/>
  <c r="X72"/>
  <c r="AK84" i="9"/>
  <c r="AL84"/>
  <c r="AO84"/>
  <c r="X104" i="5"/>
  <c r="X169"/>
  <c r="Y10"/>
  <c r="AE10"/>
  <c r="Y41"/>
  <c r="Y72"/>
  <c r="Y169"/>
  <c r="Z10"/>
  <c r="Z41"/>
  <c r="Z72"/>
  <c r="Z169"/>
  <c r="AA10"/>
  <c r="AA41"/>
  <c r="AA72"/>
  <c r="AA169"/>
  <c r="AB10"/>
  <c r="AB41"/>
  <c r="AB72"/>
  <c r="AB169"/>
  <c r="C137"/>
  <c r="C266"/>
  <c r="D137"/>
  <c r="D266"/>
  <c r="E137"/>
  <c r="E266"/>
  <c r="F137"/>
  <c r="F266"/>
  <c r="H137"/>
  <c r="H266"/>
  <c r="I137"/>
  <c r="I266"/>
  <c r="J137"/>
  <c r="J266"/>
  <c r="K137"/>
  <c r="K266"/>
  <c r="L137"/>
  <c r="L266"/>
  <c r="M137"/>
  <c r="M266"/>
  <c r="O137"/>
  <c r="O266"/>
  <c r="P137"/>
  <c r="P266"/>
  <c r="Q137"/>
  <c r="Q266"/>
  <c r="R137"/>
  <c r="R266"/>
  <c r="S137"/>
  <c r="S266"/>
  <c r="T137"/>
  <c r="T266"/>
  <c r="U137"/>
  <c r="U266"/>
  <c r="V137"/>
  <c r="V266"/>
  <c r="W137"/>
  <c r="W266"/>
  <c r="X137"/>
  <c r="X266"/>
  <c r="Y137"/>
  <c r="Y266"/>
  <c r="Z137"/>
  <c r="Z266"/>
  <c r="AA137"/>
  <c r="AA266"/>
  <c r="AB137"/>
  <c r="AB266"/>
  <c r="AC72"/>
  <c r="AC137"/>
  <c r="AC266"/>
  <c r="Y5"/>
  <c r="Y36"/>
  <c r="Y6"/>
  <c r="Y37"/>
  <c r="Y7"/>
  <c r="Y38"/>
  <c r="Y8"/>
  <c r="Y39"/>
  <c r="Y9"/>
  <c r="Y40"/>
  <c r="AE11"/>
  <c r="Y42"/>
  <c r="AE12"/>
  <c r="AE13"/>
  <c r="AE14"/>
  <c r="AE15"/>
  <c r="AE16"/>
  <c r="AE17"/>
  <c r="AE18"/>
  <c r="AE19"/>
  <c r="AE20"/>
  <c r="AE21"/>
  <c r="AE22"/>
  <c r="AE23"/>
  <c r="AE24"/>
  <c r="AE25"/>
  <c r="AE26"/>
  <c r="AE27"/>
  <c r="AE28"/>
  <c r="AE29"/>
  <c r="Y35"/>
  <c r="T4"/>
  <c r="T5"/>
  <c r="Z5" i="3"/>
  <c r="T36" i="5"/>
  <c r="T67"/>
  <c r="M37" i="3"/>
  <c r="M5"/>
  <c r="D5" i="5"/>
  <c r="D36"/>
  <c r="D67"/>
  <c r="C5"/>
  <c r="L5" i="3"/>
  <c r="C36" i="5"/>
  <c r="C67"/>
  <c r="H5"/>
  <c r="J5" i="3"/>
  <c r="H36" i="5"/>
  <c r="H67"/>
  <c r="Q67"/>
  <c r="R67"/>
  <c r="S67"/>
  <c r="AC67"/>
  <c r="AI67"/>
  <c r="T6"/>
  <c r="Z6" i="3"/>
  <c r="T37" i="5"/>
  <c r="T68"/>
  <c r="M38" i="3"/>
  <c r="M6"/>
  <c r="D6" i="5"/>
  <c r="D37"/>
  <c r="D68"/>
  <c r="C6"/>
  <c r="L6" i="3"/>
  <c r="C37" i="5"/>
  <c r="C68"/>
  <c r="H6"/>
  <c r="J6" i="3"/>
  <c r="H37" i="5"/>
  <c r="H68"/>
  <c r="Q68"/>
  <c r="R68"/>
  <c r="S68"/>
  <c r="AC68"/>
  <c r="AI68"/>
  <c r="T7"/>
  <c r="Z7" i="3"/>
  <c r="T38" i="5"/>
  <c r="T69"/>
  <c r="M39" i="3"/>
  <c r="M7"/>
  <c r="D7" i="5"/>
  <c r="D38"/>
  <c r="D69"/>
  <c r="C7"/>
  <c r="L7" i="3"/>
  <c r="C38" i="5"/>
  <c r="C69"/>
  <c r="H7"/>
  <c r="J7" i="3"/>
  <c r="H38" i="5"/>
  <c r="H69"/>
  <c r="Q69"/>
  <c r="R69"/>
  <c r="S69"/>
  <c r="AC69"/>
  <c r="AI69"/>
  <c r="T8"/>
  <c r="Z8" i="3"/>
  <c r="T39" i="5"/>
  <c r="T70"/>
  <c r="M40" i="3"/>
  <c r="M8"/>
  <c r="D8" i="5"/>
  <c r="D39"/>
  <c r="D70"/>
  <c r="C8"/>
  <c r="L8" i="3"/>
  <c r="C39" i="5"/>
  <c r="C70"/>
  <c r="H8"/>
  <c r="J8" i="3"/>
  <c r="H39" i="5"/>
  <c r="H70"/>
  <c r="Q70"/>
  <c r="R70"/>
  <c r="S70"/>
  <c r="AC70"/>
  <c r="AI70"/>
  <c r="Q40"/>
  <c r="Q71"/>
  <c r="R40"/>
  <c r="R71"/>
  <c r="S40"/>
  <c r="S71"/>
  <c r="AC71"/>
  <c r="AI71"/>
  <c r="AI72"/>
  <c r="AI73"/>
  <c r="AI74"/>
  <c r="AI75"/>
  <c r="AI76"/>
  <c r="AI77"/>
  <c r="AI78"/>
  <c r="AI79"/>
  <c r="AI80"/>
  <c r="AI81"/>
  <c r="AI82"/>
  <c r="AI83"/>
  <c r="AI84"/>
  <c r="AI85"/>
  <c r="AI86"/>
  <c r="AI87"/>
  <c r="AI88"/>
  <c r="AI89"/>
  <c r="AI90"/>
  <c r="AI91"/>
  <c r="Z4" i="3"/>
  <c r="T35" i="5"/>
  <c r="T66"/>
  <c r="M36" i="3"/>
  <c r="M4"/>
  <c r="D35" i="5"/>
  <c r="D66"/>
  <c r="L4" i="3"/>
  <c r="C35" i="5"/>
  <c r="C66"/>
  <c r="J4" i="3"/>
  <c r="H35" i="5"/>
  <c r="H66"/>
  <c r="Q66"/>
  <c r="R66"/>
  <c r="S66"/>
  <c r="AC66"/>
  <c r="AI66"/>
  <c r="Y67"/>
  <c r="G4"/>
  <c r="G5"/>
  <c r="E5" i="3"/>
  <c r="G36" i="5"/>
  <c r="G67"/>
  <c r="B5"/>
  <c r="K5" i="3"/>
  <c r="B36" i="5"/>
  <c r="B67"/>
  <c r="E5"/>
  <c r="N5" i="3"/>
  <c r="O5"/>
  <c r="E36" i="5"/>
  <c r="E67"/>
  <c r="F4"/>
  <c r="F5"/>
  <c r="C5" i="3"/>
  <c r="F36" i="5"/>
  <c r="F67"/>
  <c r="I5"/>
  <c r="AA5" i="3"/>
  <c r="I36" i="5"/>
  <c r="I67"/>
  <c r="J5"/>
  <c r="F5" i="3"/>
  <c r="J36" i="5"/>
  <c r="J67"/>
  <c r="K5"/>
  <c r="Y5" i="3"/>
  <c r="K36" i="5"/>
  <c r="K67"/>
  <c r="L5"/>
  <c r="W5" i="3"/>
  <c r="L36" i="5"/>
  <c r="L67"/>
  <c r="M5"/>
  <c r="M36"/>
  <c r="M67"/>
  <c r="N5"/>
  <c r="X5" i="3"/>
  <c r="N36" i="5"/>
  <c r="N67"/>
  <c r="O5"/>
  <c r="O36"/>
  <c r="O67"/>
  <c r="P5"/>
  <c r="Q5" i="3"/>
  <c r="P36" i="5"/>
  <c r="P67"/>
  <c r="U67"/>
  <c r="V67"/>
  <c r="W67"/>
  <c r="X5"/>
  <c r="V5" i="3"/>
  <c r="X36" i="5"/>
  <c r="X67"/>
  <c r="Z5"/>
  <c r="Z36"/>
  <c r="Z67"/>
  <c r="AA5"/>
  <c r="AA36"/>
  <c r="AA67"/>
  <c r="AB5"/>
  <c r="AB36"/>
  <c r="AB67"/>
  <c r="AD67"/>
  <c r="AH67"/>
  <c r="Y68"/>
  <c r="G6"/>
  <c r="E6" i="3"/>
  <c r="G37" i="5"/>
  <c r="G68"/>
  <c r="B6"/>
  <c r="K6" i="3"/>
  <c r="B37" i="5"/>
  <c r="B68"/>
  <c r="E6"/>
  <c r="N6" i="3"/>
  <c r="O6"/>
  <c r="E37" i="5"/>
  <c r="E68"/>
  <c r="F6"/>
  <c r="C6" i="3"/>
  <c r="F37" i="5"/>
  <c r="F68"/>
  <c r="I6"/>
  <c r="AA6" i="3"/>
  <c r="I37" i="5"/>
  <c r="I68"/>
  <c r="J6"/>
  <c r="F6" i="3"/>
  <c r="J37" i="5"/>
  <c r="J68"/>
  <c r="K6"/>
  <c r="Y6" i="3"/>
  <c r="K37" i="5"/>
  <c r="K68"/>
  <c r="L6"/>
  <c r="W6" i="3"/>
  <c r="L37" i="5"/>
  <c r="L68"/>
  <c r="M6"/>
  <c r="M37"/>
  <c r="M68"/>
  <c r="N6"/>
  <c r="X6" i="3"/>
  <c r="N37" i="5"/>
  <c r="N68"/>
  <c r="O6"/>
  <c r="O37"/>
  <c r="O68"/>
  <c r="P6"/>
  <c r="Q6" i="3"/>
  <c r="P37" i="5"/>
  <c r="P68"/>
  <c r="U68"/>
  <c r="V68"/>
  <c r="W68"/>
  <c r="X6"/>
  <c r="V6" i="3"/>
  <c r="X37" i="5"/>
  <c r="X68"/>
  <c r="Z6"/>
  <c r="Z37"/>
  <c r="Z68"/>
  <c r="AA6"/>
  <c r="AA37"/>
  <c r="AA68"/>
  <c r="AB6"/>
  <c r="AB37"/>
  <c r="AB68"/>
  <c r="AD68"/>
  <c r="AH68"/>
  <c r="Y69"/>
  <c r="G7"/>
  <c r="E7" i="3"/>
  <c r="G38" i="5"/>
  <c r="G69"/>
  <c r="B7"/>
  <c r="K7" i="3"/>
  <c r="B38" i="5"/>
  <c r="B69"/>
  <c r="E7"/>
  <c r="N7" i="3"/>
  <c r="O7"/>
  <c r="E38" i="5"/>
  <c r="E69"/>
  <c r="F7"/>
  <c r="C7" i="3"/>
  <c r="F38" i="5"/>
  <c r="F69"/>
  <c r="I7"/>
  <c r="AA7" i="3"/>
  <c r="I38" i="5"/>
  <c r="I69"/>
  <c r="J7"/>
  <c r="F7" i="3"/>
  <c r="J38" i="5"/>
  <c r="J69"/>
  <c r="K7"/>
  <c r="Y7" i="3"/>
  <c r="K38" i="5"/>
  <c r="K69"/>
  <c r="L7"/>
  <c r="W7" i="3"/>
  <c r="L38" i="5"/>
  <c r="L69"/>
  <c r="M7"/>
  <c r="M38"/>
  <c r="M69"/>
  <c r="N7"/>
  <c r="X7" i="3"/>
  <c r="N38" i="5"/>
  <c r="N69"/>
  <c r="O7"/>
  <c r="O38"/>
  <c r="O69"/>
  <c r="P7"/>
  <c r="Q7" i="3"/>
  <c r="P38" i="5"/>
  <c r="P69"/>
  <c r="U69"/>
  <c r="V69"/>
  <c r="W69"/>
  <c r="X7"/>
  <c r="V7" i="3"/>
  <c r="X38" i="5"/>
  <c r="X69"/>
  <c r="Z7"/>
  <c r="Z38"/>
  <c r="Z69"/>
  <c r="AA7"/>
  <c r="AA38"/>
  <c r="AA69"/>
  <c r="AB7"/>
  <c r="AB38"/>
  <c r="AB69"/>
  <c r="AD69"/>
  <c r="AH69"/>
  <c r="Y70"/>
  <c r="G8"/>
  <c r="E8" i="3"/>
  <c r="G39" i="5"/>
  <c r="G70"/>
  <c r="B8"/>
  <c r="K8" i="3"/>
  <c r="B39" i="5"/>
  <c r="B70"/>
  <c r="E8"/>
  <c r="N8" i="3"/>
  <c r="O8"/>
  <c r="E39" i="5"/>
  <c r="E70"/>
  <c r="F8"/>
  <c r="C8" i="3"/>
  <c r="F39" i="5"/>
  <c r="F70"/>
  <c r="I8"/>
  <c r="AA8" i="3"/>
  <c r="I39" i="5"/>
  <c r="I70"/>
  <c r="J8"/>
  <c r="F8" i="3"/>
  <c r="J39" i="5"/>
  <c r="J70"/>
  <c r="K8"/>
  <c r="Y8" i="3"/>
  <c r="K39" i="5"/>
  <c r="K70"/>
  <c r="L8"/>
  <c r="W8" i="3"/>
  <c r="L39" i="5"/>
  <c r="L70"/>
  <c r="M8"/>
  <c r="M39"/>
  <c r="M70"/>
  <c r="N8"/>
  <c r="X8" i="3"/>
  <c r="N39" i="5"/>
  <c r="N70"/>
  <c r="O8"/>
  <c r="O39"/>
  <c r="O70"/>
  <c r="P8"/>
  <c r="Q8" i="3"/>
  <c r="P39" i="5"/>
  <c r="P70"/>
  <c r="U70"/>
  <c r="V70"/>
  <c r="W70"/>
  <c r="X8"/>
  <c r="V8" i="3"/>
  <c r="X39" i="5"/>
  <c r="X70"/>
  <c r="Z8"/>
  <c r="Z39"/>
  <c r="Z70"/>
  <c r="AA8"/>
  <c r="AA39"/>
  <c r="AA70"/>
  <c r="AB8"/>
  <c r="AB39"/>
  <c r="AB70"/>
  <c r="AD70"/>
  <c r="AH70"/>
  <c r="K9" i="3"/>
  <c r="E9" i="5"/>
  <c r="N9" i="3"/>
  <c r="O9"/>
  <c r="E40" i="5"/>
  <c r="E71"/>
  <c r="F9"/>
  <c r="C9" i="3"/>
  <c r="F40" i="5"/>
  <c r="F71"/>
  <c r="E9" i="3"/>
  <c r="I9" i="5"/>
  <c r="AA9" i="3"/>
  <c r="I40" i="5"/>
  <c r="I71"/>
  <c r="J9"/>
  <c r="F9" i="3"/>
  <c r="J40" i="5"/>
  <c r="J71"/>
  <c r="K9"/>
  <c r="Y9" i="3"/>
  <c r="K40" i="5"/>
  <c r="K71"/>
  <c r="L9"/>
  <c r="W9" i="3"/>
  <c r="L40" i="5"/>
  <c r="L71"/>
  <c r="M9"/>
  <c r="M40"/>
  <c r="M71"/>
  <c r="X9" i="3"/>
  <c r="O9" i="5"/>
  <c r="O40"/>
  <c r="O71"/>
  <c r="P9"/>
  <c r="Q9" i="3"/>
  <c r="P40" i="5"/>
  <c r="P71"/>
  <c r="X9"/>
  <c r="V9" i="3"/>
  <c r="X40" i="5"/>
  <c r="X71"/>
  <c r="Y71"/>
  <c r="Z9"/>
  <c r="Z40"/>
  <c r="Z71"/>
  <c r="AA9"/>
  <c r="AA40"/>
  <c r="AA71"/>
  <c r="AB9"/>
  <c r="AB40"/>
  <c r="AB71"/>
  <c r="U71"/>
  <c r="V71"/>
  <c r="W71"/>
  <c r="Q10" i="3"/>
  <c r="P41" i="5"/>
  <c r="P72"/>
  <c r="U72"/>
  <c r="V72"/>
  <c r="W72"/>
  <c r="AA11" i="3"/>
  <c r="I42" i="5"/>
  <c r="I73"/>
  <c r="Q11" i="3"/>
  <c r="Y73" i="5"/>
  <c r="Z42"/>
  <c r="Z73"/>
  <c r="AA42"/>
  <c r="AA73"/>
  <c r="AB42"/>
  <c r="AB73"/>
  <c r="U73"/>
  <c r="V73"/>
  <c r="W73"/>
  <c r="AA12" i="3"/>
  <c r="I43" i="5"/>
  <c r="I74"/>
  <c r="Q12" i="3"/>
  <c r="U74" i="5"/>
  <c r="V74"/>
  <c r="W74"/>
  <c r="AA13" i="3"/>
  <c r="I44" i="5"/>
  <c r="I75"/>
  <c r="Q13" i="3"/>
  <c r="U75" i="5"/>
  <c r="V75"/>
  <c r="W75"/>
  <c r="AA14" i="3"/>
  <c r="I45" i="5"/>
  <c r="I76"/>
  <c r="U76"/>
  <c r="V76"/>
  <c r="W76"/>
  <c r="AA15" i="3"/>
  <c r="I46" i="5"/>
  <c r="I77"/>
  <c r="U77"/>
  <c r="V77"/>
  <c r="W77"/>
  <c r="AA16" i="3"/>
  <c r="I47" i="5"/>
  <c r="I78"/>
  <c r="U78"/>
  <c r="V78"/>
  <c r="W78"/>
  <c r="AA17" i="3"/>
  <c r="I48" i="5"/>
  <c r="I79"/>
  <c r="U79"/>
  <c r="V79"/>
  <c r="W79"/>
  <c r="AA18" i="3"/>
  <c r="I49" i="5"/>
  <c r="I80"/>
  <c r="U80"/>
  <c r="V80"/>
  <c r="W80"/>
  <c r="AA19" i="3"/>
  <c r="I50" i="5"/>
  <c r="I81"/>
  <c r="U81"/>
  <c r="V81"/>
  <c r="W81"/>
  <c r="AA20" i="3"/>
  <c r="I51" i="5"/>
  <c r="I82"/>
  <c r="U82"/>
  <c r="V82"/>
  <c r="W82"/>
  <c r="AA21" i="3"/>
  <c r="I52" i="5"/>
  <c r="I83"/>
  <c r="U83"/>
  <c r="V83"/>
  <c r="W83"/>
  <c r="AA22" i="3"/>
  <c r="I53" i="5"/>
  <c r="I84"/>
  <c r="U84"/>
  <c r="V84"/>
  <c r="W84"/>
  <c r="AA23" i="3"/>
  <c r="I54" i="5"/>
  <c r="I85"/>
  <c r="U85"/>
  <c r="V85"/>
  <c r="W85"/>
  <c r="AA24" i="3"/>
  <c r="I55" i="5"/>
  <c r="I86"/>
  <c r="U86"/>
  <c r="V86"/>
  <c r="W86"/>
  <c r="AA25" i="3"/>
  <c r="I56" i="5"/>
  <c r="I87"/>
  <c r="U87"/>
  <c r="V87"/>
  <c r="W87"/>
  <c r="AA26" i="3"/>
  <c r="I57" i="5"/>
  <c r="I88"/>
  <c r="U88"/>
  <c r="V88"/>
  <c r="W88"/>
  <c r="AA27" i="3"/>
  <c r="I58" i="5"/>
  <c r="I89"/>
  <c r="U89"/>
  <c r="V89"/>
  <c r="W89"/>
  <c r="AA28" i="3"/>
  <c r="I59" i="5"/>
  <c r="I90"/>
  <c r="U90"/>
  <c r="V90"/>
  <c r="W90"/>
  <c r="AA29" i="3"/>
  <c r="U91" i="5"/>
  <c r="V91"/>
  <c r="W91"/>
  <c r="Y66"/>
  <c r="E4" i="3"/>
  <c r="G35" i="5"/>
  <c r="G66"/>
  <c r="K4" i="3"/>
  <c r="B35" i="5"/>
  <c r="B66"/>
  <c r="N4" i="3"/>
  <c r="O4"/>
  <c r="E35" i="5"/>
  <c r="E66"/>
  <c r="C4" i="3"/>
  <c r="F35" i="5"/>
  <c r="F66"/>
  <c r="AA4" i="3"/>
  <c r="I35" i="5"/>
  <c r="I66"/>
  <c r="F4" i="3"/>
  <c r="J35" i="5"/>
  <c r="J66"/>
  <c r="Y4" i="3"/>
  <c r="K35" i="5"/>
  <c r="K66"/>
  <c r="W4" i="3"/>
  <c r="L35" i="5"/>
  <c r="L66"/>
  <c r="M35"/>
  <c r="M66"/>
  <c r="X4" i="3"/>
  <c r="N35" i="5"/>
  <c r="N66"/>
  <c r="O35"/>
  <c r="O66"/>
  <c r="Q4" i="3"/>
  <c r="P35" i="5"/>
  <c r="P66"/>
  <c r="U66"/>
  <c r="V66"/>
  <c r="W66"/>
  <c r="V4" i="3"/>
  <c r="X35" i="5"/>
  <c r="X66"/>
  <c r="Z35"/>
  <c r="Z66"/>
  <c r="AA35"/>
  <c r="AA66"/>
  <c r="AB35"/>
  <c r="AB66"/>
  <c r="AD66"/>
  <c r="AH66"/>
  <c r="G10" i="3"/>
  <c r="H10"/>
  <c r="I10"/>
  <c r="D297" i="5"/>
  <c r="G11" i="3"/>
  <c r="H11"/>
  <c r="I11"/>
  <c r="D298" i="5"/>
  <c r="G12" i="3"/>
  <c r="H12"/>
  <c r="I12"/>
  <c r="D299" i="5"/>
  <c r="G13" i="3"/>
  <c r="H13"/>
  <c r="I13"/>
  <c r="D300" i="5"/>
  <c r="G14" i="3"/>
  <c r="H14"/>
  <c r="I14"/>
  <c r="D301" i="5"/>
  <c r="G15" i="3"/>
  <c r="H15"/>
  <c r="I15"/>
  <c r="D302" i="5"/>
  <c r="G16" i="3"/>
  <c r="H16"/>
  <c r="I16"/>
  <c r="D303" i="5"/>
  <c r="G17" i="3"/>
  <c r="H17"/>
  <c r="I17"/>
  <c r="D304" i="5"/>
  <c r="G18" i="3"/>
  <c r="H18"/>
  <c r="I18"/>
  <c r="D305" i="5"/>
  <c r="G19" i="3"/>
  <c r="H19"/>
  <c r="I19"/>
  <c r="D306" i="5"/>
  <c r="G20" i="3"/>
  <c r="H20"/>
  <c r="I20"/>
  <c r="D307" i="5"/>
  <c r="G21" i="3"/>
  <c r="H21"/>
  <c r="I21"/>
  <c r="D308" i="5"/>
  <c r="G22" i="3"/>
  <c r="H22"/>
  <c r="I22"/>
  <c r="D309" i="5"/>
  <c r="G23" i="3"/>
  <c r="H23"/>
  <c r="I23"/>
  <c r="D310" i="5"/>
  <c r="G24" i="3"/>
  <c r="H24"/>
  <c r="I24"/>
  <c r="D311" i="5"/>
  <c r="G25" i="3"/>
  <c r="H25"/>
  <c r="I25"/>
  <c r="D312" i="5"/>
  <c r="G26" i="3"/>
  <c r="H26"/>
  <c r="I26"/>
  <c r="D313" i="5"/>
  <c r="G27" i="3"/>
  <c r="H27"/>
  <c r="I27"/>
  <c r="D314" i="5"/>
  <c r="G28" i="3"/>
  <c r="H28"/>
  <c r="I28"/>
  <c r="D315" i="5"/>
  <c r="G29" i="3"/>
  <c r="H29"/>
  <c r="I29"/>
  <c r="D316" i="5"/>
  <c r="G48" i="1"/>
  <c r="G49"/>
  <c r="G52"/>
  <c r="E48"/>
  <c r="E49"/>
  <c r="E52"/>
  <c r="B10" i="3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K297" i="5"/>
  <c r="L297"/>
  <c r="G42" i="1"/>
  <c r="E42"/>
  <c r="K292" i="5"/>
  <c r="K293"/>
  <c r="K294"/>
  <c r="K295"/>
  <c r="K296"/>
  <c r="K291"/>
  <c r="L296"/>
  <c r="L295"/>
  <c r="L294"/>
  <c r="L293"/>
  <c r="L292"/>
  <c r="L291"/>
  <c r="G43" i="1"/>
  <c r="E43"/>
  <c r="P103" i="9"/>
  <c r="Q103"/>
  <c r="T103"/>
  <c r="I105" i="5"/>
  <c r="I106"/>
  <c r="I107"/>
  <c r="I108"/>
  <c r="P88" i="9"/>
  <c r="Q88"/>
  <c r="T88"/>
  <c r="I109" i="5"/>
  <c r="P89" i="9"/>
  <c r="Q89"/>
  <c r="T89"/>
  <c r="I110" i="5"/>
  <c r="P90" i="9"/>
  <c r="Q90"/>
  <c r="T90"/>
  <c r="I111" i="5"/>
  <c r="P91" i="9"/>
  <c r="Q91"/>
  <c r="T91"/>
  <c r="I112" i="5"/>
  <c r="P92" i="9"/>
  <c r="Q92"/>
  <c r="T92"/>
  <c r="I113" i="5"/>
  <c r="P93" i="9"/>
  <c r="Q93"/>
  <c r="T93"/>
  <c r="I114" i="5"/>
  <c r="P94" i="9"/>
  <c r="Q94"/>
  <c r="T94"/>
  <c r="I115" i="5"/>
  <c r="P95" i="9"/>
  <c r="Q95"/>
  <c r="T95"/>
  <c r="I116" i="5"/>
  <c r="P96" i="9"/>
  <c r="Q96"/>
  <c r="T96"/>
  <c r="I117" i="5"/>
  <c r="P97" i="9"/>
  <c r="Q97"/>
  <c r="T97"/>
  <c r="I118" i="5"/>
  <c r="P98" i="9"/>
  <c r="Q98"/>
  <c r="T98"/>
  <c r="I119" i="5"/>
  <c r="P99" i="9"/>
  <c r="Q99"/>
  <c r="T99"/>
  <c r="I120" i="5"/>
  <c r="P100" i="9"/>
  <c r="Q100"/>
  <c r="T100"/>
  <c r="I121" i="5"/>
  <c r="P101" i="9"/>
  <c r="Q101"/>
  <c r="T101"/>
  <c r="I122" i="5"/>
  <c r="P102" i="9"/>
  <c r="Q102"/>
  <c r="T102"/>
  <c r="J19"/>
  <c r="I19"/>
  <c r="M19"/>
  <c r="C99" i="5"/>
  <c r="C164"/>
  <c r="Q19" i="9"/>
  <c r="T19"/>
  <c r="D99" i="5"/>
  <c r="D164"/>
  <c r="C49" i="9"/>
  <c r="F49"/>
  <c r="H99" i="5"/>
  <c r="H164"/>
  <c r="AE79" i="9"/>
  <c r="AH79"/>
  <c r="T99" i="5"/>
  <c r="T164"/>
  <c r="U9"/>
  <c r="U4"/>
  <c r="U5"/>
  <c r="U164"/>
  <c r="V9"/>
  <c r="V4"/>
  <c r="V5"/>
  <c r="V164"/>
  <c r="W9"/>
  <c r="W4"/>
  <c r="W5"/>
  <c r="W164"/>
  <c r="B19" i="9"/>
  <c r="F19"/>
  <c r="B99" i="5"/>
  <c r="B164"/>
  <c r="E164"/>
  <c r="AE19" i="9"/>
  <c r="AF19"/>
  <c r="AH19"/>
  <c r="F99" i="5"/>
  <c r="F164"/>
  <c r="AL19" i="9"/>
  <c r="AM19"/>
  <c r="AO19"/>
  <c r="G99" i="5"/>
  <c r="G164"/>
  <c r="I164"/>
  <c r="J164"/>
  <c r="K164"/>
  <c r="L164"/>
  <c r="M164"/>
  <c r="B110" i="9"/>
  <c r="C110"/>
  <c r="F110"/>
  <c r="N99" i="5"/>
  <c r="N164"/>
  <c r="O164"/>
  <c r="P164"/>
  <c r="Q99"/>
  <c r="Q164"/>
  <c r="R99"/>
  <c r="R164"/>
  <c r="S99"/>
  <c r="S164"/>
  <c r="X164"/>
  <c r="Y164"/>
  <c r="Z164"/>
  <c r="AA164"/>
  <c r="AB164"/>
  <c r="AD164"/>
  <c r="I292"/>
  <c r="J292"/>
  <c r="J20" i="9"/>
  <c r="I20"/>
  <c r="M20"/>
  <c r="C100" i="5"/>
  <c r="C165"/>
  <c r="Q20" i="9"/>
  <c r="T20"/>
  <c r="D100" i="5"/>
  <c r="D165"/>
  <c r="C50" i="9"/>
  <c r="F50"/>
  <c r="H100" i="5"/>
  <c r="H165"/>
  <c r="AE80" i="9"/>
  <c r="AH80"/>
  <c r="T100" i="5"/>
  <c r="T165"/>
  <c r="U6"/>
  <c r="U165"/>
  <c r="V6"/>
  <c r="V165"/>
  <c r="W6"/>
  <c r="W165"/>
  <c r="B20" i="9"/>
  <c r="F20"/>
  <c r="B100" i="5"/>
  <c r="B165"/>
  <c r="E165"/>
  <c r="AE20" i="9"/>
  <c r="AF20"/>
  <c r="AH20"/>
  <c r="F100" i="5"/>
  <c r="F165"/>
  <c r="AL20" i="9"/>
  <c r="AM20"/>
  <c r="AO20"/>
  <c r="G100" i="5"/>
  <c r="G165"/>
  <c r="I165"/>
  <c r="J165"/>
  <c r="K165"/>
  <c r="L165"/>
  <c r="M165"/>
  <c r="B111" i="9"/>
  <c r="C111"/>
  <c r="F111"/>
  <c r="N100" i="5"/>
  <c r="N165"/>
  <c r="O165"/>
  <c r="P165"/>
  <c r="Q100"/>
  <c r="Q165"/>
  <c r="R100"/>
  <c r="R165"/>
  <c r="S100"/>
  <c r="S165"/>
  <c r="X165"/>
  <c r="Y165"/>
  <c r="Z165"/>
  <c r="AA165"/>
  <c r="AB165"/>
  <c r="AD165"/>
  <c r="I293"/>
  <c r="J293"/>
  <c r="J21" i="9"/>
  <c r="I21"/>
  <c r="M21"/>
  <c r="C101" i="5"/>
  <c r="C166"/>
  <c r="Q21" i="9"/>
  <c r="T21"/>
  <c r="D101" i="5"/>
  <c r="D166"/>
  <c r="C51" i="9"/>
  <c r="F51"/>
  <c r="H101" i="5"/>
  <c r="H166"/>
  <c r="AE81" i="9"/>
  <c r="AH81"/>
  <c r="T101" i="5"/>
  <c r="T166"/>
  <c r="U7"/>
  <c r="U166"/>
  <c r="V7"/>
  <c r="V166"/>
  <c r="W7"/>
  <c r="W166"/>
  <c r="B21" i="9"/>
  <c r="F21"/>
  <c r="B101" i="5"/>
  <c r="B166"/>
  <c r="E166"/>
  <c r="AE21" i="9"/>
  <c r="AF21"/>
  <c r="AH21"/>
  <c r="F101" i="5"/>
  <c r="F166"/>
  <c r="AL21" i="9"/>
  <c r="AM21"/>
  <c r="AO21"/>
  <c r="G101" i="5"/>
  <c r="G166"/>
  <c r="I166"/>
  <c r="J166"/>
  <c r="K166"/>
  <c r="L166"/>
  <c r="M166"/>
  <c r="B112" i="9"/>
  <c r="C112"/>
  <c r="F112"/>
  <c r="N101" i="5"/>
  <c r="N166"/>
  <c r="O166"/>
  <c r="P166"/>
  <c r="Q101"/>
  <c r="Q166"/>
  <c r="R101"/>
  <c r="R166"/>
  <c r="S101"/>
  <c r="S166"/>
  <c r="X166"/>
  <c r="Y166"/>
  <c r="Z166"/>
  <c r="AA166"/>
  <c r="AB166"/>
  <c r="AD166"/>
  <c r="I294"/>
  <c r="J294"/>
  <c r="J22" i="9"/>
  <c r="I22"/>
  <c r="M22"/>
  <c r="C102" i="5"/>
  <c r="C167"/>
  <c r="Q22" i="9"/>
  <c r="T22"/>
  <c r="D102" i="5"/>
  <c r="D167"/>
  <c r="C52" i="9"/>
  <c r="F52"/>
  <c r="H102" i="5"/>
  <c r="H167"/>
  <c r="AE82" i="9"/>
  <c r="AH82"/>
  <c r="T102" i="5"/>
  <c r="T167"/>
  <c r="U8"/>
  <c r="U167"/>
  <c r="V8"/>
  <c r="V167"/>
  <c r="W8"/>
  <c r="W167"/>
  <c r="B22" i="9"/>
  <c r="F22"/>
  <c r="B102" i="5"/>
  <c r="B167"/>
  <c r="E167"/>
  <c r="AE22" i="9"/>
  <c r="AF22"/>
  <c r="AH22"/>
  <c r="F102" i="5"/>
  <c r="F167"/>
  <c r="AL22" i="9"/>
  <c r="AM22"/>
  <c r="AO22"/>
  <c r="G102" i="5"/>
  <c r="G167"/>
  <c r="I167"/>
  <c r="J167"/>
  <c r="K167"/>
  <c r="L167"/>
  <c r="M167"/>
  <c r="B113" i="9"/>
  <c r="C113"/>
  <c r="F113"/>
  <c r="N102" i="5"/>
  <c r="N167"/>
  <c r="O167"/>
  <c r="P167"/>
  <c r="Q102"/>
  <c r="Q167"/>
  <c r="R102"/>
  <c r="R167"/>
  <c r="S102"/>
  <c r="S167"/>
  <c r="X167"/>
  <c r="Y167"/>
  <c r="Z167"/>
  <c r="AA167"/>
  <c r="AB167"/>
  <c r="AD167"/>
  <c r="I295"/>
  <c r="J295"/>
  <c r="C103"/>
  <c r="C168"/>
  <c r="Q23" i="9"/>
  <c r="T23"/>
  <c r="D103" i="5"/>
  <c r="D168"/>
  <c r="X23" i="9"/>
  <c r="E103" i="5"/>
  <c r="E168"/>
  <c r="AE23" i="9"/>
  <c r="AF23"/>
  <c r="AH23"/>
  <c r="F103" i="5"/>
  <c r="F168"/>
  <c r="AL23" i="9"/>
  <c r="AM23"/>
  <c r="AO23"/>
  <c r="C53"/>
  <c r="F53"/>
  <c r="H103" i="5"/>
  <c r="H168"/>
  <c r="I103"/>
  <c r="I168"/>
  <c r="J103"/>
  <c r="J168"/>
  <c r="W53" i="9"/>
  <c r="X53"/>
  <c r="AA53"/>
  <c r="K103" i="5"/>
  <c r="K168"/>
  <c r="AE53" i="9"/>
  <c r="AH53"/>
  <c r="L103" i="5"/>
  <c r="L168"/>
  <c r="M103"/>
  <c r="M168"/>
  <c r="I114" i="9"/>
  <c r="J114"/>
  <c r="M114"/>
  <c r="O103" i="5"/>
  <c r="O168"/>
  <c r="P9" i="8"/>
  <c r="BD31"/>
  <c r="CT31"/>
  <c r="BD32"/>
  <c r="CT32"/>
  <c r="BD33"/>
  <c r="CT33"/>
  <c r="BD34"/>
  <c r="CT34"/>
  <c r="BD35"/>
  <c r="CT35"/>
  <c r="BD36"/>
  <c r="CT36"/>
  <c r="BD37"/>
  <c r="CT37"/>
  <c r="BD38"/>
  <c r="CT38"/>
  <c r="BD39"/>
  <c r="CT39"/>
  <c r="BD40"/>
  <c r="CT40"/>
  <c r="BD41"/>
  <c r="CT41"/>
  <c r="BD42"/>
  <c r="CT42"/>
  <c r="BD43"/>
  <c r="CT43"/>
  <c r="BD44"/>
  <c r="CT44"/>
  <c r="BD45"/>
  <c r="CT45"/>
  <c r="BD46"/>
  <c r="CT46"/>
  <c r="BD47"/>
  <c r="CT47"/>
  <c r="BD48"/>
  <c r="CT48"/>
  <c r="BD49"/>
  <c r="CT49"/>
  <c r="BD50"/>
  <c r="CT50"/>
  <c r="BD51"/>
  <c r="CT51"/>
  <c r="BD52"/>
  <c r="CT52"/>
  <c r="BD53"/>
  <c r="CT53"/>
  <c r="BD54"/>
  <c r="CT54"/>
  <c r="BD55"/>
  <c r="CT55"/>
  <c r="BD56"/>
  <c r="CT56"/>
  <c r="BD57"/>
  <c r="CT57"/>
  <c r="BD58"/>
  <c r="CT58"/>
  <c r="BD59"/>
  <c r="CT59"/>
  <c r="BD60"/>
  <c r="CT60"/>
  <c r="BD61"/>
  <c r="CT61"/>
  <c r="BD62"/>
  <c r="CT62"/>
  <c r="BD63"/>
  <c r="CT63"/>
  <c r="BD64"/>
  <c r="CT64"/>
  <c r="BD65"/>
  <c r="CT65"/>
  <c r="BD66"/>
  <c r="CT66"/>
  <c r="BD67"/>
  <c r="CT67"/>
  <c r="CT68"/>
  <c r="CT69"/>
  <c r="CT70"/>
  <c r="P12"/>
  <c r="P11"/>
  <c r="BD71"/>
  <c r="BD70"/>
  <c r="BD72"/>
  <c r="P103" i="5"/>
  <c r="P168"/>
  <c r="I83" i="9"/>
  <c r="J83"/>
  <c r="M83"/>
  <c r="Q103" i="5"/>
  <c r="Q168"/>
  <c r="P83" i="9"/>
  <c r="Q83"/>
  <c r="T83"/>
  <c r="R103" i="5"/>
  <c r="R168"/>
  <c r="W83" i="9"/>
  <c r="X83"/>
  <c r="AA83"/>
  <c r="S103" i="5"/>
  <c r="S168"/>
  <c r="AE83" i="9"/>
  <c r="AH83"/>
  <c r="T103" i="5"/>
  <c r="T168"/>
  <c r="U168"/>
  <c r="V168"/>
  <c r="W168"/>
  <c r="AK83" i="9"/>
  <c r="AL83"/>
  <c r="AO83"/>
  <c r="X103" i="5"/>
  <c r="X168"/>
  <c r="Y168"/>
  <c r="Z168"/>
  <c r="AA168"/>
  <c r="AB168"/>
  <c r="J18" i="9"/>
  <c r="I18"/>
  <c r="M18"/>
  <c r="C98" i="5"/>
  <c r="C163"/>
  <c r="Q18" i="9"/>
  <c r="T18"/>
  <c r="D98" i="5"/>
  <c r="D163"/>
  <c r="C48" i="9"/>
  <c r="F48"/>
  <c r="H98" i="5"/>
  <c r="H163"/>
  <c r="AE78" i="9"/>
  <c r="AH78"/>
  <c r="T98" i="5"/>
  <c r="T163"/>
  <c r="U163"/>
  <c r="V163"/>
  <c r="W163"/>
  <c r="B18" i="9"/>
  <c r="F18"/>
  <c r="B98" i="5"/>
  <c r="B163"/>
  <c r="E163"/>
  <c r="AE18" i="9"/>
  <c r="AF18"/>
  <c r="AH18"/>
  <c r="F98" i="5"/>
  <c r="F163"/>
  <c r="AL18" i="9"/>
  <c r="AM18"/>
  <c r="AO18"/>
  <c r="G98" i="5"/>
  <c r="G163"/>
  <c r="I163"/>
  <c r="J163"/>
  <c r="K163"/>
  <c r="L163"/>
  <c r="M163"/>
  <c r="B109" i="9"/>
  <c r="C109"/>
  <c r="F109"/>
  <c r="N98" i="5"/>
  <c r="N163"/>
  <c r="O163"/>
  <c r="P163"/>
  <c r="Q98"/>
  <c r="Q163"/>
  <c r="R98"/>
  <c r="R163"/>
  <c r="S98"/>
  <c r="S163"/>
  <c r="X163"/>
  <c r="Y163"/>
  <c r="Z163"/>
  <c r="AA163"/>
  <c r="AB163"/>
  <c r="AD163"/>
  <c r="I291"/>
  <c r="J291"/>
  <c r="X99"/>
  <c r="X100"/>
  <c r="X101"/>
  <c r="X102"/>
  <c r="X98"/>
  <c r="P99"/>
  <c r="P100"/>
  <c r="P101"/>
  <c r="P102"/>
  <c r="P104"/>
  <c r="P98"/>
  <c r="O99"/>
  <c r="O100"/>
  <c r="O101"/>
  <c r="O102"/>
  <c r="O98"/>
  <c r="M99"/>
  <c r="M100"/>
  <c r="M101"/>
  <c r="M102"/>
  <c r="M98"/>
  <c r="L99"/>
  <c r="L100"/>
  <c r="L101"/>
  <c r="L102"/>
  <c r="L98"/>
  <c r="K99"/>
  <c r="K100"/>
  <c r="K101"/>
  <c r="K102"/>
  <c r="K98"/>
  <c r="J99"/>
  <c r="J100"/>
  <c r="J101"/>
  <c r="J102"/>
  <c r="J98"/>
  <c r="I99"/>
  <c r="I100"/>
  <c r="I101"/>
  <c r="I102"/>
  <c r="I98"/>
  <c r="E99"/>
  <c r="E100"/>
  <c r="E101"/>
  <c r="E102"/>
  <c r="E98"/>
  <c r="BA23" i="9"/>
  <c r="BB23"/>
  <c r="BC23"/>
  <c r="B9"/>
  <c r="H49"/>
  <c r="H50"/>
  <c r="H51"/>
  <c r="H52"/>
  <c r="H53"/>
  <c r="H54"/>
  <c r="K54"/>
  <c r="H55"/>
  <c r="K55"/>
  <c r="H56"/>
  <c r="K56"/>
  <c r="H57"/>
  <c r="K57"/>
  <c r="H58"/>
  <c r="K58"/>
  <c r="H59"/>
  <c r="K59"/>
  <c r="H60"/>
  <c r="K60"/>
  <c r="H61"/>
  <c r="K61"/>
  <c r="H62"/>
  <c r="K62"/>
  <c r="H63"/>
  <c r="K63"/>
  <c r="H64"/>
  <c r="K64"/>
  <c r="H65"/>
  <c r="K65"/>
  <c r="H66"/>
  <c r="K66"/>
  <c r="H67"/>
  <c r="K67"/>
  <c r="H68"/>
  <c r="K68"/>
  <c r="H69"/>
  <c r="K69"/>
  <c r="H70"/>
  <c r="K70"/>
  <c r="H71"/>
  <c r="K71"/>
  <c r="H72"/>
  <c r="K72"/>
  <c r="H73"/>
  <c r="K73"/>
  <c r="K53"/>
  <c r="K52"/>
  <c r="K51"/>
  <c r="K50"/>
  <c r="K49"/>
  <c r="K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48"/>
  <c r="Q49"/>
  <c r="Q50"/>
  <c r="Q51"/>
  <c r="Q52"/>
  <c r="Q53"/>
  <c r="Q54"/>
  <c r="Q55"/>
  <c r="Q56"/>
  <c r="Q57"/>
  <c r="Q58"/>
  <c r="Q59"/>
  <c r="Q60"/>
  <c r="Q61"/>
  <c r="Q62"/>
  <c r="Q63"/>
  <c r="Q64"/>
  <c r="Q65"/>
  <c r="Q66"/>
  <c r="Q67"/>
  <c r="Q68"/>
  <c r="Q69"/>
  <c r="Q70"/>
  <c r="Q71"/>
  <c r="Q72"/>
  <c r="Q73"/>
  <c r="Q48"/>
  <c r="AK78"/>
  <c r="AL78"/>
  <c r="AO78"/>
  <c r="T131" i="5"/>
  <c r="T260"/>
  <c r="U131"/>
  <c r="U260"/>
  <c r="V131"/>
  <c r="V260"/>
  <c r="W131"/>
  <c r="W260"/>
  <c r="B131"/>
  <c r="B260"/>
  <c r="C131"/>
  <c r="C260"/>
  <c r="D131"/>
  <c r="D260"/>
  <c r="E131"/>
  <c r="E260"/>
  <c r="F131"/>
  <c r="F260"/>
  <c r="G131"/>
  <c r="G260"/>
  <c r="H131"/>
  <c r="H260"/>
  <c r="I131"/>
  <c r="I260"/>
  <c r="J131"/>
  <c r="J260"/>
  <c r="K131"/>
  <c r="K260"/>
  <c r="L131"/>
  <c r="L260"/>
  <c r="M131"/>
  <c r="M260"/>
  <c r="N131"/>
  <c r="N260"/>
  <c r="O131"/>
  <c r="O260"/>
  <c r="P131"/>
  <c r="P260"/>
  <c r="X131"/>
  <c r="X260"/>
  <c r="Q131"/>
  <c r="Q260"/>
  <c r="R131"/>
  <c r="R260"/>
  <c r="S131"/>
  <c r="S260"/>
  <c r="Y131"/>
  <c r="Y260"/>
  <c r="Z131"/>
  <c r="Z260"/>
  <c r="AA131"/>
  <c r="AA260"/>
  <c r="AB131"/>
  <c r="AB260"/>
  <c r="AC131"/>
  <c r="AC260"/>
  <c r="AD260"/>
  <c r="H291"/>
  <c r="AK79" i="9"/>
  <c r="AL79"/>
  <c r="AO79"/>
  <c r="T132" i="5"/>
  <c r="T261"/>
  <c r="U132"/>
  <c r="U261"/>
  <c r="V132"/>
  <c r="V261"/>
  <c r="W132"/>
  <c r="W261"/>
  <c r="B132"/>
  <c r="B261"/>
  <c r="C132"/>
  <c r="C261"/>
  <c r="D132"/>
  <c r="D261"/>
  <c r="E132"/>
  <c r="E261"/>
  <c r="F132"/>
  <c r="F261"/>
  <c r="G132"/>
  <c r="G261"/>
  <c r="H132"/>
  <c r="H261"/>
  <c r="I132"/>
  <c r="I261"/>
  <c r="J132"/>
  <c r="J261"/>
  <c r="K132"/>
  <c r="K261"/>
  <c r="L132"/>
  <c r="L261"/>
  <c r="M132"/>
  <c r="M261"/>
  <c r="N132"/>
  <c r="N261"/>
  <c r="O132"/>
  <c r="O261"/>
  <c r="P132"/>
  <c r="P261"/>
  <c r="X132"/>
  <c r="X261"/>
  <c r="Q132"/>
  <c r="Q261"/>
  <c r="R132"/>
  <c r="R261"/>
  <c r="S132"/>
  <c r="S261"/>
  <c r="Y132"/>
  <c r="Y261"/>
  <c r="Z132"/>
  <c r="Z261"/>
  <c r="AA132"/>
  <c r="AA261"/>
  <c r="AB132"/>
  <c r="AB261"/>
  <c r="AC132"/>
  <c r="AC261"/>
  <c r="AD261"/>
  <c r="H292"/>
  <c r="AK80" i="9"/>
  <c r="AL80"/>
  <c r="AO80"/>
  <c r="T133" i="5"/>
  <c r="T262"/>
  <c r="U133"/>
  <c r="U262"/>
  <c r="V133"/>
  <c r="V262"/>
  <c r="W133"/>
  <c r="W262"/>
  <c r="B133"/>
  <c r="B262"/>
  <c r="C133"/>
  <c r="C262"/>
  <c r="D133"/>
  <c r="D262"/>
  <c r="E133"/>
  <c r="E262"/>
  <c r="F133"/>
  <c r="F262"/>
  <c r="G133"/>
  <c r="G262"/>
  <c r="H133"/>
  <c r="H262"/>
  <c r="I133"/>
  <c r="I262"/>
  <c r="J133"/>
  <c r="J262"/>
  <c r="K133"/>
  <c r="K262"/>
  <c r="L133"/>
  <c r="L262"/>
  <c r="M133"/>
  <c r="M262"/>
  <c r="N133"/>
  <c r="N262"/>
  <c r="O133"/>
  <c r="O262"/>
  <c r="P133"/>
  <c r="P262"/>
  <c r="X133"/>
  <c r="X262"/>
  <c r="Q133"/>
  <c r="Q262"/>
  <c r="R133"/>
  <c r="R262"/>
  <c r="S133"/>
  <c r="S262"/>
  <c r="Y133"/>
  <c r="Y262"/>
  <c r="Z133"/>
  <c r="Z262"/>
  <c r="AA133"/>
  <c r="AA262"/>
  <c r="AB133"/>
  <c r="AB262"/>
  <c r="AC133"/>
  <c r="AC262"/>
  <c r="AD262"/>
  <c r="H293"/>
  <c r="AK81" i="9"/>
  <c r="AL81"/>
  <c r="AO81"/>
  <c r="T134" i="5"/>
  <c r="T263"/>
  <c r="U134"/>
  <c r="U263"/>
  <c r="V134"/>
  <c r="V263"/>
  <c r="W134"/>
  <c r="W263"/>
  <c r="B134"/>
  <c r="B263"/>
  <c r="C134"/>
  <c r="C263"/>
  <c r="D134"/>
  <c r="D263"/>
  <c r="E134"/>
  <c r="E263"/>
  <c r="F134"/>
  <c r="F263"/>
  <c r="G134"/>
  <c r="G263"/>
  <c r="H134"/>
  <c r="H263"/>
  <c r="I134"/>
  <c r="I263"/>
  <c r="J134"/>
  <c r="J263"/>
  <c r="K134"/>
  <c r="K263"/>
  <c r="L134"/>
  <c r="L263"/>
  <c r="M134"/>
  <c r="M263"/>
  <c r="N134"/>
  <c r="N263"/>
  <c r="O134"/>
  <c r="O263"/>
  <c r="P134"/>
  <c r="P263"/>
  <c r="X134"/>
  <c r="X263"/>
  <c r="Q134"/>
  <c r="Q263"/>
  <c r="R134"/>
  <c r="R263"/>
  <c r="S134"/>
  <c r="S263"/>
  <c r="Y134"/>
  <c r="Y263"/>
  <c r="Z134"/>
  <c r="Z263"/>
  <c r="AA134"/>
  <c r="AA263"/>
  <c r="AB134"/>
  <c r="AB263"/>
  <c r="AC134"/>
  <c r="AC263"/>
  <c r="AD263"/>
  <c r="H294"/>
  <c r="AK82" i="9"/>
  <c r="AL82"/>
  <c r="AO82"/>
  <c r="T135" i="5"/>
  <c r="T264"/>
  <c r="U135"/>
  <c r="U264"/>
  <c r="V135"/>
  <c r="V264"/>
  <c r="W135"/>
  <c r="W264"/>
  <c r="B135"/>
  <c r="B264"/>
  <c r="C135"/>
  <c r="C264"/>
  <c r="D135"/>
  <c r="D264"/>
  <c r="E135"/>
  <c r="E264"/>
  <c r="F135"/>
  <c r="F264"/>
  <c r="G135"/>
  <c r="G264"/>
  <c r="H135"/>
  <c r="H264"/>
  <c r="I135"/>
  <c r="I264"/>
  <c r="J135"/>
  <c r="J264"/>
  <c r="K135"/>
  <c r="K264"/>
  <c r="L135"/>
  <c r="L264"/>
  <c r="M135"/>
  <c r="M264"/>
  <c r="N135"/>
  <c r="N264"/>
  <c r="O135"/>
  <c r="O264"/>
  <c r="P135"/>
  <c r="P264"/>
  <c r="X135"/>
  <c r="X264"/>
  <c r="Q135"/>
  <c r="Q264"/>
  <c r="R135"/>
  <c r="R264"/>
  <c r="S135"/>
  <c r="S264"/>
  <c r="Y135"/>
  <c r="Y264"/>
  <c r="Z135"/>
  <c r="Z264"/>
  <c r="AA135"/>
  <c r="AA264"/>
  <c r="AB135"/>
  <c r="AB264"/>
  <c r="AC135"/>
  <c r="AC264"/>
  <c r="AD264"/>
  <c r="H295"/>
  <c r="C136"/>
  <c r="C265"/>
  <c r="D136"/>
  <c r="D265"/>
  <c r="E136"/>
  <c r="E265"/>
  <c r="F136"/>
  <c r="F265"/>
  <c r="H136"/>
  <c r="H265"/>
  <c r="I136"/>
  <c r="I265"/>
  <c r="J136"/>
  <c r="J265"/>
  <c r="K136"/>
  <c r="K265"/>
  <c r="L136"/>
  <c r="L265"/>
  <c r="M136"/>
  <c r="M265"/>
  <c r="O136"/>
  <c r="O265"/>
  <c r="P136"/>
  <c r="P265"/>
  <c r="Q136"/>
  <c r="Q265"/>
  <c r="R136"/>
  <c r="R265"/>
  <c r="S136"/>
  <c r="S265"/>
  <c r="T136"/>
  <c r="T265"/>
  <c r="U136"/>
  <c r="U265"/>
  <c r="V136"/>
  <c r="V265"/>
  <c r="W136"/>
  <c r="W265"/>
  <c r="X136"/>
  <c r="X265"/>
  <c r="Y136"/>
  <c r="Y265"/>
  <c r="Z136"/>
  <c r="Z265"/>
  <c r="AA136"/>
  <c r="AA265"/>
  <c r="AB136"/>
  <c r="AB265"/>
  <c r="AC136"/>
  <c r="AC265"/>
  <c r="I84" i="9"/>
  <c r="J84"/>
  <c r="M84"/>
  <c r="P84"/>
  <c r="Q84"/>
  <c r="T84"/>
  <c r="W84"/>
  <c r="X84"/>
  <c r="AA84"/>
  <c r="I85"/>
  <c r="J85"/>
  <c r="M85"/>
  <c r="P85"/>
  <c r="Q85"/>
  <c r="T85"/>
  <c r="W85"/>
  <c r="X85"/>
  <c r="AA85"/>
  <c r="I86"/>
  <c r="J86"/>
  <c r="M86"/>
  <c r="P86"/>
  <c r="Q86"/>
  <c r="T86"/>
  <c r="W86"/>
  <c r="X86"/>
  <c r="AA86"/>
  <c r="I87"/>
  <c r="J87"/>
  <c r="M87"/>
  <c r="P87"/>
  <c r="Q87"/>
  <c r="T87"/>
  <c r="W87"/>
  <c r="X87"/>
  <c r="AA87"/>
  <c r="I78"/>
  <c r="M78"/>
  <c r="P78"/>
  <c r="T78"/>
  <c r="W78"/>
  <c r="AA78"/>
  <c r="AD131" i="5"/>
  <c r="G291"/>
  <c r="I79" i="9"/>
  <c r="M79"/>
  <c r="P79"/>
  <c r="T79"/>
  <c r="W79"/>
  <c r="AA79"/>
  <c r="AD132" i="5"/>
  <c r="G292"/>
  <c r="I80" i="9"/>
  <c r="M80"/>
  <c r="P80"/>
  <c r="T80"/>
  <c r="W80"/>
  <c r="AA80"/>
  <c r="AD133" i="5"/>
  <c r="G293"/>
  <c r="I81" i="9"/>
  <c r="M81"/>
  <c r="P81"/>
  <c r="T81"/>
  <c r="W81"/>
  <c r="AA81"/>
  <c r="AD134" i="5"/>
  <c r="G294"/>
  <c r="I82" i="9"/>
  <c r="M82"/>
  <c r="P82"/>
  <c r="T82"/>
  <c r="W82"/>
  <c r="AA82"/>
  <c r="AD135" i="5"/>
  <c r="G295"/>
  <c r="B291"/>
  <c r="B4" i="3"/>
  <c r="C291" i="5"/>
  <c r="G4" i="3"/>
  <c r="H4"/>
  <c r="I4"/>
  <c r="D291" i="5"/>
  <c r="A292"/>
  <c r="B292"/>
  <c r="B5" i="3"/>
  <c r="C292" i="5"/>
  <c r="G5" i="3"/>
  <c r="H5"/>
  <c r="I5"/>
  <c r="D292" i="5"/>
  <c r="A293"/>
  <c r="B293"/>
  <c r="B6" i="3"/>
  <c r="C293" i="5"/>
  <c r="G6" i="3"/>
  <c r="H6"/>
  <c r="I6"/>
  <c r="D293" i="5"/>
  <c r="A294"/>
  <c r="B294"/>
  <c r="B7" i="3"/>
  <c r="C294" i="5"/>
  <c r="G7" i="3"/>
  <c r="H7"/>
  <c r="I7"/>
  <c r="D294" i="5"/>
  <c r="A295"/>
  <c r="B295"/>
  <c r="B8" i="3"/>
  <c r="C295" i="5"/>
  <c r="G8" i="3"/>
  <c r="H8"/>
  <c r="I8"/>
  <c r="D295" i="5"/>
  <c r="A296"/>
  <c r="B9" i="3"/>
  <c r="G9"/>
  <c r="H9"/>
  <c r="I9"/>
  <c r="D296" i="5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O285"/>
  <c r="AO284"/>
  <c r="AO283"/>
  <c r="AO282"/>
  <c r="AO281"/>
  <c r="AO280"/>
  <c r="AO279"/>
  <c r="AO278"/>
  <c r="AO277"/>
  <c r="AO276"/>
  <c r="AO275"/>
  <c r="AO274"/>
  <c r="AO273"/>
  <c r="AO272"/>
  <c r="AO271"/>
  <c r="AO270"/>
  <c r="AO269"/>
  <c r="AO268"/>
  <c r="AS267"/>
  <c r="AO267"/>
  <c r="AS266"/>
  <c r="AS265"/>
  <c r="AS264"/>
  <c r="AR264"/>
  <c r="AQ264"/>
  <c r="AP264"/>
  <c r="AO264"/>
  <c r="AS263"/>
  <c r="AR263"/>
  <c r="AQ263"/>
  <c r="AP263"/>
  <c r="AO263"/>
  <c r="AS262"/>
  <c r="AR262"/>
  <c r="AQ262"/>
  <c r="AP262"/>
  <c r="AO262"/>
  <c r="AS261"/>
  <c r="AR261"/>
  <c r="AQ261"/>
  <c r="AP261"/>
  <c r="AO261"/>
  <c r="AS260"/>
  <c r="AR260"/>
  <c r="AQ260"/>
  <c r="AP260"/>
  <c r="AO260"/>
  <c r="AO132"/>
  <c r="AP132"/>
  <c r="AQ132"/>
  <c r="AR132"/>
  <c r="AS132"/>
  <c r="AO133"/>
  <c r="AP133"/>
  <c r="AQ133"/>
  <c r="AR133"/>
  <c r="AS133"/>
  <c r="AO134"/>
  <c r="AP134"/>
  <c r="AQ134"/>
  <c r="AR134"/>
  <c r="AS134"/>
  <c r="AO135"/>
  <c r="AP135"/>
  <c r="AQ135"/>
  <c r="AR135"/>
  <c r="AS135"/>
  <c r="AS136"/>
  <c r="AS137"/>
  <c r="AO138"/>
  <c r="AS138"/>
  <c r="AO139"/>
  <c r="AO140"/>
  <c r="AO141"/>
  <c r="AO142"/>
  <c r="AO143"/>
  <c r="AO144"/>
  <c r="AO145"/>
  <c r="AO146"/>
  <c r="AO147"/>
  <c r="AO148"/>
  <c r="AO149"/>
  <c r="AO150"/>
  <c r="AO151"/>
  <c r="AO152"/>
  <c r="AO153"/>
  <c r="AO154"/>
  <c r="AO155"/>
  <c r="AO156"/>
  <c r="AS131"/>
  <c r="AR131"/>
  <c r="AQ131"/>
  <c r="AP131"/>
  <c r="AO131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I132"/>
  <c r="AJ132"/>
  <c r="AC5"/>
  <c r="AC6"/>
  <c r="AI133"/>
  <c r="AJ133"/>
  <c r="AC7"/>
  <c r="AI134"/>
  <c r="AJ134"/>
  <c r="AC8"/>
  <c r="AI135"/>
  <c r="AJ135"/>
  <c r="D9" i="3"/>
  <c r="J53" i="9"/>
  <c r="M53"/>
  <c r="D10" i="3"/>
  <c r="J54" i="9"/>
  <c r="M54"/>
  <c r="D11" i="3"/>
  <c r="J55" i="9"/>
  <c r="M55"/>
  <c r="D12" i="3"/>
  <c r="J56" i="9"/>
  <c r="M56"/>
  <c r="D13" i="3"/>
  <c r="J57" i="9"/>
  <c r="M57"/>
  <c r="D14" i="3"/>
  <c r="J58" i="9"/>
  <c r="M58"/>
  <c r="U9" i="3"/>
  <c r="D15"/>
  <c r="J59" i="9"/>
  <c r="M59"/>
  <c r="U10" i="3"/>
  <c r="D16"/>
  <c r="J60" i="9"/>
  <c r="M60"/>
  <c r="U11" i="3"/>
  <c r="D17"/>
  <c r="J61" i="9"/>
  <c r="M61"/>
  <c r="U12" i="3"/>
  <c r="D18"/>
  <c r="J62" i="9"/>
  <c r="M62"/>
  <c r="U13" i="3"/>
  <c r="D19"/>
  <c r="J63" i="9"/>
  <c r="M63"/>
  <c r="U14" i="3"/>
  <c r="D20"/>
  <c r="J64" i="9"/>
  <c r="M64"/>
  <c r="U15" i="3"/>
  <c r="D21"/>
  <c r="J65" i="9"/>
  <c r="M65"/>
  <c r="U16" i="3"/>
  <c r="D22"/>
  <c r="J66" i="9"/>
  <c r="M66"/>
  <c r="U17" i="3"/>
  <c r="D23"/>
  <c r="J67" i="9"/>
  <c r="M67"/>
  <c r="U18" i="3"/>
  <c r="D24"/>
  <c r="J68" i="9"/>
  <c r="M68"/>
  <c r="U19" i="3"/>
  <c r="D25"/>
  <c r="J69" i="9"/>
  <c r="M69"/>
  <c r="U20" i="3"/>
  <c r="D26"/>
  <c r="J70" i="9"/>
  <c r="M70"/>
  <c r="U21" i="3"/>
  <c r="D27"/>
  <c r="J71" i="9"/>
  <c r="M71"/>
  <c r="U22" i="3"/>
  <c r="D28"/>
  <c r="J72" i="9"/>
  <c r="M72"/>
  <c r="U23" i="3"/>
  <c r="D29"/>
  <c r="J73" i="9"/>
  <c r="M73"/>
  <c r="U24" i="3"/>
  <c r="AI131" i="5"/>
  <c r="AJ131"/>
  <c r="H220"/>
  <c r="T220"/>
  <c r="B220"/>
  <c r="C220"/>
  <c r="D220"/>
  <c r="E220"/>
  <c r="Q220"/>
  <c r="R220"/>
  <c r="S220"/>
  <c r="U220"/>
  <c r="V220"/>
  <c r="W220"/>
  <c r="X220"/>
  <c r="AC220"/>
  <c r="H219"/>
  <c r="T219"/>
  <c r="B219"/>
  <c r="C219"/>
  <c r="D219"/>
  <c r="E219"/>
  <c r="I219"/>
  <c r="K219"/>
  <c r="N219"/>
  <c r="Q219"/>
  <c r="R219"/>
  <c r="S219"/>
  <c r="U219"/>
  <c r="V219"/>
  <c r="W219"/>
  <c r="X219"/>
  <c r="AC219"/>
  <c r="H218"/>
  <c r="T218"/>
  <c r="B218"/>
  <c r="C218"/>
  <c r="D218"/>
  <c r="E218"/>
  <c r="I218"/>
  <c r="K218"/>
  <c r="N218"/>
  <c r="Q218"/>
  <c r="R218"/>
  <c r="S218"/>
  <c r="U218"/>
  <c r="V218"/>
  <c r="W218"/>
  <c r="X218"/>
  <c r="AC218"/>
  <c r="H217"/>
  <c r="T217"/>
  <c r="B217"/>
  <c r="C217"/>
  <c r="D217"/>
  <c r="E217"/>
  <c r="I217"/>
  <c r="K217"/>
  <c r="N217"/>
  <c r="Q217"/>
  <c r="R217"/>
  <c r="S217"/>
  <c r="U217"/>
  <c r="V217"/>
  <c r="W217"/>
  <c r="X217"/>
  <c r="AC217"/>
  <c r="H216"/>
  <c r="T216"/>
  <c r="B216"/>
  <c r="C216"/>
  <c r="D216"/>
  <c r="E216"/>
  <c r="I216"/>
  <c r="K216"/>
  <c r="N216"/>
  <c r="Q216"/>
  <c r="R216"/>
  <c r="S216"/>
  <c r="U216"/>
  <c r="V216"/>
  <c r="W216"/>
  <c r="X216"/>
  <c r="AC216"/>
  <c r="H215"/>
  <c r="T215"/>
  <c r="B215"/>
  <c r="C215"/>
  <c r="D215"/>
  <c r="E215"/>
  <c r="I215"/>
  <c r="K215"/>
  <c r="N215"/>
  <c r="Q215"/>
  <c r="R215"/>
  <c r="S215"/>
  <c r="U215"/>
  <c r="V215"/>
  <c r="W215"/>
  <c r="X215"/>
  <c r="AC215"/>
  <c r="H214"/>
  <c r="T214"/>
  <c r="B214"/>
  <c r="C214"/>
  <c r="D214"/>
  <c r="E214"/>
  <c r="I214"/>
  <c r="K214"/>
  <c r="N214"/>
  <c r="Q214"/>
  <c r="R214"/>
  <c r="S214"/>
  <c r="U214"/>
  <c r="V214"/>
  <c r="W214"/>
  <c r="X214"/>
  <c r="AC214"/>
  <c r="H213"/>
  <c r="T213"/>
  <c r="B213"/>
  <c r="C213"/>
  <c r="D213"/>
  <c r="E213"/>
  <c r="I213"/>
  <c r="K213"/>
  <c r="N213"/>
  <c r="Q213"/>
  <c r="R213"/>
  <c r="S213"/>
  <c r="U213"/>
  <c r="V213"/>
  <c r="W213"/>
  <c r="X213"/>
  <c r="AC213"/>
  <c r="H212"/>
  <c r="T212"/>
  <c r="B212"/>
  <c r="C212"/>
  <c r="D212"/>
  <c r="E212"/>
  <c r="I212"/>
  <c r="K212"/>
  <c r="N212"/>
  <c r="Q212"/>
  <c r="R212"/>
  <c r="S212"/>
  <c r="U212"/>
  <c r="V212"/>
  <c r="W212"/>
  <c r="X212"/>
  <c r="AC212"/>
  <c r="H211"/>
  <c r="T211"/>
  <c r="B211"/>
  <c r="C211"/>
  <c r="D211"/>
  <c r="E211"/>
  <c r="I211"/>
  <c r="K211"/>
  <c r="N211"/>
  <c r="Q211"/>
  <c r="R211"/>
  <c r="S211"/>
  <c r="U211"/>
  <c r="V211"/>
  <c r="W211"/>
  <c r="X211"/>
  <c r="AC211"/>
  <c r="H210"/>
  <c r="T210"/>
  <c r="B210"/>
  <c r="C210"/>
  <c r="D210"/>
  <c r="E210"/>
  <c r="I210"/>
  <c r="K210"/>
  <c r="N210"/>
  <c r="Q210"/>
  <c r="R210"/>
  <c r="S210"/>
  <c r="U210"/>
  <c r="V210"/>
  <c r="W210"/>
  <c r="X210"/>
  <c r="AC210"/>
  <c r="H209"/>
  <c r="T209"/>
  <c r="B209"/>
  <c r="C209"/>
  <c r="D209"/>
  <c r="E209"/>
  <c r="I209"/>
  <c r="K209"/>
  <c r="N209"/>
  <c r="Q209"/>
  <c r="R209"/>
  <c r="S209"/>
  <c r="U209"/>
  <c r="V209"/>
  <c r="W209"/>
  <c r="X209"/>
  <c r="AC209"/>
  <c r="H208"/>
  <c r="T208"/>
  <c r="B208"/>
  <c r="C208"/>
  <c r="D208"/>
  <c r="E208"/>
  <c r="I208"/>
  <c r="K208"/>
  <c r="N208"/>
  <c r="Q208"/>
  <c r="R208"/>
  <c r="S208"/>
  <c r="U208"/>
  <c r="V208"/>
  <c r="W208"/>
  <c r="X208"/>
  <c r="AC208"/>
  <c r="H207"/>
  <c r="T207"/>
  <c r="B207"/>
  <c r="C207"/>
  <c r="D207"/>
  <c r="E207"/>
  <c r="I207"/>
  <c r="K207"/>
  <c r="N207"/>
  <c r="Q207"/>
  <c r="R207"/>
  <c r="S207"/>
  <c r="U207"/>
  <c r="V207"/>
  <c r="W207"/>
  <c r="X207"/>
  <c r="AC207"/>
  <c r="H206"/>
  <c r="T206"/>
  <c r="B206"/>
  <c r="C206"/>
  <c r="D206"/>
  <c r="E206"/>
  <c r="I206"/>
  <c r="K206"/>
  <c r="N206"/>
  <c r="Q206"/>
  <c r="R206"/>
  <c r="S206"/>
  <c r="U206"/>
  <c r="V206"/>
  <c r="W206"/>
  <c r="X206"/>
  <c r="AC206"/>
  <c r="H205"/>
  <c r="T205"/>
  <c r="B205"/>
  <c r="C205"/>
  <c r="D205"/>
  <c r="E205"/>
  <c r="I205"/>
  <c r="K205"/>
  <c r="N205"/>
  <c r="Q205"/>
  <c r="R205"/>
  <c r="S205"/>
  <c r="U205"/>
  <c r="V205"/>
  <c r="W205"/>
  <c r="X205"/>
  <c r="AC205"/>
  <c r="H204"/>
  <c r="T204"/>
  <c r="B204"/>
  <c r="C204"/>
  <c r="D204"/>
  <c r="E204"/>
  <c r="I204"/>
  <c r="K204"/>
  <c r="N204"/>
  <c r="Q204"/>
  <c r="R204"/>
  <c r="S204"/>
  <c r="U204"/>
  <c r="V204"/>
  <c r="W204"/>
  <c r="X204"/>
  <c r="AC204"/>
  <c r="H203"/>
  <c r="T203"/>
  <c r="B203"/>
  <c r="C203"/>
  <c r="D203"/>
  <c r="E203"/>
  <c r="I203"/>
  <c r="K203"/>
  <c r="N203"/>
  <c r="Q203"/>
  <c r="R203"/>
  <c r="S203"/>
  <c r="U203"/>
  <c r="V203"/>
  <c r="W203"/>
  <c r="X203"/>
  <c r="AC203"/>
  <c r="H202"/>
  <c r="T202"/>
  <c r="B202"/>
  <c r="C202"/>
  <c r="D202"/>
  <c r="E202"/>
  <c r="F202"/>
  <c r="I202"/>
  <c r="K202"/>
  <c r="L202"/>
  <c r="M202"/>
  <c r="N202"/>
  <c r="Q202"/>
  <c r="R202"/>
  <c r="S202"/>
  <c r="U202"/>
  <c r="V202"/>
  <c r="W202"/>
  <c r="X202"/>
  <c r="Y202"/>
  <c r="Z202"/>
  <c r="AA202"/>
  <c r="AB202"/>
  <c r="AC202"/>
  <c r="H201"/>
  <c r="T201"/>
  <c r="C201"/>
  <c r="D201"/>
  <c r="E201"/>
  <c r="F201"/>
  <c r="I201"/>
  <c r="J201"/>
  <c r="K201"/>
  <c r="L201"/>
  <c r="M201"/>
  <c r="O201"/>
  <c r="Q201"/>
  <c r="R201"/>
  <c r="S201"/>
  <c r="U201"/>
  <c r="V201"/>
  <c r="W201"/>
  <c r="X201"/>
  <c r="Y201"/>
  <c r="Z201"/>
  <c r="AA201"/>
  <c r="AB201"/>
  <c r="AC201"/>
  <c r="H200"/>
  <c r="T200"/>
  <c r="C200"/>
  <c r="D200"/>
  <c r="E200"/>
  <c r="F200"/>
  <c r="I200"/>
  <c r="J200"/>
  <c r="K200"/>
  <c r="L200"/>
  <c r="M200"/>
  <c r="O200"/>
  <c r="Q200"/>
  <c r="R200"/>
  <c r="S200"/>
  <c r="U200"/>
  <c r="V200"/>
  <c r="W200"/>
  <c r="X200"/>
  <c r="Y200"/>
  <c r="Z200"/>
  <c r="AA200"/>
  <c r="AB200"/>
  <c r="AC200"/>
  <c r="H199"/>
  <c r="T199"/>
  <c r="B199"/>
  <c r="C199"/>
  <c r="D199"/>
  <c r="E199"/>
  <c r="F199"/>
  <c r="G199"/>
  <c r="I199"/>
  <c r="J199"/>
  <c r="K199"/>
  <c r="L199"/>
  <c r="M199"/>
  <c r="N199"/>
  <c r="O199"/>
  <c r="P199"/>
  <c r="Q199"/>
  <c r="R199"/>
  <c r="S199"/>
  <c r="U199"/>
  <c r="V199"/>
  <c r="W199"/>
  <c r="X199"/>
  <c r="Y199"/>
  <c r="Z199"/>
  <c r="AA199"/>
  <c r="AB199"/>
  <c r="AC199"/>
  <c r="AD199"/>
  <c r="H198"/>
  <c r="T198"/>
  <c r="B198"/>
  <c r="C198"/>
  <c r="D198"/>
  <c r="E198"/>
  <c r="F198"/>
  <c r="G198"/>
  <c r="I198"/>
  <c r="J198"/>
  <c r="K198"/>
  <c r="L198"/>
  <c r="M198"/>
  <c r="N198"/>
  <c r="O198"/>
  <c r="P198"/>
  <c r="Q198"/>
  <c r="R198"/>
  <c r="S198"/>
  <c r="U198"/>
  <c r="V198"/>
  <c r="W198"/>
  <c r="X198"/>
  <c r="Y198"/>
  <c r="Z198"/>
  <c r="AA198"/>
  <c r="AB198"/>
  <c r="AC198"/>
  <c r="AD198"/>
  <c r="H197"/>
  <c r="T197"/>
  <c r="B197"/>
  <c r="C197"/>
  <c r="D197"/>
  <c r="E197"/>
  <c r="F197"/>
  <c r="G197"/>
  <c r="I197"/>
  <c r="J197"/>
  <c r="K197"/>
  <c r="L197"/>
  <c r="M197"/>
  <c r="N197"/>
  <c r="O197"/>
  <c r="P197"/>
  <c r="Q197"/>
  <c r="R197"/>
  <c r="S197"/>
  <c r="U197"/>
  <c r="V197"/>
  <c r="W197"/>
  <c r="X197"/>
  <c r="Y197"/>
  <c r="Z197"/>
  <c r="AA197"/>
  <c r="AB197"/>
  <c r="AC197"/>
  <c r="AD197"/>
  <c r="H196"/>
  <c r="T196"/>
  <c r="B196"/>
  <c r="C196"/>
  <c r="D196"/>
  <c r="E196"/>
  <c r="F196"/>
  <c r="G196"/>
  <c r="I196"/>
  <c r="J196"/>
  <c r="K196"/>
  <c r="L196"/>
  <c r="M196"/>
  <c r="N196"/>
  <c r="O196"/>
  <c r="P196"/>
  <c r="Q196"/>
  <c r="R196"/>
  <c r="S196"/>
  <c r="U196"/>
  <c r="V196"/>
  <c r="W196"/>
  <c r="X196"/>
  <c r="Y196"/>
  <c r="Z196"/>
  <c r="AA196"/>
  <c r="AB196"/>
  <c r="AC196"/>
  <c r="AD196"/>
  <c r="H195"/>
  <c r="T195"/>
  <c r="B195"/>
  <c r="C195"/>
  <c r="D195"/>
  <c r="E195"/>
  <c r="F195"/>
  <c r="G195"/>
  <c r="I195"/>
  <c r="J195"/>
  <c r="K195"/>
  <c r="L195"/>
  <c r="M195"/>
  <c r="N195"/>
  <c r="O195"/>
  <c r="P195"/>
  <c r="Q195"/>
  <c r="R195"/>
  <c r="S195"/>
  <c r="U195"/>
  <c r="V195"/>
  <c r="W195"/>
  <c r="X195"/>
  <c r="Y195"/>
  <c r="Z195"/>
  <c r="AA195"/>
  <c r="AB195"/>
  <c r="AC195"/>
  <c r="AD195"/>
  <c r="A101" i="3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220" i="5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69" i="3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188" i="5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D36"/>
  <c r="AG67"/>
  <c r="AD37"/>
  <c r="AG68"/>
  <c r="AD38"/>
  <c r="AG69"/>
  <c r="AD39"/>
  <c r="AG70"/>
  <c r="AD35"/>
  <c r="AG66"/>
  <c r="A151" i="4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D5" i="3"/>
  <c r="J49" i="9"/>
  <c r="D6" i="3"/>
  <c r="J50" i="9"/>
  <c r="D7" i="3"/>
  <c r="J51" i="9"/>
  <c r="D8" i="3"/>
  <c r="J52" i="9"/>
  <c r="D4" i="3"/>
  <c r="J48" i="9"/>
  <c r="E7"/>
  <c r="E9"/>
  <c r="E8"/>
  <c r="D8"/>
  <c r="D9"/>
  <c r="D7"/>
  <c r="BB15"/>
  <c r="BC15"/>
  <c r="BB16"/>
  <c r="BC16"/>
  <c r="BB17"/>
  <c r="BC17"/>
  <c r="BB19"/>
  <c r="BC19"/>
  <c r="BB21"/>
  <c r="BC21"/>
  <c r="BB22"/>
  <c r="BC22"/>
  <c r="BB24"/>
  <c r="BC24"/>
  <c r="BB25"/>
  <c r="BC25"/>
  <c r="BA16"/>
  <c r="BA17"/>
  <c r="BA19"/>
  <c r="BA21"/>
  <c r="BA22"/>
  <c r="BA24"/>
  <c r="BA25"/>
  <c r="BA15"/>
  <c r="J110"/>
  <c r="J111"/>
  <c r="J112"/>
  <c r="J113"/>
  <c r="J109"/>
  <c r="AE49"/>
  <c r="AE50"/>
  <c r="AE51"/>
  <c r="AE52"/>
  <c r="AE48"/>
  <c r="X49"/>
  <c r="X50"/>
  <c r="X51"/>
  <c r="X52"/>
  <c r="X48"/>
  <c r="X19"/>
  <c r="X20"/>
  <c r="X21"/>
  <c r="X22"/>
  <c r="X18"/>
  <c r="W19"/>
  <c r="W20"/>
  <c r="W21"/>
  <c r="W22"/>
  <c r="W18"/>
  <c r="AA19"/>
  <c r="W49"/>
  <c r="AA49"/>
  <c r="I110"/>
  <c r="M110"/>
  <c r="M49"/>
  <c r="T49"/>
  <c r="AH49"/>
  <c r="AO49"/>
  <c r="DY32" i="8"/>
  <c r="DZ32"/>
  <c r="EA32"/>
  <c r="EB32"/>
  <c r="EC32"/>
  <c r="E79" i="9"/>
  <c r="F79"/>
  <c r="AD99" i="5"/>
  <c r="AA20" i="9"/>
  <c r="W50"/>
  <c r="AA50"/>
  <c r="I111"/>
  <c r="M111"/>
  <c r="M50"/>
  <c r="T50"/>
  <c r="AH50"/>
  <c r="AO50"/>
  <c r="DY33" i="8"/>
  <c r="DZ33"/>
  <c r="EA33"/>
  <c r="EB33"/>
  <c r="EC33"/>
  <c r="E80" i="9"/>
  <c r="F80"/>
  <c r="AD100" i="5"/>
  <c r="AA21" i="9"/>
  <c r="W51"/>
  <c r="AA51"/>
  <c r="I112"/>
  <c r="M112"/>
  <c r="M51"/>
  <c r="T51"/>
  <c r="AH51"/>
  <c r="AO51"/>
  <c r="DY34" i="8"/>
  <c r="DZ34"/>
  <c r="EA34"/>
  <c r="EB34"/>
  <c r="EC34"/>
  <c r="E81" i="9"/>
  <c r="F81"/>
  <c r="AD101" i="5"/>
  <c r="AA22" i="9"/>
  <c r="W52"/>
  <c r="AA52"/>
  <c r="I113"/>
  <c r="M113"/>
  <c r="M52"/>
  <c r="T52"/>
  <c r="AH52"/>
  <c r="AO52"/>
  <c r="DY35" i="8"/>
  <c r="DZ35"/>
  <c r="EA35"/>
  <c r="EB35"/>
  <c r="EC35"/>
  <c r="E82" i="9"/>
  <c r="F82"/>
  <c r="AD102" i="5"/>
  <c r="AA18" i="9"/>
  <c r="W48"/>
  <c r="AA48"/>
  <c r="I109"/>
  <c r="M109"/>
  <c r="M48"/>
  <c r="T48"/>
  <c r="AH48"/>
  <c r="AO48"/>
  <c r="DY31" i="8"/>
  <c r="DZ31"/>
  <c r="EA31"/>
  <c r="EB31"/>
  <c r="EC31"/>
  <c r="E78" i="9"/>
  <c r="F78"/>
  <c r="AD98" i="5"/>
  <c r="Q9" i="8"/>
  <c r="BE67"/>
  <c r="BE72"/>
  <c r="R9"/>
  <c r="R5"/>
  <c r="R6"/>
  <c r="R7"/>
  <c r="BF67"/>
  <c r="BF72"/>
  <c r="S9"/>
  <c r="S5"/>
  <c r="S6"/>
  <c r="S7"/>
  <c r="BG67"/>
  <c r="BG72"/>
  <c r="T5"/>
  <c r="T6"/>
  <c r="T7"/>
  <c r="BH67"/>
  <c r="BH72"/>
  <c r="BE31"/>
  <c r="BE32"/>
  <c r="BE33"/>
  <c r="BE34"/>
  <c r="BE35"/>
  <c r="BE36"/>
  <c r="BE37"/>
  <c r="BE38"/>
  <c r="BE39"/>
  <c r="BE40"/>
  <c r="BE41"/>
  <c r="BE42"/>
  <c r="BE43"/>
  <c r="BE44"/>
  <c r="BE45"/>
  <c r="BE46"/>
  <c r="BE47"/>
  <c r="BE48"/>
  <c r="BE49"/>
  <c r="BE50"/>
  <c r="BE51"/>
  <c r="BE52"/>
  <c r="BE53"/>
  <c r="BE54"/>
  <c r="BE70"/>
  <c r="BF31"/>
  <c r="BF32"/>
  <c r="BF33"/>
  <c r="BF34"/>
  <c r="BF35"/>
  <c r="BF36"/>
  <c r="BF37"/>
  <c r="BF38"/>
  <c r="BF39"/>
  <c r="BF40"/>
  <c r="BF41"/>
  <c r="BF42"/>
  <c r="BF43"/>
  <c r="BF44"/>
  <c r="BF45"/>
  <c r="BF46"/>
  <c r="BF47"/>
  <c r="BF48"/>
  <c r="BF49"/>
  <c r="BF50"/>
  <c r="BF51"/>
  <c r="BF52"/>
  <c r="BF53"/>
  <c r="BF54"/>
  <c r="BF70"/>
  <c r="BG31"/>
  <c r="BG32"/>
  <c r="BG33"/>
  <c r="BG34"/>
  <c r="BG35"/>
  <c r="BG36"/>
  <c r="BG37"/>
  <c r="BG38"/>
  <c r="BG39"/>
  <c r="BG40"/>
  <c r="BG41"/>
  <c r="BG42"/>
  <c r="BG43"/>
  <c r="BG44"/>
  <c r="BG45"/>
  <c r="BG46"/>
  <c r="BG47"/>
  <c r="BG48"/>
  <c r="BG49"/>
  <c r="BG50"/>
  <c r="BG51"/>
  <c r="BG52"/>
  <c r="BG53"/>
  <c r="BG54"/>
  <c r="BG70"/>
  <c r="BH31"/>
  <c r="BH32"/>
  <c r="BH33"/>
  <c r="BH34"/>
  <c r="BH35"/>
  <c r="BH36"/>
  <c r="BH37"/>
  <c r="BH38"/>
  <c r="BH39"/>
  <c r="BH40"/>
  <c r="BH41"/>
  <c r="BH42"/>
  <c r="BH43"/>
  <c r="BH44"/>
  <c r="BH45"/>
  <c r="BH46"/>
  <c r="BH47"/>
  <c r="BH48"/>
  <c r="BH49"/>
  <c r="BH50"/>
  <c r="BH51"/>
  <c r="BH52"/>
  <c r="BH53"/>
  <c r="BH54"/>
  <c r="BH70"/>
  <c r="BE55"/>
  <c r="BE56"/>
  <c r="BE57"/>
  <c r="BE58"/>
  <c r="BE59"/>
  <c r="BE60"/>
  <c r="BE61"/>
  <c r="BE62"/>
  <c r="BE63"/>
  <c r="BE64"/>
  <c r="BE65"/>
  <c r="BE66"/>
  <c r="BE71"/>
  <c r="BF55"/>
  <c r="BF56"/>
  <c r="BF57"/>
  <c r="BF58"/>
  <c r="BF59"/>
  <c r="BF60"/>
  <c r="BF61"/>
  <c r="BF62"/>
  <c r="BF63"/>
  <c r="BF64"/>
  <c r="BF65"/>
  <c r="BF66"/>
  <c r="BF71"/>
  <c r="BG55"/>
  <c r="BG56"/>
  <c r="BG57"/>
  <c r="BG58"/>
  <c r="BG59"/>
  <c r="BG60"/>
  <c r="BG61"/>
  <c r="BG62"/>
  <c r="BG63"/>
  <c r="BG64"/>
  <c r="BG65"/>
  <c r="BG66"/>
  <c r="BG71"/>
  <c r="DV33"/>
  <c r="DV34"/>
  <c r="DV35"/>
  <c r="DV32"/>
  <c r="DV31"/>
  <c r="DR32"/>
  <c r="DR33"/>
  <c r="DR34"/>
  <c r="DR35"/>
  <c r="DR36"/>
  <c r="DR37"/>
  <c r="DR38"/>
  <c r="DR39"/>
  <c r="DR40"/>
  <c r="DR41"/>
  <c r="DR42"/>
  <c r="DR43"/>
  <c r="DR44"/>
  <c r="DR45"/>
  <c r="DR46"/>
  <c r="DR47"/>
  <c r="DR48"/>
  <c r="DR49"/>
  <c r="DR50"/>
  <c r="DR51"/>
  <c r="DR52"/>
  <c r="DR53"/>
  <c r="DR54"/>
  <c r="DR55"/>
  <c r="DR56"/>
  <c r="A112" i="4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B31" i="8"/>
  <c r="D31"/>
  <c r="F31"/>
  <c r="I31"/>
  <c r="B32"/>
  <c r="D32"/>
  <c r="F32"/>
  <c r="I32"/>
  <c r="B33"/>
  <c r="D33"/>
  <c r="D16"/>
  <c r="F33"/>
  <c r="I33"/>
  <c r="B34"/>
  <c r="D34"/>
  <c r="F34"/>
  <c r="I34"/>
  <c r="B35"/>
  <c r="D35"/>
  <c r="F35"/>
  <c r="I35"/>
  <c r="B36"/>
  <c r="D36"/>
  <c r="F36"/>
  <c r="I36"/>
  <c r="B37"/>
  <c r="D37"/>
  <c r="F37"/>
  <c r="I37"/>
  <c r="B38"/>
  <c r="D38"/>
  <c r="F38"/>
  <c r="I38"/>
  <c r="B39"/>
  <c r="D39"/>
  <c r="F39"/>
  <c r="I39"/>
  <c r="B40"/>
  <c r="D40"/>
  <c r="F40"/>
  <c r="I40"/>
  <c r="B41"/>
  <c r="D41"/>
  <c r="F41"/>
  <c r="I41"/>
  <c r="B42"/>
  <c r="D42"/>
  <c r="F42"/>
  <c r="I42"/>
  <c r="B43"/>
  <c r="F43"/>
  <c r="D43"/>
  <c r="I43"/>
  <c r="B44"/>
  <c r="F44"/>
  <c r="D44"/>
  <c r="I44"/>
  <c r="B45"/>
  <c r="D19"/>
  <c r="F45"/>
  <c r="D45"/>
  <c r="I45"/>
  <c r="B46"/>
  <c r="F46"/>
  <c r="D46"/>
  <c r="I46"/>
  <c r="B47"/>
  <c r="F47"/>
  <c r="D47"/>
  <c r="I47"/>
  <c r="B48"/>
  <c r="D22"/>
  <c r="F48"/>
  <c r="D48"/>
  <c r="I48"/>
  <c r="B49"/>
  <c r="F49"/>
  <c r="D49"/>
  <c r="I49"/>
  <c r="B50"/>
  <c r="F50"/>
  <c r="D50"/>
  <c r="I50"/>
  <c r="B51"/>
  <c r="F51"/>
  <c r="D51"/>
  <c r="I51"/>
  <c r="B52"/>
  <c r="F52"/>
  <c r="D52"/>
  <c r="I52"/>
  <c r="B53"/>
  <c r="F53"/>
  <c r="D53"/>
  <c r="I53"/>
  <c r="B54"/>
  <c r="F54"/>
  <c r="D54"/>
  <c r="I54"/>
  <c r="B55"/>
  <c r="F55"/>
  <c r="D55"/>
  <c r="I55"/>
  <c r="B56"/>
  <c r="F56"/>
  <c r="D56"/>
  <c r="I56"/>
  <c r="B57"/>
  <c r="D25"/>
  <c r="F57"/>
  <c r="D57"/>
  <c r="I57"/>
  <c r="B58"/>
  <c r="F58"/>
  <c r="C11"/>
  <c r="D58"/>
  <c r="I58"/>
  <c r="B59"/>
  <c r="F59"/>
  <c r="D59"/>
  <c r="I59"/>
  <c r="B60"/>
  <c r="D28"/>
  <c r="F60"/>
  <c r="D60"/>
  <c r="I60"/>
  <c r="B61"/>
  <c r="F61"/>
  <c r="D61"/>
  <c r="I61"/>
  <c r="B62"/>
  <c r="F62"/>
  <c r="D62"/>
  <c r="I62"/>
  <c r="B63"/>
  <c r="F63"/>
  <c r="D63"/>
  <c r="I63"/>
  <c r="B64"/>
  <c r="F64"/>
  <c r="D64"/>
  <c r="I64"/>
  <c r="B65"/>
  <c r="F65"/>
  <c r="D65"/>
  <c r="I65"/>
  <c r="B66"/>
  <c r="F66"/>
  <c r="D66"/>
  <c r="I66"/>
  <c r="B2"/>
  <c r="B67"/>
  <c r="I67"/>
  <c r="BK68"/>
  <c r="BL68"/>
  <c r="BM68"/>
  <c r="BN68"/>
  <c r="BO68"/>
  <c r="BP68"/>
  <c r="BQ68"/>
  <c r="BR68"/>
  <c r="BS68"/>
  <c r="BT68"/>
  <c r="BU68"/>
  <c r="BV68"/>
  <c r="BW68"/>
  <c r="BX68"/>
  <c r="BJ68"/>
  <c r="CU31"/>
  <c r="CU32"/>
  <c r="CU33"/>
  <c r="CU34"/>
  <c r="CU35"/>
  <c r="CU36"/>
  <c r="CU37"/>
  <c r="CU38"/>
  <c r="CU39"/>
  <c r="CU40"/>
  <c r="CU41"/>
  <c r="CU42"/>
  <c r="CU43"/>
  <c r="CU44"/>
  <c r="CU45"/>
  <c r="CU46"/>
  <c r="CU47"/>
  <c r="CU48"/>
  <c r="CU49"/>
  <c r="CU50"/>
  <c r="CU51"/>
  <c r="CU52"/>
  <c r="CU53"/>
  <c r="CU54"/>
  <c r="CU55"/>
  <c r="CU56"/>
  <c r="CU57"/>
  <c r="CU58"/>
  <c r="CU59"/>
  <c r="CU60"/>
  <c r="CU61"/>
  <c r="CU62"/>
  <c r="CU63"/>
  <c r="CU64"/>
  <c r="CU65"/>
  <c r="CU66"/>
  <c r="CU67"/>
  <c r="CU68"/>
  <c r="CU69"/>
  <c r="CU70"/>
  <c r="Q12"/>
  <c r="Q11"/>
  <c r="CV31"/>
  <c r="CV32"/>
  <c r="CV33"/>
  <c r="CV34"/>
  <c r="CV35"/>
  <c r="CV36"/>
  <c r="CV37"/>
  <c r="CV38"/>
  <c r="CV39"/>
  <c r="CV40"/>
  <c r="CV41"/>
  <c r="CV42"/>
  <c r="CV43"/>
  <c r="CV44"/>
  <c r="CV45"/>
  <c r="CV46"/>
  <c r="CV47"/>
  <c r="CV48"/>
  <c r="CV49"/>
  <c r="CV50"/>
  <c r="CV51"/>
  <c r="CV52"/>
  <c r="CV53"/>
  <c r="CV54"/>
  <c r="CV55"/>
  <c r="CV56"/>
  <c r="CV57"/>
  <c r="CV58"/>
  <c r="CV59"/>
  <c r="CV60"/>
  <c r="CV61"/>
  <c r="CV62"/>
  <c r="CV63"/>
  <c r="CV64"/>
  <c r="CV65"/>
  <c r="CV66"/>
  <c r="CV67"/>
  <c r="CV68"/>
  <c r="CV69"/>
  <c r="CV70"/>
  <c r="R12"/>
  <c r="R11"/>
  <c r="CW31"/>
  <c r="CW32"/>
  <c r="CW33"/>
  <c r="CW34"/>
  <c r="CW35"/>
  <c r="CW36"/>
  <c r="CW37"/>
  <c r="CW38"/>
  <c r="CW39"/>
  <c r="CW40"/>
  <c r="CW41"/>
  <c r="CW42"/>
  <c r="CW43"/>
  <c r="CW44"/>
  <c r="CW45"/>
  <c r="CW46"/>
  <c r="CW47"/>
  <c r="CW48"/>
  <c r="CW49"/>
  <c r="CW50"/>
  <c r="CW51"/>
  <c r="CW52"/>
  <c r="CW53"/>
  <c r="CW54"/>
  <c r="CW55"/>
  <c r="CW56"/>
  <c r="CW57"/>
  <c r="CW58"/>
  <c r="CW59"/>
  <c r="CW60"/>
  <c r="CW61"/>
  <c r="CW62"/>
  <c r="CW63"/>
  <c r="CW64"/>
  <c r="CW65"/>
  <c r="CW66"/>
  <c r="CW67"/>
  <c r="CW68"/>
  <c r="CW69"/>
  <c r="CW70"/>
  <c r="S12"/>
  <c r="S11"/>
  <c r="CX31"/>
  <c r="CX32"/>
  <c r="CX33"/>
  <c r="CX34"/>
  <c r="CX35"/>
  <c r="CX36"/>
  <c r="CX37"/>
  <c r="CX38"/>
  <c r="CX39"/>
  <c r="CX40"/>
  <c r="CX41"/>
  <c r="CX42"/>
  <c r="CX43"/>
  <c r="CX44"/>
  <c r="CX45"/>
  <c r="CX46"/>
  <c r="CX47"/>
  <c r="CX48"/>
  <c r="CX49"/>
  <c r="CX50"/>
  <c r="CX51"/>
  <c r="CX52"/>
  <c r="CX53"/>
  <c r="CX54"/>
  <c r="CX55"/>
  <c r="CX56"/>
  <c r="CX57"/>
  <c r="CX58"/>
  <c r="CX59"/>
  <c r="CX60"/>
  <c r="CX61"/>
  <c r="CX62"/>
  <c r="CX63"/>
  <c r="CX64"/>
  <c r="CX65"/>
  <c r="CX66"/>
  <c r="CX67"/>
  <c r="CX68"/>
  <c r="CX69"/>
  <c r="CX70"/>
  <c r="T12"/>
  <c r="T11"/>
  <c r="A67" i="4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I68" i="8"/>
  <c r="T53" i="9"/>
  <c r="AO53"/>
  <c r="T54"/>
  <c r="AO54"/>
  <c r="T55"/>
  <c r="AO55"/>
  <c r="T56"/>
  <c r="AO56"/>
  <c r="T57"/>
  <c r="AO57"/>
  <c r="T58"/>
  <c r="AO58"/>
  <c r="T59"/>
  <c r="AO59"/>
  <c r="T60"/>
  <c r="AO60"/>
  <c r="T61"/>
  <c r="AO61"/>
  <c r="T62"/>
  <c r="AO62"/>
  <c r="T63"/>
  <c r="AO63"/>
  <c r="T64"/>
  <c r="AO64"/>
  <c r="T65"/>
  <c r="AO65"/>
  <c r="T66"/>
  <c r="AO66"/>
  <c r="T67"/>
  <c r="AO67"/>
  <c r="T68"/>
  <c r="AO68"/>
  <c r="T69"/>
  <c r="AO69"/>
  <c r="T70"/>
  <c r="AO70"/>
  <c r="T71"/>
  <c r="AO71"/>
  <c r="T72"/>
  <c r="AO72"/>
  <c r="T73"/>
  <c r="AO73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J79"/>
  <c r="AJ80"/>
  <c r="AJ81"/>
  <c r="AJ82"/>
  <c r="AJ83"/>
  <c r="AJ84"/>
  <c r="AJ85"/>
  <c r="AJ86"/>
  <c r="AJ87"/>
  <c r="AJ88"/>
  <c r="AJ89"/>
  <c r="AJ90"/>
  <c r="AJ91"/>
  <c r="AJ92"/>
  <c r="AJ93"/>
  <c r="AJ94"/>
  <c r="AJ95"/>
  <c r="AJ96"/>
  <c r="AJ97"/>
  <c r="AJ98"/>
  <c r="AJ99"/>
  <c r="AJ100"/>
  <c r="AJ101"/>
  <c r="AJ102"/>
  <c r="AJ103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O79"/>
  <c r="O80"/>
  <c r="O81"/>
  <c r="O82"/>
  <c r="O83"/>
  <c r="O84"/>
  <c r="O85"/>
  <c r="O86"/>
  <c r="O87"/>
  <c r="O88"/>
  <c r="O89"/>
  <c r="O90"/>
  <c r="O91"/>
  <c r="O92"/>
  <c r="O93"/>
  <c r="O94"/>
  <c r="O95"/>
  <c r="O96"/>
  <c r="O97"/>
  <c r="O98"/>
  <c r="O99"/>
  <c r="O100"/>
  <c r="O101"/>
  <c r="O102"/>
  <c r="O103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AJ49"/>
  <c r="AJ50"/>
  <c r="AJ51"/>
  <c r="AJ52"/>
  <c r="AJ53"/>
  <c r="AJ54"/>
  <c r="AJ55"/>
  <c r="AJ56"/>
  <c r="AJ57"/>
  <c r="AJ58"/>
  <c r="AJ59"/>
  <c r="AJ60"/>
  <c r="AJ61"/>
  <c r="AJ62"/>
  <c r="AJ63"/>
  <c r="AJ64"/>
  <c r="AJ65"/>
  <c r="AJ66"/>
  <c r="AJ67"/>
  <c r="AJ68"/>
  <c r="AJ69"/>
  <c r="AJ70"/>
  <c r="AJ71"/>
  <c r="AJ72"/>
  <c r="AJ73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M133" i="3"/>
  <c r="M134"/>
  <c r="M135"/>
  <c r="M136"/>
  <c r="M137"/>
  <c r="M138"/>
  <c r="M139"/>
  <c r="M140"/>
  <c r="M141"/>
  <c r="M142"/>
  <c r="M143"/>
  <c r="M144"/>
  <c r="M145"/>
  <c r="M146"/>
  <c r="M147"/>
  <c r="M148"/>
  <c r="M149"/>
  <c r="M150"/>
  <c r="M151"/>
  <c r="M152"/>
  <c r="M153"/>
  <c r="M154"/>
  <c r="M155"/>
  <c r="M156"/>
  <c r="M157"/>
  <c r="M132"/>
  <c r="M101"/>
  <c r="M102"/>
  <c r="M103"/>
  <c r="M104"/>
  <c r="M105"/>
  <c r="M106"/>
  <c r="M107"/>
  <c r="M108"/>
  <c r="M109"/>
  <c r="M110"/>
  <c r="M111"/>
  <c r="M112"/>
  <c r="M113"/>
  <c r="M114"/>
  <c r="M115"/>
  <c r="M116"/>
  <c r="M117"/>
  <c r="M118"/>
  <c r="M119"/>
  <c r="M120"/>
  <c r="M121"/>
  <c r="M122"/>
  <c r="M123"/>
  <c r="M124"/>
  <c r="M125"/>
  <c r="M100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68"/>
  <c r="S5"/>
  <c r="T5"/>
  <c r="U5"/>
  <c r="AG36" i="5"/>
  <c r="S6" i="3"/>
  <c r="T6"/>
  <c r="U6"/>
  <c r="AG37" i="5"/>
  <c r="S7" i="3"/>
  <c r="T7"/>
  <c r="U7"/>
  <c r="AG38" i="5"/>
  <c r="S8" i="3"/>
  <c r="T8"/>
  <c r="U8"/>
  <c r="AG39" i="5"/>
  <c r="S9" i="3"/>
  <c r="T9"/>
  <c r="AG40" i="5"/>
  <c r="S10" i="3"/>
  <c r="T10"/>
  <c r="AG41" i="5"/>
  <c r="S11" i="3"/>
  <c r="T11"/>
  <c r="AG42" i="5"/>
  <c r="S12" i="3"/>
  <c r="T12"/>
  <c r="AG43" i="5"/>
  <c r="S13" i="3"/>
  <c r="T13"/>
  <c r="AG44" i="5"/>
  <c r="S14" i="3"/>
  <c r="T14"/>
  <c r="AG45" i="5"/>
  <c r="S15" i="3"/>
  <c r="T15"/>
  <c r="AG46" i="5"/>
  <c r="S16" i="3"/>
  <c r="T16"/>
  <c r="AG47" i="5"/>
  <c r="S17" i="3"/>
  <c r="T17"/>
  <c r="AG48" i="5"/>
  <c r="S18" i="3"/>
  <c r="T18"/>
  <c r="AG49" i="5"/>
  <c r="S19" i="3"/>
  <c r="T19"/>
  <c r="AG50" i="5"/>
  <c r="S20" i="3"/>
  <c r="T20"/>
  <c r="AG51" i="5"/>
  <c r="S21" i="3"/>
  <c r="T21"/>
  <c r="AG52" i="5"/>
  <c r="S22" i="3"/>
  <c r="T22"/>
  <c r="AG53" i="5"/>
  <c r="S23" i="3"/>
  <c r="T23"/>
  <c r="AG54" i="5"/>
  <c r="S24" i="3"/>
  <c r="T24"/>
  <c r="AG55" i="5"/>
  <c r="S25" i="3"/>
  <c r="T25"/>
  <c r="U25"/>
  <c r="AG56" i="5"/>
  <c r="S26" i="3"/>
  <c r="T26"/>
  <c r="U26"/>
  <c r="AG57" i="5"/>
  <c r="S27" i="3"/>
  <c r="T27"/>
  <c r="U27"/>
  <c r="AG58" i="5"/>
  <c r="S28" i="3"/>
  <c r="T28"/>
  <c r="U28"/>
  <c r="AG59" i="5"/>
  <c r="S29" i="3"/>
  <c r="T29"/>
  <c r="U29"/>
  <c r="AG60" i="5"/>
  <c r="S4" i="3"/>
  <c r="T4"/>
  <c r="U4"/>
  <c r="AG35" i="5"/>
  <c r="AF36"/>
  <c r="AF37"/>
  <c r="AF38"/>
  <c r="AF39"/>
  <c r="AF35"/>
  <c r="B229"/>
  <c r="C229"/>
  <c r="B230"/>
  <c r="C230"/>
  <c r="B231"/>
  <c r="C231"/>
  <c r="B232"/>
  <c r="C232"/>
  <c r="C228"/>
  <c r="B228"/>
  <c r="A252"/>
  <c r="A253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P5" i="3"/>
  <c r="R5"/>
  <c r="AD5"/>
  <c r="P6"/>
  <c r="R6"/>
  <c r="AD6"/>
  <c r="P7"/>
  <c r="R7"/>
  <c r="AD7"/>
  <c r="P8"/>
  <c r="R8"/>
  <c r="AD8"/>
  <c r="P9"/>
  <c r="R9"/>
  <c r="AD9"/>
  <c r="P10"/>
  <c r="R10"/>
  <c r="AD10"/>
  <c r="P11"/>
  <c r="R11"/>
  <c r="AD11"/>
  <c r="P12"/>
  <c r="R12"/>
  <c r="AD12"/>
  <c r="P13"/>
  <c r="R13"/>
  <c r="AD13"/>
  <c r="P14"/>
  <c r="R14"/>
  <c r="AD14"/>
  <c r="P15"/>
  <c r="R15"/>
  <c r="AD15"/>
  <c r="P16"/>
  <c r="R16"/>
  <c r="AD16"/>
  <c r="P17"/>
  <c r="R17"/>
  <c r="AD17"/>
  <c r="P18"/>
  <c r="R18"/>
  <c r="AD18"/>
  <c r="P19"/>
  <c r="R19"/>
  <c r="AD19"/>
  <c r="P20"/>
  <c r="R20"/>
  <c r="AD20"/>
  <c r="P21"/>
  <c r="R21"/>
  <c r="AD21"/>
  <c r="P22"/>
  <c r="R22"/>
  <c r="AD22"/>
  <c r="P23"/>
  <c r="R23"/>
  <c r="AD23"/>
  <c r="P24"/>
  <c r="R24"/>
  <c r="AD24"/>
  <c r="P25"/>
  <c r="R25"/>
  <c r="AD25"/>
  <c r="P26"/>
  <c r="R26"/>
  <c r="AD26"/>
  <c r="P27"/>
  <c r="R27"/>
  <c r="AD27"/>
  <c r="P28"/>
  <c r="R28"/>
  <c r="AD28"/>
  <c r="P29"/>
  <c r="R29"/>
  <c r="AD29"/>
  <c r="P4"/>
  <c r="R4"/>
  <c r="AD4"/>
  <c r="AE36" i="5"/>
  <c r="AE37"/>
  <c r="AE38"/>
  <c r="AE39"/>
  <c r="AE35"/>
  <c r="B3" i="2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A4" i="5"/>
  <c r="A5" i="3"/>
  <c r="A5" i="5"/>
  <c r="A6" i="3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29" i="5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133" i="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5" i="7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4"/>
  <c r="A132" i="5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31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98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66"/>
  <c r="A36"/>
  <c r="A37"/>
  <c r="A38"/>
  <c r="A39"/>
  <c r="A35"/>
  <c r="U2" i="8"/>
  <c r="T8"/>
  <c r="T10"/>
  <c r="R31"/>
  <c r="AM31"/>
  <c r="CC31"/>
  <c r="R32"/>
  <c r="AM32"/>
  <c r="CC32"/>
  <c r="R33"/>
  <c r="AM33"/>
  <c r="CC33"/>
  <c r="R34"/>
  <c r="AM34"/>
  <c r="CC34"/>
  <c r="R35"/>
  <c r="AM35"/>
  <c r="CC35"/>
  <c r="R36"/>
  <c r="AM36"/>
  <c r="CC36"/>
  <c r="R37"/>
  <c r="AM37"/>
  <c r="CC37"/>
  <c r="R38"/>
  <c r="AM38"/>
  <c r="CC38"/>
  <c r="R39"/>
  <c r="AM39"/>
  <c r="CC39"/>
  <c r="R40"/>
  <c r="AM40"/>
  <c r="CC40"/>
  <c r="R41"/>
  <c r="AM41"/>
  <c r="CC41"/>
  <c r="R42"/>
  <c r="AM42"/>
  <c r="CC42"/>
  <c r="R43"/>
  <c r="AM43"/>
  <c r="CC43"/>
  <c r="R44"/>
  <c r="AM44"/>
  <c r="CC44"/>
  <c r="R45"/>
  <c r="AM45"/>
  <c r="CC45"/>
  <c r="R46"/>
  <c r="AM46"/>
  <c r="CC46"/>
  <c r="R47"/>
  <c r="AM47"/>
  <c r="CC47"/>
  <c r="R48"/>
  <c r="AM48"/>
  <c r="CC48"/>
  <c r="R49"/>
  <c r="AM49"/>
  <c r="CC49"/>
  <c r="R50"/>
  <c r="AM50"/>
  <c r="CC50"/>
  <c r="R51"/>
  <c r="AM51"/>
  <c r="CC51"/>
  <c r="R52"/>
  <c r="AM52"/>
  <c r="CC52"/>
  <c r="R53"/>
  <c r="AM53"/>
  <c r="CC53"/>
  <c r="R54"/>
  <c r="AM54"/>
  <c r="CC54"/>
  <c r="R55"/>
  <c r="AM55"/>
  <c r="CC55"/>
  <c r="R56"/>
  <c r="AM56"/>
  <c r="CC56"/>
  <c r="R57"/>
  <c r="AM57"/>
  <c r="CC57"/>
  <c r="R58"/>
  <c r="AM58"/>
  <c r="CC58"/>
  <c r="R59"/>
  <c r="AM59"/>
  <c r="CC59"/>
  <c r="R60"/>
  <c r="AM60"/>
  <c r="CC60"/>
  <c r="R61"/>
  <c r="AM61"/>
  <c r="CC61"/>
  <c r="R62"/>
  <c r="AM62"/>
  <c r="CC62"/>
  <c r="R63"/>
  <c r="AM63"/>
  <c r="CC63"/>
  <c r="R64"/>
  <c r="AM64"/>
  <c r="CC64"/>
  <c r="R65"/>
  <c r="AM65"/>
  <c r="CC65"/>
  <c r="R66"/>
  <c r="AM66"/>
  <c r="CC66"/>
  <c r="R67"/>
  <c r="AM67"/>
  <c r="CC67"/>
  <c r="CC68"/>
  <c r="CX72"/>
  <c r="S8"/>
  <c r="S10"/>
  <c r="Q31"/>
  <c r="AL31"/>
  <c r="CB31"/>
  <c r="Q32"/>
  <c r="AL32"/>
  <c r="CB32"/>
  <c r="Q33"/>
  <c r="AL33"/>
  <c r="CB33"/>
  <c r="Q34"/>
  <c r="AL34"/>
  <c r="CB34"/>
  <c r="Q35"/>
  <c r="AL35"/>
  <c r="CB35"/>
  <c r="Q36"/>
  <c r="AL36"/>
  <c r="CB36"/>
  <c r="Q37"/>
  <c r="AL37"/>
  <c r="CB37"/>
  <c r="Q38"/>
  <c r="AL38"/>
  <c r="CB38"/>
  <c r="Q39"/>
  <c r="AL39"/>
  <c r="CB39"/>
  <c r="Q40"/>
  <c r="AL40"/>
  <c r="CB40"/>
  <c r="Q41"/>
  <c r="AL41"/>
  <c r="CB41"/>
  <c r="Q42"/>
  <c r="AL42"/>
  <c r="CB42"/>
  <c r="Q43"/>
  <c r="AL43"/>
  <c r="CB43"/>
  <c r="Q44"/>
  <c r="AL44"/>
  <c r="CB44"/>
  <c r="Q45"/>
  <c r="AL45"/>
  <c r="CB45"/>
  <c r="Q46"/>
  <c r="AL46"/>
  <c r="CB46"/>
  <c r="Q47"/>
  <c r="AL47"/>
  <c r="CB47"/>
  <c r="Q48"/>
  <c r="AL48"/>
  <c r="CB48"/>
  <c r="Q49"/>
  <c r="AL49"/>
  <c r="CB49"/>
  <c r="Q50"/>
  <c r="AL50"/>
  <c r="CB50"/>
  <c r="Q51"/>
  <c r="AL51"/>
  <c r="CB51"/>
  <c r="Q52"/>
  <c r="AL52"/>
  <c r="CB52"/>
  <c r="Q53"/>
  <c r="AL53"/>
  <c r="CB53"/>
  <c r="Q54"/>
  <c r="AL54"/>
  <c r="CB54"/>
  <c r="Q55"/>
  <c r="AL55"/>
  <c r="CB55"/>
  <c r="Q56"/>
  <c r="AL56"/>
  <c r="CB56"/>
  <c r="Q57"/>
  <c r="AL57"/>
  <c r="CB57"/>
  <c r="Q58"/>
  <c r="AL58"/>
  <c r="CB58"/>
  <c r="Q59"/>
  <c r="AL59"/>
  <c r="CB59"/>
  <c r="Q60"/>
  <c r="AL60"/>
  <c r="CB60"/>
  <c r="Q61"/>
  <c r="AL61"/>
  <c r="CB61"/>
  <c r="Q62"/>
  <c r="AL62"/>
  <c r="CB62"/>
  <c r="Q63"/>
  <c r="AL63"/>
  <c r="CB63"/>
  <c r="Q64"/>
  <c r="AL64"/>
  <c r="CB64"/>
  <c r="Q65"/>
  <c r="AL65"/>
  <c r="CB65"/>
  <c r="Q66"/>
  <c r="AL66"/>
  <c r="CB66"/>
  <c r="Q67"/>
  <c r="AL67"/>
  <c r="CB67"/>
  <c r="CB68"/>
  <c r="CW72"/>
  <c r="R8"/>
  <c r="R10"/>
  <c r="P31"/>
  <c r="AK31"/>
  <c r="CA31"/>
  <c r="P32"/>
  <c r="AK32"/>
  <c r="CA32"/>
  <c r="P33"/>
  <c r="AK33"/>
  <c r="CA33"/>
  <c r="P34"/>
  <c r="AK34"/>
  <c r="CA34"/>
  <c r="P35"/>
  <c r="AK35"/>
  <c r="CA35"/>
  <c r="P36"/>
  <c r="AK36"/>
  <c r="CA36"/>
  <c r="P37"/>
  <c r="AK37"/>
  <c r="CA37"/>
  <c r="P38"/>
  <c r="AK38"/>
  <c r="CA38"/>
  <c r="P39"/>
  <c r="AK39"/>
  <c r="CA39"/>
  <c r="P40"/>
  <c r="AK40"/>
  <c r="CA40"/>
  <c r="P41"/>
  <c r="AK41"/>
  <c r="CA41"/>
  <c r="P42"/>
  <c r="AK42"/>
  <c r="CA42"/>
  <c r="P43"/>
  <c r="AK43"/>
  <c r="CA43"/>
  <c r="P44"/>
  <c r="AK44"/>
  <c r="CA44"/>
  <c r="P45"/>
  <c r="AK45"/>
  <c r="CA45"/>
  <c r="P46"/>
  <c r="AK46"/>
  <c r="CA46"/>
  <c r="P47"/>
  <c r="AK47"/>
  <c r="CA47"/>
  <c r="P48"/>
  <c r="AK48"/>
  <c r="CA48"/>
  <c r="P49"/>
  <c r="AK49"/>
  <c r="CA49"/>
  <c r="P50"/>
  <c r="AK50"/>
  <c r="CA50"/>
  <c r="P51"/>
  <c r="AK51"/>
  <c r="CA51"/>
  <c r="P52"/>
  <c r="AK52"/>
  <c r="CA52"/>
  <c r="P53"/>
  <c r="AK53"/>
  <c r="CA53"/>
  <c r="P54"/>
  <c r="AK54"/>
  <c r="CA54"/>
  <c r="P55"/>
  <c r="AK55"/>
  <c r="CA55"/>
  <c r="P56"/>
  <c r="AK56"/>
  <c r="CA56"/>
  <c r="P57"/>
  <c r="AK57"/>
  <c r="CA57"/>
  <c r="P58"/>
  <c r="AK58"/>
  <c r="CA58"/>
  <c r="P59"/>
  <c r="AK59"/>
  <c r="CA59"/>
  <c r="P60"/>
  <c r="AK60"/>
  <c r="CA60"/>
  <c r="P61"/>
  <c r="AK61"/>
  <c r="CA61"/>
  <c r="P62"/>
  <c r="AK62"/>
  <c r="CA62"/>
  <c r="P63"/>
  <c r="AK63"/>
  <c r="CA63"/>
  <c r="P64"/>
  <c r="AK64"/>
  <c r="CA64"/>
  <c r="P65"/>
  <c r="AK65"/>
  <c r="CA65"/>
  <c r="P66"/>
  <c r="AK66"/>
  <c r="CA66"/>
  <c r="P67"/>
  <c r="AK67"/>
  <c r="CA67"/>
  <c r="CA68"/>
  <c r="CV72"/>
  <c r="P200" i="5"/>
  <c r="P201"/>
  <c r="AR137"/>
  <c r="AR136"/>
  <c r="AR265"/>
  <c r="AR266"/>
  <c r="K3" i="8" a="1"/>
  <c r="L3"/>
  <c r="M3"/>
  <c r="N3"/>
  <c r="O3"/>
  <c r="P3"/>
  <c r="K3"/>
  <c r="Q3"/>
  <c r="R3"/>
  <c r="S3"/>
  <c r="T3"/>
  <c r="U3"/>
  <c r="U4"/>
  <c r="AJ3"/>
  <c r="AI3"/>
  <c r="AH3"/>
  <c r="AG3"/>
  <c r="AF3"/>
  <c r="AE3"/>
  <c r="AD3"/>
  <c r="AC3"/>
  <c r="AB3"/>
  <c r="AA3"/>
  <c r="Z3"/>
  <c r="Y3"/>
  <c r="X3"/>
  <c r="W3"/>
  <c r="V3"/>
  <c r="V4"/>
  <c r="J11" i="5"/>
  <c r="J170"/>
  <c r="J138"/>
  <c r="J267"/>
  <c r="J42"/>
  <c r="J73"/>
  <c r="J202"/>
  <c r="J105"/>
  <c r="B10"/>
  <c r="B41"/>
  <c r="B72"/>
  <c r="W24" i="9"/>
  <c r="AA24"/>
  <c r="B24"/>
  <c r="F24"/>
  <c r="B104" i="5"/>
  <c r="B169"/>
  <c r="B137"/>
  <c r="B266"/>
  <c r="B9"/>
  <c r="B40"/>
  <c r="B71"/>
  <c r="W23" i="9"/>
  <c r="AA23"/>
  <c r="B23"/>
  <c r="F23"/>
  <c r="B103" i="5"/>
  <c r="B168"/>
  <c r="B136"/>
  <c r="B265"/>
  <c r="AO266"/>
  <c r="AO265"/>
  <c r="AO136"/>
  <c r="AO137"/>
  <c r="B200"/>
  <c r="B201"/>
  <c r="O11"/>
  <c r="O42"/>
  <c r="O73"/>
  <c r="I116" i="9"/>
  <c r="J116"/>
  <c r="M116"/>
  <c r="L12" i="5"/>
  <c r="L43"/>
  <c r="L74"/>
  <c r="AE56" i="9"/>
  <c r="AH56"/>
  <c r="O12" i="5"/>
  <c r="O43"/>
  <c r="O74"/>
  <c r="I117" i="9"/>
  <c r="J117"/>
  <c r="M117"/>
  <c r="L13" i="5"/>
  <c r="L44"/>
  <c r="L75"/>
  <c r="AE57" i="9"/>
  <c r="AH57"/>
  <c r="O13" i="5"/>
  <c r="O44"/>
  <c r="O75"/>
  <c r="I118" i="9"/>
  <c r="J118"/>
  <c r="M118"/>
  <c r="L14" i="5"/>
  <c r="L45"/>
  <c r="L76"/>
  <c r="AE58" i="9"/>
  <c r="AH58"/>
  <c r="O14" i="5"/>
  <c r="O45"/>
  <c r="O76"/>
  <c r="I119" i="9"/>
  <c r="J119"/>
  <c r="M119"/>
  <c r="L15" i="5"/>
  <c r="L46"/>
  <c r="L77"/>
  <c r="AE59" i="9"/>
  <c r="AH59"/>
  <c r="O15" i="5"/>
  <c r="O46"/>
  <c r="O77"/>
  <c r="I120" i="9"/>
  <c r="J120"/>
  <c r="M120"/>
  <c r="V5" i="8"/>
  <c r="V6"/>
  <c r="V7"/>
  <c r="V8"/>
  <c r="V10"/>
  <c r="T31"/>
  <c r="AO31"/>
  <c r="CE31"/>
  <c r="T32"/>
  <c r="AO32"/>
  <c r="CE32"/>
  <c r="T33"/>
  <c r="AO33"/>
  <c r="CE33"/>
  <c r="T34"/>
  <c r="AO34"/>
  <c r="CE34"/>
  <c r="T35"/>
  <c r="AO35"/>
  <c r="CE35"/>
  <c r="T36"/>
  <c r="AO36"/>
  <c r="CE36"/>
  <c r="T37"/>
  <c r="AO37"/>
  <c r="CE37"/>
  <c r="T38"/>
  <c r="AO38"/>
  <c r="CE38"/>
  <c r="T39"/>
  <c r="AO39"/>
  <c r="CE39"/>
  <c r="T40"/>
  <c r="AO40"/>
  <c r="CE40"/>
  <c r="T41"/>
  <c r="AO41"/>
  <c r="CE41"/>
  <c r="T42"/>
  <c r="AO42"/>
  <c r="CE42"/>
  <c r="T43"/>
  <c r="AO43"/>
  <c r="CE43"/>
  <c r="T44"/>
  <c r="AO44"/>
  <c r="CE44"/>
  <c r="T45"/>
  <c r="AO45"/>
  <c r="CE45"/>
  <c r="T46"/>
  <c r="AO46"/>
  <c r="CE46"/>
  <c r="T47"/>
  <c r="AO47"/>
  <c r="CE47"/>
  <c r="T48"/>
  <c r="AO48"/>
  <c r="CE48"/>
  <c r="T49"/>
  <c r="AO49"/>
  <c r="CE49"/>
  <c r="T50"/>
  <c r="AO50"/>
  <c r="CE50"/>
  <c r="T51"/>
  <c r="AO51"/>
  <c r="CE51"/>
  <c r="T52"/>
  <c r="AO52"/>
  <c r="CE52"/>
  <c r="T53"/>
  <c r="AO53"/>
  <c r="CE53"/>
  <c r="T54"/>
  <c r="AO54"/>
  <c r="CE54"/>
  <c r="T55"/>
  <c r="AO55"/>
  <c r="CE55"/>
  <c r="T56"/>
  <c r="AO56"/>
  <c r="CE56"/>
  <c r="T57"/>
  <c r="AO57"/>
  <c r="CE57"/>
  <c r="T58"/>
  <c r="AO58"/>
  <c r="CE58"/>
  <c r="T59"/>
  <c r="AO59"/>
  <c r="CE59"/>
  <c r="T60"/>
  <c r="AO60"/>
  <c r="CE60"/>
  <c r="T61"/>
  <c r="AO61"/>
  <c r="CE61"/>
  <c r="T62"/>
  <c r="AO62"/>
  <c r="CE62"/>
  <c r="T63"/>
  <c r="AO63"/>
  <c r="CE63"/>
  <c r="T64"/>
  <c r="AO64"/>
  <c r="CE64"/>
  <c r="T65"/>
  <c r="AO65"/>
  <c r="CE65"/>
  <c r="T66"/>
  <c r="AO66"/>
  <c r="CE66"/>
  <c r="T67"/>
  <c r="AO67"/>
  <c r="CE67"/>
  <c r="CE68"/>
  <c r="CZ72"/>
  <c r="C89" i="9"/>
  <c r="DU42" i="8"/>
  <c r="DV42"/>
  <c r="D89" i="9"/>
  <c r="DS42" i="8"/>
  <c r="DT42"/>
  <c r="DW42"/>
  <c r="DY42"/>
  <c r="DZ42"/>
  <c r="EA42"/>
  <c r="EB42"/>
  <c r="EC42"/>
  <c r="E89" i="9"/>
  <c r="F89"/>
  <c r="L16" i="5"/>
  <c r="L47"/>
  <c r="L78"/>
  <c r="AE60" i="9"/>
  <c r="AH60"/>
  <c r="O16" i="5"/>
  <c r="O47"/>
  <c r="O78"/>
  <c r="I121" i="9"/>
  <c r="J121"/>
  <c r="M121"/>
  <c r="W5" i="8"/>
  <c r="W6"/>
  <c r="W7"/>
  <c r="W8"/>
  <c r="W10"/>
  <c r="U31"/>
  <c r="AP31"/>
  <c r="CF31"/>
  <c r="U32"/>
  <c r="AP32"/>
  <c r="CF32"/>
  <c r="U33"/>
  <c r="AP33"/>
  <c r="CF33"/>
  <c r="U34"/>
  <c r="AP34"/>
  <c r="CF34"/>
  <c r="U35"/>
  <c r="AP35"/>
  <c r="CF35"/>
  <c r="U36"/>
  <c r="AP36"/>
  <c r="CF36"/>
  <c r="U37"/>
  <c r="AP37"/>
  <c r="CF37"/>
  <c r="U38"/>
  <c r="AP38"/>
  <c r="CF38"/>
  <c r="U39"/>
  <c r="AP39"/>
  <c r="CF39"/>
  <c r="U40"/>
  <c r="AP40"/>
  <c r="CF40"/>
  <c r="U41"/>
  <c r="AP41"/>
  <c r="CF41"/>
  <c r="U42"/>
  <c r="AP42"/>
  <c r="CF42"/>
  <c r="U43"/>
  <c r="AP43"/>
  <c r="CF43"/>
  <c r="U44"/>
  <c r="AP44"/>
  <c r="CF44"/>
  <c r="U45"/>
  <c r="AP45"/>
  <c r="CF45"/>
  <c r="U46"/>
  <c r="AP46"/>
  <c r="CF46"/>
  <c r="U47"/>
  <c r="AP47"/>
  <c r="CF47"/>
  <c r="U48"/>
  <c r="AP48"/>
  <c r="CF48"/>
  <c r="U49"/>
  <c r="AP49"/>
  <c r="CF49"/>
  <c r="U50"/>
  <c r="AP50"/>
  <c r="CF50"/>
  <c r="U51"/>
  <c r="AP51"/>
  <c r="CF51"/>
  <c r="U52"/>
  <c r="AP52"/>
  <c r="CF52"/>
  <c r="U53"/>
  <c r="AP53"/>
  <c r="CF53"/>
  <c r="U54"/>
  <c r="AP54"/>
  <c r="CF54"/>
  <c r="U55"/>
  <c r="AP55"/>
  <c r="CF55"/>
  <c r="U56"/>
  <c r="AP56"/>
  <c r="CF56"/>
  <c r="U57"/>
  <c r="AP57"/>
  <c r="CF57"/>
  <c r="U58"/>
  <c r="AP58"/>
  <c r="CF58"/>
  <c r="U59"/>
  <c r="AP59"/>
  <c r="CF59"/>
  <c r="U60"/>
  <c r="AP60"/>
  <c r="CF60"/>
  <c r="U61"/>
  <c r="AP61"/>
  <c r="CF61"/>
  <c r="U62"/>
  <c r="AP62"/>
  <c r="CF62"/>
  <c r="U63"/>
  <c r="AP63"/>
  <c r="CF63"/>
  <c r="U64"/>
  <c r="AP64"/>
  <c r="CF64"/>
  <c r="U65"/>
  <c r="AP65"/>
  <c r="CF65"/>
  <c r="U66"/>
  <c r="AP66"/>
  <c r="CF66"/>
  <c r="U67"/>
  <c r="AP67"/>
  <c r="CF67"/>
  <c r="CF68"/>
  <c r="DA72"/>
  <c r="C90" i="9"/>
  <c r="DU43" i="8"/>
  <c r="DV43"/>
  <c r="D90" i="9"/>
  <c r="DS43" i="8"/>
  <c r="DT43"/>
  <c r="DW43"/>
  <c r="DY43"/>
  <c r="DZ43"/>
  <c r="EA43"/>
  <c r="EB43"/>
  <c r="EC43"/>
  <c r="E90" i="9"/>
  <c r="F90"/>
  <c r="L17" i="5"/>
  <c r="L48"/>
  <c r="L79"/>
  <c r="AE61" i="9"/>
  <c r="AH61"/>
  <c r="O17" i="5"/>
  <c r="O48"/>
  <c r="O79"/>
  <c r="I122" i="9"/>
  <c r="J122"/>
  <c r="M122"/>
  <c r="X5" i="8"/>
  <c r="X6"/>
  <c r="X7"/>
  <c r="X8"/>
  <c r="X10"/>
  <c r="V31"/>
  <c r="AQ31"/>
  <c r="CG31"/>
  <c r="V32"/>
  <c r="AQ32"/>
  <c r="CG32"/>
  <c r="V33"/>
  <c r="AQ33"/>
  <c r="CG33"/>
  <c r="V34"/>
  <c r="AQ34"/>
  <c r="CG34"/>
  <c r="V35"/>
  <c r="AQ35"/>
  <c r="CG35"/>
  <c r="V36"/>
  <c r="AQ36"/>
  <c r="CG36"/>
  <c r="V37"/>
  <c r="AQ37"/>
  <c r="CG37"/>
  <c r="V38"/>
  <c r="AQ38"/>
  <c r="CG38"/>
  <c r="V39"/>
  <c r="AQ39"/>
  <c r="CG39"/>
  <c r="V40"/>
  <c r="AQ40"/>
  <c r="CG40"/>
  <c r="V41"/>
  <c r="AQ41"/>
  <c r="CG41"/>
  <c r="V42"/>
  <c r="AQ42"/>
  <c r="CG42"/>
  <c r="V43"/>
  <c r="AQ43"/>
  <c r="CG43"/>
  <c r="V44"/>
  <c r="AQ44"/>
  <c r="CG44"/>
  <c r="V45"/>
  <c r="AQ45"/>
  <c r="CG45"/>
  <c r="V46"/>
  <c r="AQ46"/>
  <c r="CG46"/>
  <c r="V47"/>
  <c r="AQ47"/>
  <c r="CG47"/>
  <c r="V48"/>
  <c r="AQ48"/>
  <c r="CG48"/>
  <c r="V49"/>
  <c r="AQ49"/>
  <c r="CG49"/>
  <c r="V50"/>
  <c r="AQ50"/>
  <c r="CG50"/>
  <c r="V51"/>
  <c r="AQ51"/>
  <c r="CG51"/>
  <c r="V52"/>
  <c r="AQ52"/>
  <c r="CG52"/>
  <c r="V53"/>
  <c r="AQ53"/>
  <c r="CG53"/>
  <c r="V54"/>
  <c r="AQ54"/>
  <c r="CG54"/>
  <c r="V55"/>
  <c r="AQ55"/>
  <c r="CG55"/>
  <c r="V56"/>
  <c r="AQ56"/>
  <c r="CG56"/>
  <c r="V57"/>
  <c r="AQ57"/>
  <c r="CG57"/>
  <c r="V58"/>
  <c r="AQ58"/>
  <c r="CG58"/>
  <c r="V59"/>
  <c r="AQ59"/>
  <c r="CG59"/>
  <c r="V60"/>
  <c r="AQ60"/>
  <c r="CG60"/>
  <c r="V61"/>
  <c r="AQ61"/>
  <c r="CG61"/>
  <c r="V62"/>
  <c r="AQ62"/>
  <c r="CG62"/>
  <c r="V63"/>
  <c r="AQ63"/>
  <c r="CG63"/>
  <c r="V64"/>
  <c r="AQ64"/>
  <c r="CG64"/>
  <c r="V65"/>
  <c r="AQ65"/>
  <c r="CG65"/>
  <c r="V66"/>
  <c r="AQ66"/>
  <c r="CG66"/>
  <c r="V67"/>
  <c r="AQ67"/>
  <c r="CG67"/>
  <c r="CG68"/>
  <c r="DB72"/>
  <c r="C91" i="9"/>
  <c r="DU44" i="8"/>
  <c r="DV44"/>
  <c r="D91" i="9"/>
  <c r="DS44" i="8"/>
  <c r="DT44"/>
  <c r="DW44"/>
  <c r="DY44"/>
  <c r="DZ44"/>
  <c r="EA44"/>
  <c r="EB44"/>
  <c r="EC44"/>
  <c r="E91" i="9"/>
  <c r="F91"/>
  <c r="L18" i="5"/>
  <c r="L49"/>
  <c r="L80"/>
  <c r="AE62" i="9"/>
  <c r="AH62"/>
  <c r="O18" i="5"/>
  <c r="O49"/>
  <c r="O80"/>
  <c r="I123" i="9"/>
  <c r="J123"/>
  <c r="M123"/>
  <c r="Y5" i="8"/>
  <c r="Y6"/>
  <c r="Y7"/>
  <c r="Y8"/>
  <c r="Y10"/>
  <c r="W31"/>
  <c r="AR31"/>
  <c r="CH31"/>
  <c r="W32"/>
  <c r="AR32"/>
  <c r="CH32"/>
  <c r="W33"/>
  <c r="AR33"/>
  <c r="CH33"/>
  <c r="W34"/>
  <c r="AR34"/>
  <c r="CH34"/>
  <c r="W35"/>
  <c r="AR35"/>
  <c r="CH35"/>
  <c r="W36"/>
  <c r="AR36"/>
  <c r="CH36"/>
  <c r="W37"/>
  <c r="AR37"/>
  <c r="CH37"/>
  <c r="W38"/>
  <c r="AR38"/>
  <c r="CH38"/>
  <c r="W39"/>
  <c r="AR39"/>
  <c r="CH39"/>
  <c r="W40"/>
  <c r="AR40"/>
  <c r="CH40"/>
  <c r="W41"/>
  <c r="AR41"/>
  <c r="CH41"/>
  <c r="W42"/>
  <c r="AR42"/>
  <c r="CH42"/>
  <c r="W43"/>
  <c r="AR43"/>
  <c r="CH43"/>
  <c r="W44"/>
  <c r="AR44"/>
  <c r="CH44"/>
  <c r="W45"/>
  <c r="AR45"/>
  <c r="CH45"/>
  <c r="W46"/>
  <c r="AR46"/>
  <c r="CH46"/>
  <c r="W47"/>
  <c r="AR47"/>
  <c r="CH47"/>
  <c r="W48"/>
  <c r="AR48"/>
  <c r="CH48"/>
  <c r="W49"/>
  <c r="AR49"/>
  <c r="CH49"/>
  <c r="W50"/>
  <c r="AR50"/>
  <c r="CH50"/>
  <c r="W51"/>
  <c r="AR51"/>
  <c r="CH51"/>
  <c r="W52"/>
  <c r="AR52"/>
  <c r="CH52"/>
  <c r="W53"/>
  <c r="AR53"/>
  <c r="CH53"/>
  <c r="W54"/>
  <c r="AR54"/>
  <c r="CH54"/>
  <c r="W55"/>
  <c r="AR55"/>
  <c r="CH55"/>
  <c r="W56"/>
  <c r="AR56"/>
  <c r="CH56"/>
  <c r="W57"/>
  <c r="AR57"/>
  <c r="CH57"/>
  <c r="W58"/>
  <c r="AR58"/>
  <c r="CH58"/>
  <c r="W59"/>
  <c r="AR59"/>
  <c r="CH59"/>
  <c r="W60"/>
  <c r="AR60"/>
  <c r="CH60"/>
  <c r="W61"/>
  <c r="AR61"/>
  <c r="CH61"/>
  <c r="W62"/>
  <c r="AR62"/>
  <c r="CH62"/>
  <c r="W63"/>
  <c r="AR63"/>
  <c r="CH63"/>
  <c r="W64"/>
  <c r="AR64"/>
  <c r="CH64"/>
  <c r="W65"/>
  <c r="AR65"/>
  <c r="CH65"/>
  <c r="W66"/>
  <c r="AR66"/>
  <c r="CH66"/>
  <c r="W67"/>
  <c r="AR67"/>
  <c r="CH67"/>
  <c r="CH68"/>
  <c r="DC72"/>
  <c r="C92" i="9"/>
  <c r="DU45" i="8"/>
  <c r="DV45"/>
  <c r="D92" i="9"/>
  <c r="DS45" i="8"/>
  <c r="DT45"/>
  <c r="DW45"/>
  <c r="DY45"/>
  <c r="DZ45"/>
  <c r="EA45"/>
  <c r="EB45"/>
  <c r="EC45"/>
  <c r="E92" i="9"/>
  <c r="F92"/>
  <c r="L19" i="5"/>
  <c r="L50"/>
  <c r="L81"/>
  <c r="AE63" i="9"/>
  <c r="AH63"/>
  <c r="O19" i="5"/>
  <c r="O50"/>
  <c r="O81"/>
  <c r="I124" i="9"/>
  <c r="J124"/>
  <c r="M124"/>
  <c r="Z5" i="8"/>
  <c r="Z6"/>
  <c r="Z7"/>
  <c r="Z8"/>
  <c r="Z10"/>
  <c r="X31"/>
  <c r="AS31"/>
  <c r="CI31"/>
  <c r="X32"/>
  <c r="AS32"/>
  <c r="CI32"/>
  <c r="X33"/>
  <c r="AS33"/>
  <c r="CI33"/>
  <c r="X34"/>
  <c r="AS34"/>
  <c r="CI34"/>
  <c r="X35"/>
  <c r="AS35"/>
  <c r="CI35"/>
  <c r="X36"/>
  <c r="AS36"/>
  <c r="CI36"/>
  <c r="X37"/>
  <c r="AS37"/>
  <c r="CI37"/>
  <c r="X38"/>
  <c r="AS38"/>
  <c r="CI38"/>
  <c r="X39"/>
  <c r="AS39"/>
  <c r="CI39"/>
  <c r="X40"/>
  <c r="AS40"/>
  <c r="CI40"/>
  <c r="X41"/>
  <c r="AS41"/>
  <c r="CI41"/>
  <c r="X42"/>
  <c r="AS42"/>
  <c r="CI42"/>
  <c r="X43"/>
  <c r="AS43"/>
  <c r="CI43"/>
  <c r="X44"/>
  <c r="AS44"/>
  <c r="CI44"/>
  <c r="X45"/>
  <c r="AS45"/>
  <c r="CI45"/>
  <c r="X46"/>
  <c r="AS46"/>
  <c r="CI46"/>
  <c r="X47"/>
  <c r="AS47"/>
  <c r="CI47"/>
  <c r="X48"/>
  <c r="AS48"/>
  <c r="CI48"/>
  <c r="X49"/>
  <c r="AS49"/>
  <c r="CI49"/>
  <c r="X50"/>
  <c r="AS50"/>
  <c r="CI50"/>
  <c r="X51"/>
  <c r="AS51"/>
  <c r="CI51"/>
  <c r="X52"/>
  <c r="AS52"/>
  <c r="CI52"/>
  <c r="X53"/>
  <c r="AS53"/>
  <c r="CI53"/>
  <c r="X54"/>
  <c r="AS54"/>
  <c r="CI54"/>
  <c r="X55"/>
  <c r="AS55"/>
  <c r="CI55"/>
  <c r="X56"/>
  <c r="AS56"/>
  <c r="CI56"/>
  <c r="X57"/>
  <c r="AS57"/>
  <c r="CI57"/>
  <c r="X58"/>
  <c r="AS58"/>
  <c r="CI58"/>
  <c r="X59"/>
  <c r="AS59"/>
  <c r="CI59"/>
  <c r="X60"/>
  <c r="AS60"/>
  <c r="CI60"/>
  <c r="X61"/>
  <c r="AS61"/>
  <c r="CI61"/>
  <c r="X62"/>
  <c r="AS62"/>
  <c r="CI62"/>
  <c r="X63"/>
  <c r="AS63"/>
  <c r="CI63"/>
  <c r="X64"/>
  <c r="AS64"/>
  <c r="CI64"/>
  <c r="X65"/>
  <c r="AS65"/>
  <c r="CI65"/>
  <c r="X66"/>
  <c r="AS66"/>
  <c r="CI66"/>
  <c r="X67"/>
  <c r="AS67"/>
  <c r="CI67"/>
  <c r="CI68"/>
  <c r="DD72"/>
  <c r="C93" i="9"/>
  <c r="DU46" i="8"/>
  <c r="DV46"/>
  <c r="D93" i="9"/>
  <c r="DS46" i="8"/>
  <c r="DT46"/>
  <c r="DW46"/>
  <c r="DY46"/>
  <c r="DZ46"/>
  <c r="EA46"/>
  <c r="EB46"/>
  <c r="EC46"/>
  <c r="E93" i="9"/>
  <c r="F93"/>
  <c r="L20" i="5"/>
  <c r="L51"/>
  <c r="L82"/>
  <c r="AE64" i="9"/>
  <c r="AH64"/>
  <c r="O20" i="5"/>
  <c r="O51"/>
  <c r="O82"/>
  <c r="I125" i="9"/>
  <c r="J125"/>
  <c r="M125"/>
  <c r="AA5" i="8"/>
  <c r="AA6"/>
  <c r="AA7"/>
  <c r="AA8"/>
  <c r="AA10"/>
  <c r="Y31"/>
  <c r="AT31"/>
  <c r="CJ31"/>
  <c r="Y32"/>
  <c r="AT32"/>
  <c r="CJ32"/>
  <c r="Y33"/>
  <c r="AT33"/>
  <c r="CJ33"/>
  <c r="Y34"/>
  <c r="AT34"/>
  <c r="CJ34"/>
  <c r="Y35"/>
  <c r="AT35"/>
  <c r="CJ35"/>
  <c r="Y36"/>
  <c r="AT36"/>
  <c r="CJ36"/>
  <c r="Y37"/>
  <c r="AT37"/>
  <c r="CJ37"/>
  <c r="Y38"/>
  <c r="AT38"/>
  <c r="CJ38"/>
  <c r="Y39"/>
  <c r="AT39"/>
  <c r="CJ39"/>
  <c r="Y40"/>
  <c r="AT40"/>
  <c r="CJ40"/>
  <c r="Y41"/>
  <c r="AT41"/>
  <c r="CJ41"/>
  <c r="Y42"/>
  <c r="AT42"/>
  <c r="CJ42"/>
  <c r="Y43"/>
  <c r="AT43"/>
  <c r="CJ43"/>
  <c r="Y44"/>
  <c r="AT44"/>
  <c r="CJ44"/>
  <c r="Y45"/>
  <c r="AT45"/>
  <c r="CJ45"/>
  <c r="Y46"/>
  <c r="AT46"/>
  <c r="CJ46"/>
  <c r="Y47"/>
  <c r="AT47"/>
  <c r="CJ47"/>
  <c r="Y48"/>
  <c r="AT48"/>
  <c r="CJ48"/>
  <c r="Y49"/>
  <c r="AT49"/>
  <c r="CJ49"/>
  <c r="Y50"/>
  <c r="AT50"/>
  <c r="CJ50"/>
  <c r="Y51"/>
  <c r="AT51"/>
  <c r="CJ51"/>
  <c r="Y52"/>
  <c r="AT52"/>
  <c r="CJ52"/>
  <c r="Y53"/>
  <c r="AT53"/>
  <c r="CJ53"/>
  <c r="Y54"/>
  <c r="AT54"/>
  <c r="CJ54"/>
  <c r="Y55"/>
  <c r="AT55"/>
  <c r="CJ55"/>
  <c r="Y56"/>
  <c r="AT56"/>
  <c r="CJ56"/>
  <c r="Y57"/>
  <c r="AT57"/>
  <c r="CJ57"/>
  <c r="Y58"/>
  <c r="AT58"/>
  <c r="CJ58"/>
  <c r="Y59"/>
  <c r="AT59"/>
  <c r="CJ59"/>
  <c r="Y60"/>
  <c r="AT60"/>
  <c r="CJ60"/>
  <c r="Y61"/>
  <c r="AT61"/>
  <c r="CJ61"/>
  <c r="Y62"/>
  <c r="AT62"/>
  <c r="CJ62"/>
  <c r="Y63"/>
  <c r="AT63"/>
  <c r="CJ63"/>
  <c r="Y64"/>
  <c r="AT64"/>
  <c r="CJ64"/>
  <c r="Y65"/>
  <c r="AT65"/>
  <c r="CJ65"/>
  <c r="Y66"/>
  <c r="AT66"/>
  <c r="CJ66"/>
  <c r="Y67"/>
  <c r="AT67"/>
  <c r="CJ67"/>
  <c r="CJ68"/>
  <c r="DE72"/>
  <c r="C94" i="9"/>
  <c r="DU47" i="8"/>
  <c r="DV47"/>
  <c r="D94" i="9"/>
  <c r="DS47" i="8"/>
  <c r="DT47"/>
  <c r="DW47"/>
  <c r="DY47"/>
  <c r="DZ47"/>
  <c r="EA47"/>
  <c r="EB47"/>
  <c r="EC47"/>
  <c r="E94" i="9"/>
  <c r="F94"/>
  <c r="L21" i="5"/>
  <c r="L52"/>
  <c r="L83"/>
  <c r="AE65" i="9"/>
  <c r="AH65"/>
  <c r="O21" i="5"/>
  <c r="O52"/>
  <c r="O83"/>
  <c r="I126" i="9"/>
  <c r="J126"/>
  <c r="M126"/>
  <c r="AB5" i="8"/>
  <c r="AB6"/>
  <c r="AB7"/>
  <c r="AB8"/>
  <c r="AB10"/>
  <c r="Z31"/>
  <c r="AU31"/>
  <c r="CK31"/>
  <c r="Z32"/>
  <c r="AU32"/>
  <c r="CK32"/>
  <c r="Z33"/>
  <c r="AU33"/>
  <c r="CK33"/>
  <c r="Z34"/>
  <c r="AU34"/>
  <c r="CK34"/>
  <c r="Z35"/>
  <c r="AU35"/>
  <c r="CK35"/>
  <c r="Z36"/>
  <c r="AU36"/>
  <c r="CK36"/>
  <c r="Z37"/>
  <c r="AU37"/>
  <c r="CK37"/>
  <c r="Z38"/>
  <c r="AU38"/>
  <c r="CK38"/>
  <c r="Z39"/>
  <c r="AU39"/>
  <c r="CK39"/>
  <c r="Z40"/>
  <c r="AU40"/>
  <c r="CK40"/>
  <c r="Z41"/>
  <c r="AU41"/>
  <c r="CK41"/>
  <c r="Z42"/>
  <c r="AU42"/>
  <c r="CK42"/>
  <c r="Z43"/>
  <c r="AU43"/>
  <c r="CK43"/>
  <c r="Z44"/>
  <c r="AU44"/>
  <c r="CK44"/>
  <c r="Z45"/>
  <c r="AU45"/>
  <c r="CK45"/>
  <c r="Z46"/>
  <c r="AU46"/>
  <c r="CK46"/>
  <c r="Z47"/>
  <c r="AU47"/>
  <c r="CK47"/>
  <c r="Z48"/>
  <c r="AU48"/>
  <c r="CK48"/>
  <c r="Z49"/>
  <c r="AU49"/>
  <c r="CK49"/>
  <c r="Z50"/>
  <c r="AU50"/>
  <c r="CK50"/>
  <c r="Z51"/>
  <c r="AU51"/>
  <c r="CK51"/>
  <c r="Z52"/>
  <c r="AU52"/>
  <c r="CK52"/>
  <c r="Z53"/>
  <c r="AU53"/>
  <c r="CK53"/>
  <c r="Z54"/>
  <c r="AU54"/>
  <c r="CK54"/>
  <c r="Z55"/>
  <c r="AU55"/>
  <c r="CK55"/>
  <c r="Z56"/>
  <c r="AU56"/>
  <c r="CK56"/>
  <c r="Z57"/>
  <c r="AU57"/>
  <c r="CK57"/>
  <c r="Z58"/>
  <c r="AU58"/>
  <c r="CK58"/>
  <c r="Z59"/>
  <c r="AU59"/>
  <c r="CK59"/>
  <c r="Z60"/>
  <c r="AU60"/>
  <c r="CK60"/>
  <c r="Z61"/>
  <c r="AU61"/>
  <c r="CK61"/>
  <c r="Z62"/>
  <c r="AU62"/>
  <c r="CK62"/>
  <c r="Z63"/>
  <c r="AU63"/>
  <c r="CK63"/>
  <c r="Z64"/>
  <c r="AU64"/>
  <c r="CK64"/>
  <c r="Z65"/>
  <c r="AU65"/>
  <c r="CK65"/>
  <c r="Z66"/>
  <c r="AU66"/>
  <c r="CK66"/>
  <c r="Z67"/>
  <c r="AU67"/>
  <c r="CK67"/>
  <c r="CK68"/>
  <c r="DF72"/>
  <c r="C95" i="9"/>
  <c r="DU48" i="8"/>
  <c r="DV48"/>
  <c r="D95" i="9"/>
  <c r="DS48" i="8"/>
  <c r="DT48"/>
  <c r="DW48"/>
  <c r="DY48"/>
  <c r="DZ48"/>
  <c r="EA48"/>
  <c r="EB48"/>
  <c r="EC48"/>
  <c r="E95" i="9"/>
  <c r="F95"/>
  <c r="L22" i="5"/>
  <c r="L53"/>
  <c r="L84"/>
  <c r="AE66" i="9"/>
  <c r="AH66"/>
  <c r="O22" i="5"/>
  <c r="O53"/>
  <c r="O84"/>
  <c r="I127" i="9"/>
  <c r="J127"/>
  <c r="M127"/>
  <c r="AC5" i="8"/>
  <c r="AC6"/>
  <c r="AC7"/>
  <c r="AC8"/>
  <c r="AC10"/>
  <c r="AA31"/>
  <c r="AV31"/>
  <c r="CL31"/>
  <c r="AA32"/>
  <c r="AV32"/>
  <c r="CL32"/>
  <c r="AA33"/>
  <c r="AV33"/>
  <c r="CL33"/>
  <c r="AA34"/>
  <c r="AV34"/>
  <c r="CL34"/>
  <c r="AA35"/>
  <c r="AV35"/>
  <c r="CL35"/>
  <c r="AA36"/>
  <c r="AV36"/>
  <c r="CL36"/>
  <c r="AA37"/>
  <c r="AV37"/>
  <c r="CL37"/>
  <c r="AA38"/>
  <c r="AV38"/>
  <c r="CL38"/>
  <c r="AA39"/>
  <c r="AV39"/>
  <c r="CL39"/>
  <c r="AA40"/>
  <c r="AV40"/>
  <c r="CL40"/>
  <c r="AA41"/>
  <c r="AV41"/>
  <c r="CL41"/>
  <c r="AA42"/>
  <c r="AV42"/>
  <c r="CL42"/>
  <c r="AA43"/>
  <c r="AV43"/>
  <c r="CL43"/>
  <c r="AA44"/>
  <c r="AV44"/>
  <c r="CL44"/>
  <c r="AA45"/>
  <c r="AV45"/>
  <c r="CL45"/>
  <c r="AA46"/>
  <c r="AV46"/>
  <c r="CL46"/>
  <c r="AA47"/>
  <c r="AV47"/>
  <c r="CL47"/>
  <c r="AA48"/>
  <c r="AV48"/>
  <c r="CL48"/>
  <c r="AA49"/>
  <c r="AV49"/>
  <c r="CL49"/>
  <c r="AA50"/>
  <c r="AV50"/>
  <c r="CL50"/>
  <c r="AA51"/>
  <c r="AV51"/>
  <c r="CL51"/>
  <c r="AA52"/>
  <c r="AV52"/>
  <c r="CL52"/>
  <c r="AA53"/>
  <c r="AV53"/>
  <c r="CL53"/>
  <c r="AA54"/>
  <c r="AV54"/>
  <c r="CL54"/>
  <c r="AA55"/>
  <c r="AV55"/>
  <c r="CL55"/>
  <c r="AA56"/>
  <c r="AV56"/>
  <c r="CL56"/>
  <c r="AA57"/>
  <c r="AV57"/>
  <c r="CL57"/>
  <c r="AA58"/>
  <c r="AV58"/>
  <c r="CL58"/>
  <c r="AA59"/>
  <c r="AV59"/>
  <c r="CL59"/>
  <c r="AA60"/>
  <c r="AV60"/>
  <c r="CL60"/>
  <c r="AA61"/>
  <c r="AV61"/>
  <c r="CL61"/>
  <c r="AA62"/>
  <c r="AV62"/>
  <c r="CL62"/>
  <c r="AA63"/>
  <c r="AV63"/>
  <c r="CL63"/>
  <c r="AA64"/>
  <c r="AV64"/>
  <c r="CL64"/>
  <c r="AA65"/>
  <c r="AV65"/>
  <c r="CL65"/>
  <c r="AA66"/>
  <c r="AV66"/>
  <c r="CL66"/>
  <c r="AA67"/>
  <c r="AV67"/>
  <c r="CL67"/>
  <c r="CL68"/>
  <c r="DG72"/>
  <c r="C96" i="9"/>
  <c r="DU49" i="8"/>
  <c r="DV49"/>
  <c r="D96" i="9"/>
  <c r="DS49" i="8"/>
  <c r="DT49"/>
  <c r="DW49"/>
  <c r="DY49"/>
  <c r="DZ49"/>
  <c r="EA49"/>
  <c r="EB49"/>
  <c r="EC49"/>
  <c r="E96" i="9"/>
  <c r="F96"/>
  <c r="L23" i="5"/>
  <c r="L54"/>
  <c r="L85"/>
  <c r="AE67" i="9"/>
  <c r="AH67"/>
  <c r="O23" i="5"/>
  <c r="O54"/>
  <c r="O85"/>
  <c r="I128" i="9"/>
  <c r="J128"/>
  <c r="M128"/>
  <c r="AD5" i="8"/>
  <c r="AD6"/>
  <c r="AD7"/>
  <c r="AD8"/>
  <c r="AD10"/>
  <c r="AB31"/>
  <c r="AW31"/>
  <c r="CM31"/>
  <c r="AB32"/>
  <c r="AW32"/>
  <c r="CM32"/>
  <c r="AB33"/>
  <c r="AW33"/>
  <c r="CM33"/>
  <c r="AB34"/>
  <c r="AW34"/>
  <c r="CM34"/>
  <c r="AB35"/>
  <c r="AW35"/>
  <c r="CM35"/>
  <c r="AB36"/>
  <c r="AW36"/>
  <c r="CM36"/>
  <c r="AB37"/>
  <c r="AW37"/>
  <c r="CM37"/>
  <c r="AB38"/>
  <c r="AW38"/>
  <c r="CM38"/>
  <c r="AB39"/>
  <c r="AW39"/>
  <c r="CM39"/>
  <c r="AB40"/>
  <c r="AW40"/>
  <c r="CM40"/>
  <c r="AB41"/>
  <c r="AW41"/>
  <c r="CM41"/>
  <c r="AB42"/>
  <c r="AW42"/>
  <c r="CM42"/>
  <c r="AB43"/>
  <c r="AW43"/>
  <c r="CM43"/>
  <c r="AB44"/>
  <c r="AW44"/>
  <c r="CM44"/>
  <c r="AB45"/>
  <c r="AW45"/>
  <c r="CM45"/>
  <c r="AB46"/>
  <c r="AW46"/>
  <c r="CM46"/>
  <c r="AB47"/>
  <c r="AW47"/>
  <c r="CM47"/>
  <c r="AB48"/>
  <c r="AW48"/>
  <c r="CM48"/>
  <c r="AB49"/>
  <c r="AW49"/>
  <c r="CM49"/>
  <c r="AB50"/>
  <c r="AW50"/>
  <c r="CM50"/>
  <c r="AB51"/>
  <c r="AW51"/>
  <c r="CM51"/>
  <c r="AB52"/>
  <c r="AW52"/>
  <c r="CM52"/>
  <c r="AB53"/>
  <c r="AW53"/>
  <c r="CM53"/>
  <c r="AB54"/>
  <c r="AW54"/>
  <c r="CM54"/>
  <c r="AB55"/>
  <c r="AW55"/>
  <c r="CM55"/>
  <c r="AB56"/>
  <c r="AW56"/>
  <c r="CM56"/>
  <c r="AB57"/>
  <c r="AW57"/>
  <c r="CM57"/>
  <c r="AB58"/>
  <c r="AW58"/>
  <c r="CM58"/>
  <c r="AB59"/>
  <c r="AW59"/>
  <c r="CM59"/>
  <c r="AB60"/>
  <c r="AW60"/>
  <c r="CM60"/>
  <c r="AB61"/>
  <c r="AW61"/>
  <c r="CM61"/>
  <c r="AB62"/>
  <c r="AW62"/>
  <c r="CM62"/>
  <c r="AB63"/>
  <c r="AW63"/>
  <c r="CM63"/>
  <c r="AB64"/>
  <c r="AW64"/>
  <c r="CM64"/>
  <c r="AB65"/>
  <c r="AW65"/>
  <c r="CM65"/>
  <c r="AB66"/>
  <c r="AW66"/>
  <c r="CM66"/>
  <c r="AB67"/>
  <c r="AW67"/>
  <c r="CM67"/>
  <c r="CM68"/>
  <c r="DH72"/>
  <c r="C97" i="9"/>
  <c r="DU50" i="8"/>
  <c r="DV50"/>
  <c r="D97" i="9"/>
  <c r="DS50" i="8"/>
  <c r="DT50"/>
  <c r="DW50"/>
  <c r="DY50"/>
  <c r="DZ50"/>
  <c r="EA50"/>
  <c r="EB50"/>
  <c r="EC50"/>
  <c r="E97" i="9"/>
  <c r="F97"/>
  <c r="L24" i="5"/>
  <c r="L55"/>
  <c r="L86"/>
  <c r="AE68" i="9"/>
  <c r="AH68"/>
  <c r="O24" i="5"/>
  <c r="O55"/>
  <c r="O86"/>
  <c r="I129" i="9"/>
  <c r="J129"/>
  <c r="M129"/>
  <c r="AE5" i="8"/>
  <c r="AE6"/>
  <c r="AE7"/>
  <c r="AE8"/>
  <c r="AE10"/>
  <c r="AC31"/>
  <c r="AX31"/>
  <c r="CN31"/>
  <c r="AC32"/>
  <c r="AX32"/>
  <c r="CN32"/>
  <c r="AC33"/>
  <c r="AX33"/>
  <c r="CN33"/>
  <c r="AC34"/>
  <c r="AX34"/>
  <c r="CN34"/>
  <c r="AC35"/>
  <c r="AX35"/>
  <c r="CN35"/>
  <c r="AC36"/>
  <c r="AX36"/>
  <c r="CN36"/>
  <c r="AC37"/>
  <c r="AX37"/>
  <c r="CN37"/>
  <c r="AC38"/>
  <c r="AX38"/>
  <c r="CN38"/>
  <c r="AC39"/>
  <c r="AX39"/>
  <c r="CN39"/>
  <c r="AC40"/>
  <c r="AX40"/>
  <c r="CN40"/>
  <c r="AC41"/>
  <c r="AX41"/>
  <c r="CN41"/>
  <c r="AC42"/>
  <c r="AX42"/>
  <c r="CN42"/>
  <c r="AC43"/>
  <c r="AX43"/>
  <c r="CN43"/>
  <c r="AC44"/>
  <c r="AX44"/>
  <c r="CN44"/>
  <c r="AC45"/>
  <c r="AX45"/>
  <c r="CN45"/>
  <c r="AC46"/>
  <c r="AX46"/>
  <c r="CN46"/>
  <c r="AC47"/>
  <c r="AX47"/>
  <c r="CN47"/>
  <c r="AC48"/>
  <c r="AX48"/>
  <c r="CN48"/>
  <c r="AC49"/>
  <c r="AX49"/>
  <c r="CN49"/>
  <c r="AC50"/>
  <c r="AX50"/>
  <c r="CN50"/>
  <c r="AC51"/>
  <c r="AX51"/>
  <c r="CN51"/>
  <c r="AC52"/>
  <c r="AX52"/>
  <c r="CN52"/>
  <c r="AC53"/>
  <c r="AX53"/>
  <c r="CN53"/>
  <c r="AC54"/>
  <c r="AX54"/>
  <c r="CN54"/>
  <c r="AC55"/>
  <c r="AX55"/>
  <c r="CN55"/>
  <c r="AC56"/>
  <c r="AX56"/>
  <c r="CN56"/>
  <c r="AC57"/>
  <c r="AX57"/>
  <c r="CN57"/>
  <c r="AC58"/>
  <c r="AX58"/>
  <c r="CN58"/>
  <c r="AC59"/>
  <c r="AX59"/>
  <c r="CN59"/>
  <c r="AC60"/>
  <c r="AX60"/>
  <c r="CN60"/>
  <c r="AC61"/>
  <c r="AX61"/>
  <c r="CN61"/>
  <c r="AC62"/>
  <c r="AX62"/>
  <c r="CN62"/>
  <c r="AC63"/>
  <c r="AX63"/>
  <c r="CN63"/>
  <c r="AC64"/>
  <c r="AX64"/>
  <c r="CN64"/>
  <c r="AC65"/>
  <c r="AX65"/>
  <c r="CN65"/>
  <c r="AC66"/>
  <c r="AX66"/>
  <c r="CN66"/>
  <c r="AC67"/>
  <c r="AX67"/>
  <c r="CN67"/>
  <c r="CN68"/>
  <c r="DI72"/>
  <c r="C98" i="9"/>
  <c r="DU51" i="8"/>
  <c r="DV51"/>
  <c r="D98" i="9"/>
  <c r="DS51" i="8"/>
  <c r="DT51"/>
  <c r="DW51"/>
  <c r="DY51"/>
  <c r="DZ51"/>
  <c r="EA51"/>
  <c r="EB51"/>
  <c r="EC51"/>
  <c r="E98" i="9"/>
  <c r="F98"/>
  <c r="L25" i="5"/>
  <c r="L56"/>
  <c r="L87"/>
  <c r="AE69" i="9"/>
  <c r="AH69"/>
  <c r="O25" i="5"/>
  <c r="O56"/>
  <c r="O87"/>
  <c r="I130" i="9"/>
  <c r="J130"/>
  <c r="M130"/>
  <c r="AF5" i="8"/>
  <c r="AF6"/>
  <c r="AF7"/>
  <c r="AF8"/>
  <c r="AF10"/>
  <c r="AD31"/>
  <c r="AY31"/>
  <c r="CO31"/>
  <c r="AD32"/>
  <c r="AY32"/>
  <c r="CO32"/>
  <c r="AD33"/>
  <c r="AY33"/>
  <c r="CO33"/>
  <c r="AD34"/>
  <c r="AY34"/>
  <c r="CO34"/>
  <c r="AD35"/>
  <c r="AY35"/>
  <c r="CO35"/>
  <c r="AD36"/>
  <c r="AY36"/>
  <c r="CO36"/>
  <c r="AD37"/>
  <c r="AY37"/>
  <c r="CO37"/>
  <c r="AD38"/>
  <c r="AY38"/>
  <c r="CO38"/>
  <c r="AD39"/>
  <c r="AY39"/>
  <c r="CO39"/>
  <c r="AD40"/>
  <c r="AY40"/>
  <c r="CO40"/>
  <c r="AD41"/>
  <c r="AY41"/>
  <c r="CO41"/>
  <c r="AD42"/>
  <c r="AY42"/>
  <c r="CO42"/>
  <c r="AD43"/>
  <c r="AY43"/>
  <c r="CO43"/>
  <c r="AD44"/>
  <c r="AY44"/>
  <c r="CO44"/>
  <c r="AD45"/>
  <c r="AY45"/>
  <c r="CO45"/>
  <c r="AD46"/>
  <c r="AY46"/>
  <c r="CO46"/>
  <c r="AD47"/>
  <c r="AY47"/>
  <c r="CO47"/>
  <c r="AD48"/>
  <c r="AY48"/>
  <c r="CO48"/>
  <c r="AD49"/>
  <c r="AY49"/>
  <c r="CO49"/>
  <c r="AD50"/>
  <c r="AY50"/>
  <c r="CO50"/>
  <c r="AD51"/>
  <c r="AY51"/>
  <c r="CO51"/>
  <c r="AD52"/>
  <c r="AY52"/>
  <c r="CO52"/>
  <c r="AD53"/>
  <c r="AY53"/>
  <c r="CO53"/>
  <c r="AD54"/>
  <c r="AY54"/>
  <c r="CO54"/>
  <c r="AD55"/>
  <c r="AY55"/>
  <c r="CO55"/>
  <c r="AD56"/>
  <c r="AY56"/>
  <c r="CO56"/>
  <c r="AD57"/>
  <c r="AY57"/>
  <c r="CO57"/>
  <c r="AD58"/>
  <c r="AY58"/>
  <c r="CO58"/>
  <c r="AD59"/>
  <c r="AY59"/>
  <c r="CO59"/>
  <c r="AD60"/>
  <c r="AY60"/>
  <c r="CO60"/>
  <c r="AD61"/>
  <c r="AY61"/>
  <c r="CO61"/>
  <c r="AD62"/>
  <c r="AY62"/>
  <c r="CO62"/>
  <c r="AD63"/>
  <c r="AY63"/>
  <c r="CO63"/>
  <c r="AD64"/>
  <c r="AY64"/>
  <c r="CO64"/>
  <c r="AD65"/>
  <c r="AY65"/>
  <c r="CO65"/>
  <c r="AD66"/>
  <c r="AY66"/>
  <c r="CO66"/>
  <c r="AD67"/>
  <c r="AY67"/>
  <c r="CO67"/>
  <c r="CO68"/>
  <c r="DJ72"/>
  <c r="C99" i="9"/>
  <c r="DU52" i="8"/>
  <c r="DV52"/>
  <c r="D99" i="9"/>
  <c r="DS52" i="8"/>
  <c r="DT52"/>
  <c r="DW52"/>
  <c r="DY52"/>
  <c r="DZ52"/>
  <c r="EA52"/>
  <c r="EB52"/>
  <c r="EC52"/>
  <c r="E99" i="9"/>
  <c r="F99"/>
  <c r="L26" i="5"/>
  <c r="L57"/>
  <c r="L88"/>
  <c r="AE70" i="9"/>
  <c r="AH70"/>
  <c r="O26" i="5"/>
  <c r="O57"/>
  <c r="O88"/>
  <c r="I131" i="9"/>
  <c r="J131"/>
  <c r="M131"/>
  <c r="AG5" i="8"/>
  <c r="AG6"/>
  <c r="AG7"/>
  <c r="AG8"/>
  <c r="AG10"/>
  <c r="AE31"/>
  <c r="AZ31"/>
  <c r="CP31"/>
  <c r="AE32"/>
  <c r="AZ32"/>
  <c r="CP32"/>
  <c r="AE33"/>
  <c r="AZ33"/>
  <c r="CP33"/>
  <c r="AE34"/>
  <c r="AZ34"/>
  <c r="CP34"/>
  <c r="AE35"/>
  <c r="AZ35"/>
  <c r="CP35"/>
  <c r="AE36"/>
  <c r="AZ36"/>
  <c r="CP36"/>
  <c r="AE37"/>
  <c r="AZ37"/>
  <c r="CP37"/>
  <c r="AE38"/>
  <c r="AZ38"/>
  <c r="CP38"/>
  <c r="AE39"/>
  <c r="AZ39"/>
  <c r="CP39"/>
  <c r="AE40"/>
  <c r="AZ40"/>
  <c r="CP40"/>
  <c r="AE41"/>
  <c r="AZ41"/>
  <c r="CP41"/>
  <c r="AE42"/>
  <c r="AZ42"/>
  <c r="CP42"/>
  <c r="AE43"/>
  <c r="AZ43"/>
  <c r="CP43"/>
  <c r="AE44"/>
  <c r="AZ44"/>
  <c r="CP44"/>
  <c r="AE45"/>
  <c r="AZ45"/>
  <c r="CP45"/>
  <c r="AE46"/>
  <c r="AZ46"/>
  <c r="CP46"/>
  <c r="AE47"/>
  <c r="AZ47"/>
  <c r="CP47"/>
  <c r="AE48"/>
  <c r="AZ48"/>
  <c r="CP48"/>
  <c r="AE49"/>
  <c r="AZ49"/>
  <c r="CP49"/>
  <c r="AE50"/>
  <c r="AZ50"/>
  <c r="CP50"/>
  <c r="AE51"/>
  <c r="AZ51"/>
  <c r="CP51"/>
  <c r="AE52"/>
  <c r="AZ52"/>
  <c r="CP52"/>
  <c r="AE53"/>
  <c r="AZ53"/>
  <c r="CP53"/>
  <c r="AE54"/>
  <c r="AZ54"/>
  <c r="CP54"/>
  <c r="AE55"/>
  <c r="AZ55"/>
  <c r="CP55"/>
  <c r="AE56"/>
  <c r="AZ56"/>
  <c r="CP56"/>
  <c r="AE57"/>
  <c r="AZ57"/>
  <c r="CP57"/>
  <c r="AE58"/>
  <c r="AZ58"/>
  <c r="CP58"/>
  <c r="AE59"/>
  <c r="AZ59"/>
  <c r="CP59"/>
  <c r="AE60"/>
  <c r="AZ60"/>
  <c r="CP60"/>
  <c r="AE61"/>
  <c r="AZ61"/>
  <c r="CP61"/>
  <c r="AE62"/>
  <c r="AZ62"/>
  <c r="CP62"/>
  <c r="AE63"/>
  <c r="AZ63"/>
  <c r="CP63"/>
  <c r="AE64"/>
  <c r="AZ64"/>
  <c r="CP64"/>
  <c r="AE65"/>
  <c r="AZ65"/>
  <c r="CP65"/>
  <c r="AE66"/>
  <c r="AZ66"/>
  <c r="CP66"/>
  <c r="AE67"/>
  <c r="AZ67"/>
  <c r="CP67"/>
  <c r="CP68"/>
  <c r="DK72"/>
  <c r="C100" i="9"/>
  <c r="DU53" i="8"/>
  <c r="DV53"/>
  <c r="D100" i="9"/>
  <c r="DS53" i="8"/>
  <c r="DT53"/>
  <c r="DW53"/>
  <c r="DY53"/>
  <c r="DZ53"/>
  <c r="EA53"/>
  <c r="EB53"/>
  <c r="EC53"/>
  <c r="E100" i="9"/>
  <c r="F100"/>
  <c r="L27" i="5"/>
  <c r="L58"/>
  <c r="L89"/>
  <c r="AE71" i="9"/>
  <c r="AH71"/>
  <c r="O27" i="5"/>
  <c r="O58"/>
  <c r="O89"/>
  <c r="I132" i="9"/>
  <c r="J132"/>
  <c r="M132"/>
  <c r="AH5" i="8"/>
  <c r="AH6"/>
  <c r="AH7"/>
  <c r="AH8"/>
  <c r="AH10"/>
  <c r="AF31"/>
  <c r="BA31"/>
  <c r="CQ31"/>
  <c r="AF32"/>
  <c r="BA32"/>
  <c r="CQ32"/>
  <c r="AF33"/>
  <c r="BA33"/>
  <c r="CQ33"/>
  <c r="AF34"/>
  <c r="BA34"/>
  <c r="CQ34"/>
  <c r="AF35"/>
  <c r="BA35"/>
  <c r="CQ35"/>
  <c r="AF36"/>
  <c r="BA36"/>
  <c r="CQ36"/>
  <c r="AF37"/>
  <c r="BA37"/>
  <c r="CQ37"/>
  <c r="AF38"/>
  <c r="BA38"/>
  <c r="CQ38"/>
  <c r="AF39"/>
  <c r="BA39"/>
  <c r="CQ39"/>
  <c r="AF40"/>
  <c r="BA40"/>
  <c r="CQ40"/>
  <c r="AF41"/>
  <c r="BA41"/>
  <c r="CQ41"/>
  <c r="AF42"/>
  <c r="BA42"/>
  <c r="CQ42"/>
  <c r="AF43"/>
  <c r="BA43"/>
  <c r="CQ43"/>
  <c r="AF44"/>
  <c r="BA44"/>
  <c r="CQ44"/>
  <c r="AF45"/>
  <c r="BA45"/>
  <c r="CQ45"/>
  <c r="AF46"/>
  <c r="BA46"/>
  <c r="CQ46"/>
  <c r="AF47"/>
  <c r="BA47"/>
  <c r="CQ47"/>
  <c r="AF48"/>
  <c r="BA48"/>
  <c r="CQ48"/>
  <c r="AF49"/>
  <c r="BA49"/>
  <c r="CQ49"/>
  <c r="AF50"/>
  <c r="BA50"/>
  <c r="CQ50"/>
  <c r="AF51"/>
  <c r="BA51"/>
  <c r="CQ51"/>
  <c r="AF52"/>
  <c r="BA52"/>
  <c r="CQ52"/>
  <c r="AF53"/>
  <c r="BA53"/>
  <c r="CQ53"/>
  <c r="AF54"/>
  <c r="BA54"/>
  <c r="CQ54"/>
  <c r="AF55"/>
  <c r="BA55"/>
  <c r="CQ55"/>
  <c r="AF56"/>
  <c r="BA56"/>
  <c r="CQ56"/>
  <c r="AF57"/>
  <c r="BA57"/>
  <c r="CQ57"/>
  <c r="AF58"/>
  <c r="BA58"/>
  <c r="CQ58"/>
  <c r="AF59"/>
  <c r="BA59"/>
  <c r="CQ59"/>
  <c r="AF60"/>
  <c r="BA60"/>
  <c r="CQ60"/>
  <c r="AF61"/>
  <c r="BA61"/>
  <c r="CQ61"/>
  <c r="AF62"/>
  <c r="BA62"/>
  <c r="CQ62"/>
  <c r="AF63"/>
  <c r="BA63"/>
  <c r="CQ63"/>
  <c r="AF64"/>
  <c r="BA64"/>
  <c r="CQ64"/>
  <c r="AF65"/>
  <c r="BA65"/>
  <c r="CQ65"/>
  <c r="AF66"/>
  <c r="BA66"/>
  <c r="CQ66"/>
  <c r="AF67"/>
  <c r="BA67"/>
  <c r="CQ67"/>
  <c r="CQ68"/>
  <c r="DL72"/>
  <c r="C101" i="9"/>
  <c r="DU54" i="8"/>
  <c r="DV54"/>
  <c r="D101" i="9"/>
  <c r="DS54" i="8"/>
  <c r="DT54"/>
  <c r="DW54"/>
  <c r="DY54"/>
  <c r="DZ54"/>
  <c r="EA54"/>
  <c r="EB54"/>
  <c r="EC54"/>
  <c r="E101" i="9"/>
  <c r="F101"/>
  <c r="L28" i="5"/>
  <c r="L59"/>
  <c r="L90"/>
  <c r="AE72" i="9"/>
  <c r="AH72"/>
  <c r="O28" i="5"/>
  <c r="O59"/>
  <c r="O90"/>
  <c r="I133" i="9"/>
  <c r="J133"/>
  <c r="M133"/>
  <c r="AI5" i="8"/>
  <c r="AI6"/>
  <c r="AI7"/>
  <c r="AI8"/>
  <c r="AI10"/>
  <c r="AG31"/>
  <c r="BB31"/>
  <c r="CR31"/>
  <c r="AG32"/>
  <c r="BB32"/>
  <c r="CR32"/>
  <c r="AG33"/>
  <c r="BB33"/>
  <c r="CR33"/>
  <c r="AG34"/>
  <c r="BB34"/>
  <c r="CR34"/>
  <c r="AG35"/>
  <c r="BB35"/>
  <c r="CR35"/>
  <c r="AG36"/>
  <c r="BB36"/>
  <c r="CR36"/>
  <c r="AG37"/>
  <c r="BB37"/>
  <c r="CR37"/>
  <c r="AG38"/>
  <c r="BB38"/>
  <c r="CR38"/>
  <c r="AG39"/>
  <c r="BB39"/>
  <c r="CR39"/>
  <c r="AG40"/>
  <c r="BB40"/>
  <c r="CR40"/>
  <c r="AG41"/>
  <c r="BB41"/>
  <c r="CR41"/>
  <c r="AG42"/>
  <c r="BB42"/>
  <c r="CR42"/>
  <c r="AG43"/>
  <c r="BB43"/>
  <c r="CR43"/>
  <c r="AG44"/>
  <c r="BB44"/>
  <c r="CR44"/>
  <c r="AG45"/>
  <c r="BB45"/>
  <c r="CR45"/>
  <c r="AG46"/>
  <c r="BB46"/>
  <c r="CR46"/>
  <c r="AG47"/>
  <c r="BB47"/>
  <c r="CR47"/>
  <c r="AG48"/>
  <c r="BB48"/>
  <c r="CR48"/>
  <c r="AG49"/>
  <c r="BB49"/>
  <c r="CR49"/>
  <c r="AG50"/>
  <c r="BB50"/>
  <c r="CR50"/>
  <c r="AG51"/>
  <c r="BB51"/>
  <c r="CR51"/>
  <c r="AG52"/>
  <c r="BB52"/>
  <c r="CR52"/>
  <c r="AG53"/>
  <c r="BB53"/>
  <c r="CR53"/>
  <c r="AG54"/>
  <c r="BB54"/>
  <c r="CR54"/>
  <c r="AG55"/>
  <c r="BB55"/>
  <c r="CR55"/>
  <c r="AG56"/>
  <c r="BB56"/>
  <c r="CR56"/>
  <c r="AG57"/>
  <c r="BB57"/>
  <c r="CR57"/>
  <c r="AG58"/>
  <c r="BB58"/>
  <c r="CR58"/>
  <c r="AG59"/>
  <c r="BB59"/>
  <c r="CR59"/>
  <c r="AG60"/>
  <c r="BB60"/>
  <c r="CR60"/>
  <c r="AG61"/>
  <c r="BB61"/>
  <c r="CR61"/>
  <c r="AG62"/>
  <c r="BB62"/>
  <c r="CR62"/>
  <c r="AG63"/>
  <c r="BB63"/>
  <c r="CR63"/>
  <c r="AG64"/>
  <c r="BB64"/>
  <c r="CR64"/>
  <c r="AG65"/>
  <c r="BB65"/>
  <c r="CR65"/>
  <c r="AG66"/>
  <c r="BB66"/>
  <c r="CR66"/>
  <c r="AG67"/>
  <c r="BB67"/>
  <c r="CR67"/>
  <c r="CR68"/>
  <c r="DM72"/>
  <c r="C102" i="9"/>
  <c r="DU55" i="8"/>
  <c r="DV55"/>
  <c r="D102" i="9"/>
  <c r="DS55" i="8"/>
  <c r="DT55"/>
  <c r="DW55"/>
  <c r="DY55"/>
  <c r="DZ55"/>
  <c r="EA55"/>
  <c r="EB55"/>
  <c r="EC55"/>
  <c r="E102" i="9"/>
  <c r="F102"/>
  <c r="K29" i="5"/>
  <c r="K60"/>
  <c r="K91"/>
  <c r="W73" i="9"/>
  <c r="X73"/>
  <c r="AA73"/>
  <c r="L29" i="5"/>
  <c r="L60"/>
  <c r="L91"/>
  <c r="AE73" i="9"/>
  <c r="AH73"/>
  <c r="O29" i="5"/>
  <c r="O60"/>
  <c r="O91"/>
  <c r="I134" i="9"/>
  <c r="J134"/>
  <c r="M134"/>
  <c r="AJ5" i="8"/>
  <c r="AJ6"/>
  <c r="AJ7"/>
  <c r="AJ8"/>
  <c r="AJ10"/>
  <c r="AH31"/>
  <c r="BC31"/>
  <c r="CS31"/>
  <c r="AH32"/>
  <c r="BC32"/>
  <c r="CS32"/>
  <c r="AH33"/>
  <c r="BC33"/>
  <c r="CS33"/>
  <c r="AH34"/>
  <c r="BC34"/>
  <c r="CS34"/>
  <c r="AH35"/>
  <c r="BC35"/>
  <c r="CS35"/>
  <c r="AH36"/>
  <c r="BC36"/>
  <c r="CS36"/>
  <c r="AH37"/>
  <c r="BC37"/>
  <c r="CS37"/>
  <c r="AH38"/>
  <c r="BC38"/>
  <c r="CS38"/>
  <c r="AH39"/>
  <c r="BC39"/>
  <c r="CS39"/>
  <c r="AH40"/>
  <c r="BC40"/>
  <c r="CS40"/>
  <c r="AH41"/>
  <c r="BC41"/>
  <c r="CS41"/>
  <c r="AH42"/>
  <c r="BC42"/>
  <c r="CS42"/>
  <c r="AH43"/>
  <c r="BC43"/>
  <c r="CS43"/>
  <c r="AH44"/>
  <c r="BC44"/>
  <c r="CS44"/>
  <c r="AH45"/>
  <c r="BC45"/>
  <c r="CS45"/>
  <c r="AH46"/>
  <c r="BC46"/>
  <c r="CS46"/>
  <c r="AH47"/>
  <c r="BC47"/>
  <c r="CS47"/>
  <c r="AH48"/>
  <c r="BC48"/>
  <c r="CS48"/>
  <c r="AH49"/>
  <c r="BC49"/>
  <c r="CS49"/>
  <c r="AH50"/>
  <c r="BC50"/>
  <c r="CS50"/>
  <c r="AH51"/>
  <c r="BC51"/>
  <c r="CS51"/>
  <c r="AH52"/>
  <c r="BC52"/>
  <c r="CS52"/>
  <c r="AH53"/>
  <c r="BC53"/>
  <c r="CS53"/>
  <c r="AH54"/>
  <c r="BC54"/>
  <c r="CS54"/>
  <c r="AH55"/>
  <c r="BC55"/>
  <c r="CS55"/>
  <c r="AH56"/>
  <c r="BC56"/>
  <c r="CS56"/>
  <c r="AH57"/>
  <c r="BC57"/>
  <c r="CS57"/>
  <c r="AH58"/>
  <c r="BC58"/>
  <c r="CS58"/>
  <c r="AH59"/>
  <c r="BC59"/>
  <c r="CS59"/>
  <c r="AH60"/>
  <c r="BC60"/>
  <c r="CS60"/>
  <c r="AH61"/>
  <c r="BC61"/>
  <c r="CS61"/>
  <c r="AH62"/>
  <c r="BC62"/>
  <c r="CS62"/>
  <c r="AH63"/>
  <c r="BC63"/>
  <c r="CS63"/>
  <c r="AH64"/>
  <c r="BC64"/>
  <c r="CS64"/>
  <c r="AH65"/>
  <c r="BC65"/>
  <c r="CS65"/>
  <c r="AH66"/>
  <c r="BC66"/>
  <c r="CS66"/>
  <c r="AH67"/>
  <c r="BC67"/>
  <c r="CS67"/>
  <c r="CS68"/>
  <c r="DN72"/>
  <c r="C103" i="9"/>
  <c r="DU56" i="8"/>
  <c r="DV56"/>
  <c r="D103" i="9"/>
  <c r="DS56" i="8"/>
  <c r="DT56"/>
  <c r="DW56"/>
  <c r="DY56"/>
  <c r="DZ56"/>
  <c r="EA56"/>
  <c r="EB56"/>
  <c r="EC56"/>
  <c r="E103" i="9"/>
  <c r="F103"/>
  <c r="Y29" i="5"/>
  <c r="Y156"/>
  <c r="Y285"/>
  <c r="Z29"/>
  <c r="Z156"/>
  <c r="Z285"/>
  <c r="AA29"/>
  <c r="AA156"/>
  <c r="AA285"/>
  <c r="AB29"/>
  <c r="AB156"/>
  <c r="AB285"/>
  <c r="AS285"/>
  <c r="N29"/>
  <c r="N60"/>
  <c r="N91"/>
  <c r="B134" i="9"/>
  <c r="C134"/>
  <c r="F134"/>
  <c r="N123" i="5"/>
  <c r="N156"/>
  <c r="N285"/>
  <c r="O156"/>
  <c r="O285"/>
  <c r="AQ285"/>
  <c r="Y28"/>
  <c r="Y155"/>
  <c r="Y284"/>
  <c r="Z28"/>
  <c r="Z155"/>
  <c r="Z284"/>
  <c r="AA28"/>
  <c r="AA155"/>
  <c r="AA284"/>
  <c r="AB28"/>
  <c r="AB155"/>
  <c r="AB284"/>
  <c r="AS284"/>
  <c r="O155"/>
  <c r="O284"/>
  <c r="AQ284"/>
  <c r="Y27"/>
  <c r="Y154"/>
  <c r="Y283"/>
  <c r="Z27"/>
  <c r="Z154"/>
  <c r="Z283"/>
  <c r="AA27"/>
  <c r="AA154"/>
  <c r="AA283"/>
  <c r="AB27"/>
  <c r="AB154"/>
  <c r="AB283"/>
  <c r="AS283"/>
  <c r="O154"/>
  <c r="O283"/>
  <c r="AQ283"/>
  <c r="Y26"/>
  <c r="Y153"/>
  <c r="Y282"/>
  <c r="Z26"/>
  <c r="Z153"/>
  <c r="Z282"/>
  <c r="AA26"/>
  <c r="AA153"/>
  <c r="AA282"/>
  <c r="AB26"/>
  <c r="AB153"/>
  <c r="AB282"/>
  <c r="AS282"/>
  <c r="O153"/>
  <c r="O282"/>
  <c r="AQ282"/>
  <c r="Y25"/>
  <c r="Y152"/>
  <c r="Y281"/>
  <c r="Z25"/>
  <c r="Z152"/>
  <c r="Z281"/>
  <c r="AA25"/>
  <c r="AA152"/>
  <c r="AA281"/>
  <c r="AB25"/>
  <c r="AB152"/>
  <c r="AB281"/>
  <c r="AS281"/>
  <c r="O152"/>
  <c r="O281"/>
  <c r="AQ281"/>
  <c r="Y24"/>
  <c r="Y151"/>
  <c r="Y280"/>
  <c r="Z24"/>
  <c r="Z151"/>
  <c r="Z280"/>
  <c r="AA24"/>
  <c r="AA151"/>
  <c r="AA280"/>
  <c r="AB24"/>
  <c r="AB151"/>
  <c r="AB280"/>
  <c r="AS280"/>
  <c r="O151"/>
  <c r="O280"/>
  <c r="AQ280"/>
  <c r="Y23"/>
  <c r="Y150"/>
  <c r="Y279"/>
  <c r="Z23"/>
  <c r="Z150"/>
  <c r="Z279"/>
  <c r="AA23"/>
  <c r="AA150"/>
  <c r="AA279"/>
  <c r="AB23"/>
  <c r="AB150"/>
  <c r="AB279"/>
  <c r="AS279"/>
  <c r="O150"/>
  <c r="O279"/>
  <c r="AQ279"/>
  <c r="Y22"/>
  <c r="Y149"/>
  <c r="Y278"/>
  <c r="Z22"/>
  <c r="Z149"/>
  <c r="Z278"/>
  <c r="AA22"/>
  <c r="AA149"/>
  <c r="AA278"/>
  <c r="AB22"/>
  <c r="AB149"/>
  <c r="AB278"/>
  <c r="AS278"/>
  <c r="O149"/>
  <c r="O278"/>
  <c r="AQ278"/>
  <c r="Y21"/>
  <c r="Y148"/>
  <c r="Y277"/>
  <c r="Z21"/>
  <c r="Z148"/>
  <c r="Z277"/>
  <c r="AA21"/>
  <c r="AA148"/>
  <c r="AA277"/>
  <c r="AB21"/>
  <c r="AB148"/>
  <c r="AB277"/>
  <c r="AS277"/>
  <c r="O148"/>
  <c r="O277"/>
  <c r="AQ277"/>
  <c r="Y20"/>
  <c r="Y147"/>
  <c r="Y276"/>
  <c r="Z20"/>
  <c r="Z147"/>
  <c r="Z276"/>
  <c r="AA20"/>
  <c r="AA147"/>
  <c r="AA276"/>
  <c r="AB20"/>
  <c r="AB147"/>
  <c r="AB276"/>
  <c r="AS276"/>
  <c r="O147"/>
  <c r="O276"/>
  <c r="AQ276"/>
  <c r="Y19"/>
  <c r="Y146"/>
  <c r="Y275"/>
  <c r="Z19"/>
  <c r="Z146"/>
  <c r="Z275"/>
  <c r="AA19"/>
  <c r="AA146"/>
  <c r="AA275"/>
  <c r="AB19"/>
  <c r="AB146"/>
  <c r="AB275"/>
  <c r="AS275"/>
  <c r="O146"/>
  <c r="O275"/>
  <c r="AQ275"/>
  <c r="Y18"/>
  <c r="Y145"/>
  <c r="Y274"/>
  <c r="Z18"/>
  <c r="Z145"/>
  <c r="Z274"/>
  <c r="AA18"/>
  <c r="AA145"/>
  <c r="AA274"/>
  <c r="AB18"/>
  <c r="AB145"/>
  <c r="AB274"/>
  <c r="AS274"/>
  <c r="O145"/>
  <c r="O274"/>
  <c r="AQ274"/>
  <c r="Y17"/>
  <c r="Y144"/>
  <c r="Y273"/>
  <c r="Z17"/>
  <c r="Z144"/>
  <c r="Z273"/>
  <c r="AA17"/>
  <c r="AA144"/>
  <c r="AA273"/>
  <c r="AB17"/>
  <c r="AB144"/>
  <c r="AB273"/>
  <c r="AS273"/>
  <c r="O144"/>
  <c r="O273"/>
  <c r="AQ273"/>
  <c r="Y16"/>
  <c r="Y143"/>
  <c r="Y272"/>
  <c r="Z16"/>
  <c r="Z143"/>
  <c r="Z272"/>
  <c r="AA16"/>
  <c r="AA143"/>
  <c r="AA272"/>
  <c r="AB16"/>
  <c r="AB143"/>
  <c r="AB272"/>
  <c r="AS272"/>
  <c r="O143"/>
  <c r="O272"/>
  <c r="AQ272"/>
  <c r="Y15"/>
  <c r="Y142"/>
  <c r="Y271"/>
  <c r="Z15"/>
  <c r="Z142"/>
  <c r="Z271"/>
  <c r="AA15"/>
  <c r="AA142"/>
  <c r="AA271"/>
  <c r="AB15"/>
  <c r="AB142"/>
  <c r="AB271"/>
  <c r="AS271"/>
  <c r="O142"/>
  <c r="O271"/>
  <c r="AQ271"/>
  <c r="Y14"/>
  <c r="Y141"/>
  <c r="Y270"/>
  <c r="Z14"/>
  <c r="Z141"/>
  <c r="Z270"/>
  <c r="AA14"/>
  <c r="AA141"/>
  <c r="AA270"/>
  <c r="AB14"/>
  <c r="AB141"/>
  <c r="AB270"/>
  <c r="AS270"/>
  <c r="O141"/>
  <c r="O270"/>
  <c r="AQ270"/>
  <c r="Y13"/>
  <c r="Y140"/>
  <c r="Y269"/>
  <c r="Z13"/>
  <c r="Z140"/>
  <c r="Z269"/>
  <c r="AA13"/>
  <c r="AA140"/>
  <c r="AA269"/>
  <c r="AB13"/>
  <c r="AB140"/>
  <c r="AB269"/>
  <c r="AS269"/>
  <c r="O140"/>
  <c r="O269"/>
  <c r="AQ269"/>
  <c r="Y12"/>
  <c r="Y139"/>
  <c r="Y268"/>
  <c r="Z12"/>
  <c r="Z139"/>
  <c r="Z268"/>
  <c r="AA12"/>
  <c r="AA139"/>
  <c r="AA268"/>
  <c r="AB12"/>
  <c r="AB139"/>
  <c r="AB268"/>
  <c r="AS268"/>
  <c r="O139"/>
  <c r="O268"/>
  <c r="AQ268"/>
  <c r="O138"/>
  <c r="O267"/>
  <c r="AQ267"/>
  <c r="N10"/>
  <c r="N41"/>
  <c r="N72"/>
  <c r="B115" i="9"/>
  <c r="C115"/>
  <c r="F115"/>
  <c r="N104" i="5"/>
  <c r="N137"/>
  <c r="N266"/>
  <c r="AQ266"/>
  <c r="N9"/>
  <c r="N40"/>
  <c r="N71"/>
  <c r="B114" i="9"/>
  <c r="C114"/>
  <c r="F114"/>
  <c r="N103" i="5"/>
  <c r="N136"/>
  <c r="N265"/>
  <c r="AQ265"/>
  <c r="AQ136"/>
  <c r="AQ137"/>
  <c r="AQ138"/>
  <c r="AQ139"/>
  <c r="AS139"/>
  <c r="AQ140"/>
  <c r="AS140"/>
  <c r="AQ141"/>
  <c r="AS141"/>
  <c r="AQ142"/>
  <c r="AS142"/>
  <c r="AQ143"/>
  <c r="AS143"/>
  <c r="AQ144"/>
  <c r="AS144"/>
  <c r="AQ145"/>
  <c r="AS145"/>
  <c r="AQ146"/>
  <c r="AS146"/>
  <c r="AQ147"/>
  <c r="AS147"/>
  <c r="AQ148"/>
  <c r="AS148"/>
  <c r="AQ149"/>
  <c r="AS149"/>
  <c r="AQ150"/>
  <c r="AS150"/>
  <c r="AQ151"/>
  <c r="AS151"/>
  <c r="AQ152"/>
  <c r="AS152"/>
  <c r="AQ153"/>
  <c r="AS153"/>
  <c r="AQ154"/>
  <c r="AS154"/>
  <c r="AQ155"/>
  <c r="AS155"/>
  <c r="AQ156"/>
  <c r="AS156"/>
  <c r="C253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K5" i="8"/>
  <c r="K6"/>
  <c r="K7"/>
  <c r="K8"/>
  <c r="K10"/>
  <c r="O5"/>
  <c r="O6"/>
  <c r="O7"/>
  <c r="O8"/>
  <c r="O10"/>
  <c r="N5"/>
  <c r="N6"/>
  <c r="N7"/>
  <c r="N8"/>
  <c r="N10"/>
  <c r="M5"/>
  <c r="M6"/>
  <c r="M7"/>
  <c r="M8"/>
  <c r="M10"/>
  <c r="L5"/>
  <c r="L6"/>
  <c r="L7"/>
  <c r="L8"/>
  <c r="L10"/>
  <c r="P11" i="5"/>
  <c r="P138"/>
  <c r="AR138"/>
  <c r="P267"/>
  <c r="AR267"/>
  <c r="P13"/>
  <c r="P140"/>
  <c r="P269"/>
  <c r="AR269"/>
  <c r="P12"/>
  <c r="P139"/>
  <c r="P268"/>
  <c r="AR268"/>
  <c r="AR139"/>
  <c r="AR140"/>
  <c r="P29"/>
  <c r="P156"/>
  <c r="AR156"/>
  <c r="P28"/>
  <c r="P155"/>
  <c r="AR155"/>
  <c r="P27"/>
  <c r="P154"/>
  <c r="AR154"/>
  <c r="P26"/>
  <c r="P153"/>
  <c r="AR153"/>
  <c r="P25"/>
  <c r="P152"/>
  <c r="AR152"/>
  <c r="P24"/>
  <c r="P151"/>
  <c r="AR151"/>
  <c r="P23"/>
  <c r="P150"/>
  <c r="AR150"/>
  <c r="P22"/>
  <c r="P149"/>
  <c r="AR149"/>
  <c r="P21"/>
  <c r="P148"/>
  <c r="AR148"/>
  <c r="P20"/>
  <c r="P147"/>
  <c r="AR147"/>
  <c r="P19"/>
  <c r="P146"/>
  <c r="AR146"/>
  <c r="P18"/>
  <c r="P145"/>
  <c r="AR145"/>
  <c r="P17"/>
  <c r="P144"/>
  <c r="AR144"/>
  <c r="P16"/>
  <c r="P143"/>
  <c r="AR143"/>
  <c r="P15"/>
  <c r="P142"/>
  <c r="AR142"/>
  <c r="P14"/>
  <c r="P141"/>
  <c r="AR141"/>
  <c r="P270"/>
  <c r="AR270"/>
  <c r="P271"/>
  <c r="AR271"/>
  <c r="P272"/>
  <c r="AR272"/>
  <c r="P273"/>
  <c r="AR273"/>
  <c r="P274"/>
  <c r="AR274"/>
  <c r="P275"/>
  <c r="AR275"/>
  <c r="P276"/>
  <c r="AR276"/>
  <c r="P277"/>
  <c r="AR277"/>
  <c r="P278"/>
  <c r="AR278"/>
  <c r="P279"/>
  <c r="AR279"/>
  <c r="P280"/>
  <c r="AR280"/>
  <c r="P281"/>
  <c r="AR281"/>
  <c r="P282"/>
  <c r="AR282"/>
  <c r="P283"/>
  <c r="AR283"/>
  <c r="P284"/>
  <c r="AR284"/>
  <c r="P285"/>
  <c r="AR285"/>
  <c r="P5" i="8"/>
  <c r="P6"/>
  <c r="P7"/>
  <c r="P8"/>
  <c r="P10"/>
  <c r="N31"/>
  <c r="AI31"/>
  <c r="BY31"/>
  <c r="N32"/>
  <c r="AI32"/>
  <c r="BY32"/>
  <c r="N33"/>
  <c r="AI33"/>
  <c r="BY33"/>
  <c r="N34"/>
  <c r="AI34"/>
  <c r="BY34"/>
  <c r="N35"/>
  <c r="AI35"/>
  <c r="BY35"/>
  <c r="N36"/>
  <c r="AI36"/>
  <c r="BY36"/>
  <c r="N37"/>
  <c r="AI37"/>
  <c r="BY37"/>
  <c r="N38"/>
  <c r="AI38"/>
  <c r="BY38"/>
  <c r="N39"/>
  <c r="AI39"/>
  <c r="BY39"/>
  <c r="N40"/>
  <c r="AI40"/>
  <c r="BY40"/>
  <c r="N41"/>
  <c r="AI41"/>
  <c r="BY41"/>
  <c r="N42"/>
  <c r="AI42"/>
  <c r="BY42"/>
  <c r="N43"/>
  <c r="AI43"/>
  <c r="BY43"/>
  <c r="N44"/>
  <c r="AI44"/>
  <c r="BY44"/>
  <c r="N45"/>
  <c r="AI45"/>
  <c r="BY45"/>
  <c r="N46"/>
  <c r="AI46"/>
  <c r="BY46"/>
  <c r="N47"/>
  <c r="AI47"/>
  <c r="BY47"/>
  <c r="N48"/>
  <c r="AI48"/>
  <c r="BY48"/>
  <c r="N49"/>
  <c r="AI49"/>
  <c r="BY49"/>
  <c r="N50"/>
  <c r="AI50"/>
  <c r="BY50"/>
  <c r="N51"/>
  <c r="AI51"/>
  <c r="BY51"/>
  <c r="N52"/>
  <c r="AI52"/>
  <c r="BY52"/>
  <c r="N53"/>
  <c r="AI53"/>
  <c r="BY53"/>
  <c r="N54"/>
  <c r="AI54"/>
  <c r="BY54"/>
  <c r="N55"/>
  <c r="AI55"/>
  <c r="BY55"/>
  <c r="N56"/>
  <c r="AI56"/>
  <c r="BY56"/>
  <c r="N57"/>
  <c r="AI57"/>
  <c r="BY57"/>
  <c r="N58"/>
  <c r="AI58"/>
  <c r="BY58"/>
  <c r="N59"/>
  <c r="AI59"/>
  <c r="BY59"/>
  <c r="N60"/>
  <c r="AI60"/>
  <c r="BY60"/>
  <c r="N61"/>
  <c r="AI61"/>
  <c r="BY61"/>
  <c r="N62"/>
  <c r="AI62"/>
  <c r="BY62"/>
  <c r="N63"/>
  <c r="AI63"/>
  <c r="BY63"/>
  <c r="N64"/>
  <c r="AI64"/>
  <c r="BY64"/>
  <c r="N65"/>
  <c r="AI65"/>
  <c r="BY65"/>
  <c r="N66"/>
  <c r="AI66"/>
  <c r="BY66"/>
  <c r="N67"/>
  <c r="AI67"/>
  <c r="BY67"/>
  <c r="BY68"/>
  <c r="CT72"/>
  <c r="C83" i="9"/>
  <c r="DU36" i="8"/>
  <c r="DV36"/>
  <c r="D83" i="9"/>
  <c r="DS36" i="8"/>
  <c r="DT36"/>
  <c r="DW36"/>
  <c r="DY36"/>
  <c r="DZ36"/>
  <c r="EA36"/>
  <c r="EB36"/>
  <c r="EC36"/>
  <c r="E83" i="9"/>
  <c r="F83"/>
  <c r="C86"/>
  <c r="DU39" i="8"/>
  <c r="DU38"/>
  <c r="DV39"/>
  <c r="D86" i="9"/>
  <c r="DS39" i="8"/>
  <c r="DT39"/>
  <c r="DW39"/>
  <c r="DY39"/>
  <c r="DZ39"/>
  <c r="EA39"/>
  <c r="EB39"/>
  <c r="EC39"/>
  <c r="E86" i="9"/>
  <c r="F86"/>
  <c r="C87"/>
  <c r="DV40" i="8"/>
  <c r="D87" i="9"/>
  <c r="DS40" i="8"/>
  <c r="DT40"/>
  <c r="DW40"/>
  <c r="DY40"/>
  <c r="DZ40"/>
  <c r="EA40"/>
  <c r="EB40"/>
  <c r="EC40"/>
  <c r="E87" i="9"/>
  <c r="F87"/>
  <c r="C85"/>
  <c r="DU37" i="8"/>
  <c r="DV38"/>
  <c r="D85" i="9"/>
  <c r="DS38" i="8"/>
  <c r="DT38"/>
  <c r="DW38"/>
  <c r="DY38"/>
  <c r="DZ38"/>
  <c r="EA38"/>
  <c r="EB38"/>
  <c r="EC38"/>
  <c r="E85" i="9"/>
  <c r="F85"/>
  <c r="Q5" i="8"/>
  <c r="Q6"/>
  <c r="Q7"/>
  <c r="Q8"/>
  <c r="Q10"/>
  <c r="O31"/>
  <c r="AJ31"/>
  <c r="BZ31"/>
  <c r="O32"/>
  <c r="AJ32"/>
  <c r="BZ32"/>
  <c r="O33"/>
  <c r="AJ33"/>
  <c r="BZ33"/>
  <c r="O34"/>
  <c r="AJ34"/>
  <c r="BZ34"/>
  <c r="O35"/>
  <c r="AJ35"/>
  <c r="BZ35"/>
  <c r="O36"/>
  <c r="AJ36"/>
  <c r="BZ36"/>
  <c r="O37"/>
  <c r="AJ37"/>
  <c r="BZ37"/>
  <c r="O38"/>
  <c r="AJ38"/>
  <c r="BZ38"/>
  <c r="O39"/>
  <c r="AJ39"/>
  <c r="BZ39"/>
  <c r="O40"/>
  <c r="AJ40"/>
  <c r="BZ40"/>
  <c r="O41"/>
  <c r="AJ41"/>
  <c r="BZ41"/>
  <c r="O42"/>
  <c r="AJ42"/>
  <c r="BZ42"/>
  <c r="O43"/>
  <c r="AJ43"/>
  <c r="BZ43"/>
  <c r="O44"/>
  <c r="AJ44"/>
  <c r="BZ44"/>
  <c r="O45"/>
  <c r="AJ45"/>
  <c r="BZ45"/>
  <c r="O46"/>
  <c r="AJ46"/>
  <c r="BZ46"/>
  <c r="O47"/>
  <c r="AJ47"/>
  <c r="BZ47"/>
  <c r="O48"/>
  <c r="AJ48"/>
  <c r="BZ48"/>
  <c r="O49"/>
  <c r="AJ49"/>
  <c r="BZ49"/>
  <c r="O50"/>
  <c r="AJ50"/>
  <c r="BZ50"/>
  <c r="O51"/>
  <c r="AJ51"/>
  <c r="BZ51"/>
  <c r="O52"/>
  <c r="AJ52"/>
  <c r="BZ52"/>
  <c r="O53"/>
  <c r="AJ53"/>
  <c r="BZ53"/>
  <c r="O54"/>
  <c r="AJ54"/>
  <c r="BZ54"/>
  <c r="O55"/>
  <c r="AJ55"/>
  <c r="BZ55"/>
  <c r="O56"/>
  <c r="AJ56"/>
  <c r="BZ56"/>
  <c r="O57"/>
  <c r="AJ57"/>
  <c r="BZ57"/>
  <c r="O58"/>
  <c r="AJ58"/>
  <c r="BZ58"/>
  <c r="O59"/>
  <c r="AJ59"/>
  <c r="BZ59"/>
  <c r="O60"/>
  <c r="AJ60"/>
  <c r="BZ60"/>
  <c r="O61"/>
  <c r="AJ61"/>
  <c r="BZ61"/>
  <c r="O62"/>
  <c r="AJ62"/>
  <c r="BZ62"/>
  <c r="O63"/>
  <c r="AJ63"/>
  <c r="BZ63"/>
  <c r="O64"/>
  <c r="AJ64"/>
  <c r="BZ64"/>
  <c r="O65"/>
  <c r="AJ65"/>
  <c r="BZ65"/>
  <c r="O66"/>
  <c r="AJ66"/>
  <c r="BZ66"/>
  <c r="O67"/>
  <c r="AJ67"/>
  <c r="BZ67"/>
  <c r="BZ68"/>
  <c r="CU72"/>
  <c r="C84" i="9"/>
  <c r="DV37" i="8"/>
  <c r="D84" i="9"/>
  <c r="DS37" i="8"/>
  <c r="DT37"/>
  <c r="DW37"/>
  <c r="DY37"/>
  <c r="DZ37"/>
  <c r="EA37"/>
  <c r="EB37"/>
  <c r="EC37"/>
  <c r="E84" i="9"/>
  <c r="F84"/>
  <c r="L2" i="8"/>
  <c r="L4"/>
  <c r="M2"/>
  <c r="M4"/>
  <c r="N2"/>
  <c r="N4"/>
  <c r="O2"/>
  <c r="O4"/>
  <c r="P2"/>
  <c r="P4"/>
  <c r="K2"/>
  <c r="K4"/>
  <c r="Q2"/>
  <c r="Q4"/>
  <c r="R2"/>
  <c r="R4"/>
  <c r="S2"/>
  <c r="S4"/>
  <c r="T2"/>
  <c r="T4"/>
  <c r="AJ2"/>
  <c r="AJ4"/>
  <c r="AI2"/>
  <c r="AI4"/>
  <c r="AH2"/>
  <c r="AH4"/>
  <c r="AG2"/>
  <c r="AG4"/>
  <c r="AF2"/>
  <c r="AF4"/>
  <c r="AE2"/>
  <c r="AE4"/>
  <c r="AD2"/>
  <c r="AD4"/>
  <c r="AC2"/>
  <c r="AC4"/>
  <c r="AB2"/>
  <c r="AB4"/>
  <c r="AA2"/>
  <c r="AA4"/>
  <c r="Z2"/>
  <c r="Z4"/>
  <c r="Y2"/>
  <c r="Y4"/>
  <c r="X2"/>
  <c r="X4"/>
  <c r="W2"/>
  <c r="W4"/>
  <c r="G11" i="5"/>
  <c r="G42"/>
  <c r="G73"/>
  <c r="G105"/>
  <c r="G170"/>
  <c r="O170"/>
  <c r="P170"/>
  <c r="AD170"/>
  <c r="I298"/>
  <c r="J298"/>
  <c r="F12"/>
  <c r="F43"/>
  <c r="F74"/>
  <c r="F106"/>
  <c r="F171"/>
  <c r="G12"/>
  <c r="G43"/>
  <c r="G74"/>
  <c r="G106"/>
  <c r="G171"/>
  <c r="J12"/>
  <c r="J171"/>
  <c r="L171"/>
  <c r="M12"/>
  <c r="M171"/>
  <c r="O171"/>
  <c r="P171"/>
  <c r="Y171"/>
  <c r="Z171"/>
  <c r="AA171"/>
  <c r="AB171"/>
  <c r="AD171"/>
  <c r="I299"/>
  <c r="J299"/>
  <c r="F13"/>
  <c r="F44"/>
  <c r="F75"/>
  <c r="F107"/>
  <c r="F172"/>
  <c r="G13"/>
  <c r="G44"/>
  <c r="G75"/>
  <c r="G107"/>
  <c r="G172"/>
  <c r="J13"/>
  <c r="J172"/>
  <c r="L172"/>
  <c r="M13"/>
  <c r="M172"/>
  <c r="O172"/>
  <c r="P172"/>
  <c r="Y172"/>
  <c r="Z172"/>
  <c r="AA172"/>
  <c r="AB172"/>
  <c r="AD172"/>
  <c r="I300"/>
  <c r="J300"/>
  <c r="F14"/>
  <c r="F45"/>
  <c r="F76"/>
  <c r="F108"/>
  <c r="F173"/>
  <c r="G14"/>
  <c r="G45"/>
  <c r="G76"/>
  <c r="G108"/>
  <c r="G173"/>
  <c r="J14"/>
  <c r="J173"/>
  <c r="L173"/>
  <c r="M14"/>
  <c r="M173"/>
  <c r="O173"/>
  <c r="P173"/>
  <c r="Y173"/>
  <c r="Z173"/>
  <c r="AA173"/>
  <c r="AB173"/>
  <c r="AD173"/>
  <c r="I301"/>
  <c r="J301"/>
  <c r="F15"/>
  <c r="F46"/>
  <c r="F77"/>
  <c r="F109"/>
  <c r="F174"/>
  <c r="G15"/>
  <c r="G46"/>
  <c r="G77"/>
  <c r="G109"/>
  <c r="G174"/>
  <c r="J15"/>
  <c r="J174"/>
  <c r="L174"/>
  <c r="M15"/>
  <c r="M174"/>
  <c r="O174"/>
  <c r="P174"/>
  <c r="Y174"/>
  <c r="Z174"/>
  <c r="AA174"/>
  <c r="AB174"/>
  <c r="AD174"/>
  <c r="I302"/>
  <c r="J302"/>
  <c r="F16"/>
  <c r="F47"/>
  <c r="F78"/>
  <c r="F110"/>
  <c r="F175"/>
  <c r="G16"/>
  <c r="G47"/>
  <c r="G78"/>
  <c r="G110"/>
  <c r="G175"/>
  <c r="J16"/>
  <c r="J175"/>
  <c r="L175"/>
  <c r="M16"/>
  <c r="M175"/>
  <c r="O175"/>
  <c r="P175"/>
  <c r="Y175"/>
  <c r="Z175"/>
  <c r="AA175"/>
  <c r="AB175"/>
  <c r="AD175"/>
  <c r="I303"/>
  <c r="J303"/>
  <c r="F17"/>
  <c r="F48"/>
  <c r="F79"/>
  <c r="F111"/>
  <c r="F176"/>
  <c r="G17"/>
  <c r="G48"/>
  <c r="G79"/>
  <c r="G111"/>
  <c r="G176"/>
  <c r="J17"/>
  <c r="J176"/>
  <c r="L176"/>
  <c r="M17"/>
  <c r="M176"/>
  <c r="O176"/>
  <c r="P176"/>
  <c r="Y176"/>
  <c r="Z176"/>
  <c r="AA176"/>
  <c r="AB176"/>
  <c r="AD176"/>
  <c r="I304"/>
  <c r="J304"/>
  <c r="F18"/>
  <c r="F49"/>
  <c r="F80"/>
  <c r="F112"/>
  <c r="F177"/>
  <c r="G18"/>
  <c r="G49"/>
  <c r="G80"/>
  <c r="G112"/>
  <c r="G177"/>
  <c r="J18"/>
  <c r="J177"/>
  <c r="L177"/>
  <c r="M18"/>
  <c r="M177"/>
  <c r="O177"/>
  <c r="P177"/>
  <c r="Y177"/>
  <c r="Z177"/>
  <c r="AA177"/>
  <c r="AB177"/>
  <c r="AD177"/>
  <c r="I305"/>
  <c r="J305"/>
  <c r="F19"/>
  <c r="F50"/>
  <c r="F81"/>
  <c r="F113"/>
  <c r="F178"/>
  <c r="G19"/>
  <c r="G50"/>
  <c r="G81"/>
  <c r="G113"/>
  <c r="G178"/>
  <c r="J19"/>
  <c r="J178"/>
  <c r="L178"/>
  <c r="M19"/>
  <c r="M178"/>
  <c r="O178"/>
  <c r="P178"/>
  <c r="Y178"/>
  <c r="Z178"/>
  <c r="AA178"/>
  <c r="AB178"/>
  <c r="AD178"/>
  <c r="I306"/>
  <c r="J306"/>
  <c r="F20"/>
  <c r="F51"/>
  <c r="F82"/>
  <c r="F114"/>
  <c r="F179"/>
  <c r="G20"/>
  <c r="G51"/>
  <c r="G82"/>
  <c r="G114"/>
  <c r="G179"/>
  <c r="J20"/>
  <c r="J179"/>
  <c r="L179"/>
  <c r="M20"/>
  <c r="M179"/>
  <c r="O179"/>
  <c r="P179"/>
  <c r="Y179"/>
  <c r="Z179"/>
  <c r="AA179"/>
  <c r="AB179"/>
  <c r="AD179"/>
  <c r="I307"/>
  <c r="J307"/>
  <c r="F21"/>
  <c r="F52"/>
  <c r="F83"/>
  <c r="F115"/>
  <c r="F180"/>
  <c r="G21"/>
  <c r="G52"/>
  <c r="G83"/>
  <c r="G115"/>
  <c r="G180"/>
  <c r="J21"/>
  <c r="J180"/>
  <c r="L180"/>
  <c r="M21"/>
  <c r="M180"/>
  <c r="O180"/>
  <c r="P180"/>
  <c r="Y180"/>
  <c r="Z180"/>
  <c r="AA180"/>
  <c r="AB180"/>
  <c r="AD180"/>
  <c r="I308"/>
  <c r="J308"/>
  <c r="F22"/>
  <c r="F53"/>
  <c r="F84"/>
  <c r="F116"/>
  <c r="F181"/>
  <c r="G22"/>
  <c r="G53"/>
  <c r="G84"/>
  <c r="G116"/>
  <c r="G181"/>
  <c r="J22"/>
  <c r="J181"/>
  <c r="L181"/>
  <c r="M22"/>
  <c r="M181"/>
  <c r="O181"/>
  <c r="P181"/>
  <c r="Y181"/>
  <c r="Z181"/>
  <c r="AA181"/>
  <c r="AB181"/>
  <c r="AD181"/>
  <c r="I309"/>
  <c r="J309"/>
  <c r="F23"/>
  <c r="F54"/>
  <c r="F85"/>
  <c r="F117"/>
  <c r="F182"/>
  <c r="G23"/>
  <c r="G54"/>
  <c r="G85"/>
  <c r="G117"/>
  <c r="G182"/>
  <c r="J23"/>
  <c r="J182"/>
  <c r="L182"/>
  <c r="M23"/>
  <c r="M182"/>
  <c r="O182"/>
  <c r="P182"/>
  <c r="Y182"/>
  <c r="Z182"/>
  <c r="AA182"/>
  <c r="AB182"/>
  <c r="AD182"/>
  <c r="I310"/>
  <c r="J310"/>
  <c r="F24"/>
  <c r="F55"/>
  <c r="F86"/>
  <c r="F118"/>
  <c r="F183"/>
  <c r="G24"/>
  <c r="G55"/>
  <c r="G86"/>
  <c r="G118"/>
  <c r="G183"/>
  <c r="J24"/>
  <c r="J183"/>
  <c r="L183"/>
  <c r="M24"/>
  <c r="M183"/>
  <c r="O183"/>
  <c r="P183"/>
  <c r="Y183"/>
  <c r="Z183"/>
  <c r="AA183"/>
  <c r="AB183"/>
  <c r="AD183"/>
  <c r="I311"/>
  <c r="J311"/>
  <c r="F25"/>
  <c r="F56"/>
  <c r="F87"/>
  <c r="F119"/>
  <c r="F184"/>
  <c r="G25"/>
  <c r="G56"/>
  <c r="G87"/>
  <c r="G119"/>
  <c r="G184"/>
  <c r="J25"/>
  <c r="J184"/>
  <c r="L184"/>
  <c r="M25"/>
  <c r="M184"/>
  <c r="O184"/>
  <c r="P184"/>
  <c r="Y184"/>
  <c r="Z184"/>
  <c r="AA184"/>
  <c r="AB184"/>
  <c r="AD184"/>
  <c r="I312"/>
  <c r="J312"/>
  <c r="F26"/>
  <c r="F57"/>
  <c r="F88"/>
  <c r="F120"/>
  <c r="F185"/>
  <c r="G26"/>
  <c r="G57"/>
  <c r="G88"/>
  <c r="G120"/>
  <c r="G185"/>
  <c r="J26"/>
  <c r="J185"/>
  <c r="L185"/>
  <c r="M26"/>
  <c r="M185"/>
  <c r="O185"/>
  <c r="P185"/>
  <c r="Y185"/>
  <c r="Z185"/>
  <c r="AA185"/>
  <c r="AB185"/>
  <c r="AD185"/>
  <c r="I313"/>
  <c r="J313"/>
  <c r="F27"/>
  <c r="F58"/>
  <c r="F89"/>
  <c r="F121"/>
  <c r="F186"/>
  <c r="G27"/>
  <c r="G58"/>
  <c r="G89"/>
  <c r="G121"/>
  <c r="G186"/>
  <c r="J27"/>
  <c r="J186"/>
  <c r="L186"/>
  <c r="M27"/>
  <c r="M186"/>
  <c r="O186"/>
  <c r="P186"/>
  <c r="Y186"/>
  <c r="Z186"/>
  <c r="AA186"/>
  <c r="AB186"/>
  <c r="AD186"/>
  <c r="I314"/>
  <c r="J314"/>
  <c r="F28"/>
  <c r="F59"/>
  <c r="F90"/>
  <c r="F122"/>
  <c r="F187"/>
  <c r="G28"/>
  <c r="G59"/>
  <c r="G90"/>
  <c r="G122"/>
  <c r="G187"/>
  <c r="J28"/>
  <c r="J187"/>
  <c r="L187"/>
  <c r="M28"/>
  <c r="M187"/>
  <c r="O187"/>
  <c r="P187"/>
  <c r="Y187"/>
  <c r="Z187"/>
  <c r="AA187"/>
  <c r="AB187"/>
  <c r="AD187"/>
  <c r="I315"/>
  <c r="J315"/>
  <c r="F29"/>
  <c r="F60"/>
  <c r="F91"/>
  <c r="F123"/>
  <c r="F188"/>
  <c r="G29"/>
  <c r="G60"/>
  <c r="G91"/>
  <c r="G123"/>
  <c r="G188"/>
  <c r="I29"/>
  <c r="I188"/>
  <c r="J29"/>
  <c r="J188"/>
  <c r="K188"/>
  <c r="L188"/>
  <c r="M29"/>
  <c r="M188"/>
  <c r="N188"/>
  <c r="O188"/>
  <c r="P188"/>
  <c r="Y188"/>
  <c r="Z188"/>
  <c r="AA188"/>
  <c r="AB188"/>
  <c r="AD188"/>
  <c r="I316"/>
  <c r="J316"/>
  <c r="J317"/>
  <c r="G39" i="1"/>
  <c r="G40"/>
  <c r="G55"/>
  <c r="G138" i="5"/>
  <c r="G267"/>
  <c r="AD267"/>
  <c r="H298"/>
  <c r="F139"/>
  <c r="F268"/>
  <c r="G139"/>
  <c r="G268"/>
  <c r="J139"/>
  <c r="J268"/>
  <c r="L139"/>
  <c r="L268"/>
  <c r="M139"/>
  <c r="M268"/>
  <c r="AD268"/>
  <c r="H299"/>
  <c r="F140"/>
  <c r="F269"/>
  <c r="G140"/>
  <c r="G269"/>
  <c r="J140"/>
  <c r="J269"/>
  <c r="L140"/>
  <c r="L269"/>
  <c r="M140"/>
  <c r="M269"/>
  <c r="AD269"/>
  <c r="H300"/>
  <c r="F141"/>
  <c r="F270"/>
  <c r="G141"/>
  <c r="G270"/>
  <c r="J141"/>
  <c r="J270"/>
  <c r="L141"/>
  <c r="L270"/>
  <c r="M141"/>
  <c r="M270"/>
  <c r="AD270"/>
  <c r="H301"/>
  <c r="F142"/>
  <c r="F271"/>
  <c r="G142"/>
  <c r="G271"/>
  <c r="J142"/>
  <c r="J271"/>
  <c r="L142"/>
  <c r="L271"/>
  <c r="M142"/>
  <c r="M271"/>
  <c r="AD271"/>
  <c r="H302"/>
  <c r="F143"/>
  <c r="F272"/>
  <c r="G143"/>
  <c r="G272"/>
  <c r="J143"/>
  <c r="J272"/>
  <c r="L143"/>
  <c r="L272"/>
  <c r="M143"/>
  <c r="M272"/>
  <c r="AD272"/>
  <c r="H303"/>
  <c r="F144"/>
  <c r="F273"/>
  <c r="G144"/>
  <c r="G273"/>
  <c r="J144"/>
  <c r="J273"/>
  <c r="L144"/>
  <c r="L273"/>
  <c r="M144"/>
  <c r="M273"/>
  <c r="AD273"/>
  <c r="H304"/>
  <c r="F145"/>
  <c r="F274"/>
  <c r="G145"/>
  <c r="G274"/>
  <c r="J145"/>
  <c r="J274"/>
  <c r="L145"/>
  <c r="L274"/>
  <c r="M145"/>
  <c r="M274"/>
  <c r="AD274"/>
  <c r="H305"/>
  <c r="F146"/>
  <c r="F275"/>
  <c r="G146"/>
  <c r="G275"/>
  <c r="J146"/>
  <c r="J275"/>
  <c r="L146"/>
  <c r="L275"/>
  <c r="M146"/>
  <c r="M275"/>
  <c r="AD275"/>
  <c r="H306"/>
  <c r="F147"/>
  <c r="F276"/>
  <c r="G147"/>
  <c r="G276"/>
  <c r="J147"/>
  <c r="J276"/>
  <c r="L147"/>
  <c r="L276"/>
  <c r="M147"/>
  <c r="M276"/>
  <c r="AD276"/>
  <c r="H307"/>
  <c r="F148"/>
  <c r="F277"/>
  <c r="G148"/>
  <c r="G277"/>
  <c r="J148"/>
  <c r="J277"/>
  <c r="L148"/>
  <c r="L277"/>
  <c r="M148"/>
  <c r="M277"/>
  <c r="AD277"/>
  <c r="H308"/>
  <c r="F149"/>
  <c r="F278"/>
  <c r="G149"/>
  <c r="G278"/>
  <c r="J149"/>
  <c r="J278"/>
  <c r="L149"/>
  <c r="L278"/>
  <c r="M149"/>
  <c r="M278"/>
  <c r="AD278"/>
  <c r="H309"/>
  <c r="F150"/>
  <c r="F279"/>
  <c r="G150"/>
  <c r="G279"/>
  <c r="J150"/>
  <c r="J279"/>
  <c r="L150"/>
  <c r="L279"/>
  <c r="M150"/>
  <c r="M279"/>
  <c r="AD279"/>
  <c r="H310"/>
  <c r="F151"/>
  <c r="F280"/>
  <c r="G151"/>
  <c r="G280"/>
  <c r="J151"/>
  <c r="J280"/>
  <c r="L151"/>
  <c r="L280"/>
  <c r="M151"/>
  <c r="M280"/>
  <c r="AD280"/>
  <c r="H311"/>
  <c r="F152"/>
  <c r="F281"/>
  <c r="G152"/>
  <c r="G281"/>
  <c r="J152"/>
  <c r="J281"/>
  <c r="L152"/>
  <c r="L281"/>
  <c r="M152"/>
  <c r="M281"/>
  <c r="AD281"/>
  <c r="H312"/>
  <c r="F153"/>
  <c r="F282"/>
  <c r="G153"/>
  <c r="G282"/>
  <c r="J153"/>
  <c r="J282"/>
  <c r="L153"/>
  <c r="L282"/>
  <c r="M153"/>
  <c r="M282"/>
  <c r="AD282"/>
  <c r="H313"/>
  <c r="F154"/>
  <c r="F283"/>
  <c r="G154"/>
  <c r="G283"/>
  <c r="J154"/>
  <c r="J283"/>
  <c r="L154"/>
  <c r="L283"/>
  <c r="M154"/>
  <c r="M283"/>
  <c r="AD283"/>
  <c r="H314"/>
  <c r="F155"/>
  <c r="F284"/>
  <c r="G155"/>
  <c r="G284"/>
  <c r="J155"/>
  <c r="J284"/>
  <c r="L155"/>
  <c r="L284"/>
  <c r="M155"/>
  <c r="M284"/>
  <c r="AD284"/>
  <c r="H315"/>
  <c r="F156"/>
  <c r="F285"/>
  <c r="G156"/>
  <c r="G285"/>
  <c r="I156"/>
  <c r="I285"/>
  <c r="J156"/>
  <c r="J285"/>
  <c r="K156"/>
  <c r="K285"/>
  <c r="L156"/>
  <c r="L285"/>
  <c r="M156"/>
  <c r="M285"/>
  <c r="AD285"/>
  <c r="H316"/>
  <c r="H317"/>
  <c r="G36" i="1"/>
  <c r="G37"/>
  <c r="G54"/>
  <c r="I60" i="5"/>
  <c r="I91"/>
  <c r="J60"/>
  <c r="J91"/>
  <c r="M60"/>
  <c r="M91"/>
  <c r="P60"/>
  <c r="P91"/>
  <c r="Y60"/>
  <c r="Y91"/>
  <c r="Z60"/>
  <c r="Z91"/>
  <c r="AA60"/>
  <c r="AA91"/>
  <c r="AB60"/>
  <c r="AB91"/>
  <c r="AD91"/>
  <c r="AH91"/>
  <c r="C316"/>
  <c r="E45" i="1"/>
  <c r="E46"/>
  <c r="E51"/>
  <c r="P42" i="5"/>
  <c r="P73"/>
  <c r="AD73"/>
  <c r="AH73"/>
  <c r="B298"/>
  <c r="J43"/>
  <c r="J74"/>
  <c r="M43"/>
  <c r="M74"/>
  <c r="P43"/>
  <c r="P74"/>
  <c r="Y43"/>
  <c r="Y74"/>
  <c r="Z43"/>
  <c r="Z74"/>
  <c r="AA43"/>
  <c r="AA74"/>
  <c r="AB43"/>
  <c r="AB74"/>
  <c r="AD74"/>
  <c r="AH74"/>
  <c r="B299"/>
  <c r="J44"/>
  <c r="J75"/>
  <c r="M44"/>
  <c r="M75"/>
  <c r="P44"/>
  <c r="P75"/>
  <c r="Y44"/>
  <c r="Y75"/>
  <c r="Z44"/>
  <c r="Z75"/>
  <c r="AA44"/>
  <c r="AA75"/>
  <c r="AB44"/>
  <c r="AB75"/>
  <c r="AD75"/>
  <c r="AH75"/>
  <c r="B300"/>
  <c r="J45"/>
  <c r="J76"/>
  <c r="M45"/>
  <c r="M76"/>
  <c r="P45"/>
  <c r="P76"/>
  <c r="Y45"/>
  <c r="Y76"/>
  <c r="Z45"/>
  <c r="Z76"/>
  <c r="AA45"/>
  <c r="AA76"/>
  <c r="AB45"/>
  <c r="AB76"/>
  <c r="AD76"/>
  <c r="AH76"/>
  <c r="B301"/>
  <c r="J46"/>
  <c r="J77"/>
  <c r="M46"/>
  <c r="M77"/>
  <c r="P46"/>
  <c r="P77"/>
  <c r="Y46"/>
  <c r="Y77"/>
  <c r="Z46"/>
  <c r="Z77"/>
  <c r="AA46"/>
  <c r="AA77"/>
  <c r="AB46"/>
  <c r="AB77"/>
  <c r="AD77"/>
  <c r="AH77"/>
  <c r="B302"/>
  <c r="J47"/>
  <c r="J78"/>
  <c r="M47"/>
  <c r="M78"/>
  <c r="P47"/>
  <c r="P78"/>
  <c r="Y47"/>
  <c r="Y78"/>
  <c r="Z47"/>
  <c r="Z78"/>
  <c r="AA47"/>
  <c r="AA78"/>
  <c r="AB47"/>
  <c r="AB78"/>
  <c r="AD78"/>
  <c r="AH78"/>
  <c r="B303"/>
  <c r="J48"/>
  <c r="J79"/>
  <c r="M48"/>
  <c r="M79"/>
  <c r="P48"/>
  <c r="P79"/>
  <c r="Y48"/>
  <c r="Y79"/>
  <c r="Z48"/>
  <c r="Z79"/>
  <c r="AA48"/>
  <c r="AA79"/>
  <c r="AB48"/>
  <c r="AB79"/>
  <c r="AD79"/>
  <c r="AH79"/>
  <c r="B304"/>
  <c r="J49"/>
  <c r="J80"/>
  <c r="M49"/>
  <c r="M80"/>
  <c r="P49"/>
  <c r="P80"/>
  <c r="Y49"/>
  <c r="Y80"/>
  <c r="Z49"/>
  <c r="Z80"/>
  <c r="AA49"/>
  <c r="AA80"/>
  <c r="AB49"/>
  <c r="AB80"/>
  <c r="AD80"/>
  <c r="AH80"/>
  <c r="B305"/>
  <c r="J50"/>
  <c r="J81"/>
  <c r="M50"/>
  <c r="M81"/>
  <c r="P50"/>
  <c r="P81"/>
  <c r="Y50"/>
  <c r="Y81"/>
  <c r="Z50"/>
  <c r="Z81"/>
  <c r="AA50"/>
  <c r="AA81"/>
  <c r="AB50"/>
  <c r="AB81"/>
  <c r="AD81"/>
  <c r="AH81"/>
  <c r="B306"/>
  <c r="J51"/>
  <c r="J82"/>
  <c r="M51"/>
  <c r="M82"/>
  <c r="P51"/>
  <c r="P82"/>
  <c r="Y51"/>
  <c r="Y82"/>
  <c r="Z51"/>
  <c r="Z82"/>
  <c r="AA51"/>
  <c r="AA82"/>
  <c r="AB51"/>
  <c r="AB82"/>
  <c r="AD82"/>
  <c r="AH82"/>
  <c r="B307"/>
  <c r="J52"/>
  <c r="J83"/>
  <c r="M52"/>
  <c r="M83"/>
  <c r="P52"/>
  <c r="P83"/>
  <c r="Y52"/>
  <c r="Y83"/>
  <c r="Z52"/>
  <c r="Z83"/>
  <c r="AA52"/>
  <c r="AA83"/>
  <c r="AB52"/>
  <c r="AB83"/>
  <c r="AD83"/>
  <c r="AH83"/>
  <c r="B308"/>
  <c r="J53"/>
  <c r="J84"/>
  <c r="M53"/>
  <c r="M84"/>
  <c r="P53"/>
  <c r="P84"/>
  <c r="Y53"/>
  <c r="Y84"/>
  <c r="Z53"/>
  <c r="Z84"/>
  <c r="AA53"/>
  <c r="AA84"/>
  <c r="AB53"/>
  <c r="AB84"/>
  <c r="AD84"/>
  <c r="AH84"/>
  <c r="B309"/>
  <c r="J54"/>
  <c r="J85"/>
  <c r="M54"/>
  <c r="M85"/>
  <c r="P54"/>
  <c r="P85"/>
  <c r="Y54"/>
  <c r="Y85"/>
  <c r="Z54"/>
  <c r="Z85"/>
  <c r="AA54"/>
  <c r="AA85"/>
  <c r="AB54"/>
  <c r="AB85"/>
  <c r="AD85"/>
  <c r="AH85"/>
  <c r="B310"/>
  <c r="J55"/>
  <c r="J86"/>
  <c r="M55"/>
  <c r="M86"/>
  <c r="P55"/>
  <c r="P86"/>
  <c r="Y55"/>
  <c r="Y86"/>
  <c r="Z55"/>
  <c r="Z86"/>
  <c r="AA55"/>
  <c r="AA86"/>
  <c r="AB55"/>
  <c r="AB86"/>
  <c r="AD86"/>
  <c r="AH86"/>
  <c r="B311"/>
  <c r="J56"/>
  <c r="J87"/>
  <c r="M56"/>
  <c r="M87"/>
  <c r="P56"/>
  <c r="P87"/>
  <c r="Y56"/>
  <c r="Y87"/>
  <c r="Z56"/>
  <c r="Z87"/>
  <c r="AA56"/>
  <c r="AA87"/>
  <c r="AB56"/>
  <c r="AB87"/>
  <c r="AD87"/>
  <c r="AH87"/>
  <c r="B312"/>
  <c r="J57"/>
  <c r="J88"/>
  <c r="M57"/>
  <c r="M88"/>
  <c r="P57"/>
  <c r="P88"/>
  <c r="Y57"/>
  <c r="Y88"/>
  <c r="Z57"/>
  <c r="Z88"/>
  <c r="AA57"/>
  <c r="AA88"/>
  <c r="AB57"/>
  <c r="AB88"/>
  <c r="AD88"/>
  <c r="AH88"/>
  <c r="B313"/>
  <c r="J58"/>
  <c r="J89"/>
  <c r="M58"/>
  <c r="M89"/>
  <c r="P58"/>
  <c r="P89"/>
  <c r="Y58"/>
  <c r="Y89"/>
  <c r="Z58"/>
  <c r="Z89"/>
  <c r="AA58"/>
  <c r="AA89"/>
  <c r="AB58"/>
  <c r="AB89"/>
  <c r="AD89"/>
  <c r="AH89"/>
  <c r="B314"/>
  <c r="J59"/>
  <c r="J90"/>
  <c r="M59"/>
  <c r="M90"/>
  <c r="P59"/>
  <c r="P90"/>
  <c r="Y59"/>
  <c r="Y90"/>
  <c r="Z59"/>
  <c r="Z90"/>
  <c r="AA59"/>
  <c r="AA90"/>
  <c r="AB59"/>
  <c r="AB90"/>
  <c r="AD90"/>
  <c r="AH90"/>
  <c r="B315"/>
  <c r="B316"/>
  <c r="AP285"/>
  <c r="AP284"/>
  <c r="AP283"/>
  <c r="AP282"/>
  <c r="AP281"/>
  <c r="AP280"/>
  <c r="AP279"/>
  <c r="AP278"/>
  <c r="AP277"/>
  <c r="AP276"/>
  <c r="AP275"/>
  <c r="AP274"/>
  <c r="AP273"/>
  <c r="AP272"/>
  <c r="AP271"/>
  <c r="AP270"/>
  <c r="AP269"/>
  <c r="AP268"/>
  <c r="AP267"/>
  <c r="AP138"/>
  <c r="AP139"/>
  <c r="AP140"/>
  <c r="AP141"/>
  <c r="AP142"/>
  <c r="AP143"/>
  <c r="AP144"/>
  <c r="AP145"/>
  <c r="AP146"/>
  <c r="AP147"/>
  <c r="AP148"/>
  <c r="AP149"/>
  <c r="AP150"/>
  <c r="AP151"/>
  <c r="AP152"/>
  <c r="AP153"/>
  <c r="AP154"/>
  <c r="AP155"/>
  <c r="AP156"/>
  <c r="AD42"/>
  <c r="AG73"/>
  <c r="AD43"/>
  <c r="AG74"/>
  <c r="AD44"/>
  <c r="AG75"/>
  <c r="AD45"/>
  <c r="AG76"/>
  <c r="AD46"/>
  <c r="AG77"/>
  <c r="AD47"/>
  <c r="AG78"/>
  <c r="AD48"/>
  <c r="AG79"/>
  <c r="AD49"/>
  <c r="AG80"/>
  <c r="AD50"/>
  <c r="AG81"/>
  <c r="AD51"/>
  <c r="AG82"/>
  <c r="AD52"/>
  <c r="AG83"/>
  <c r="AD53"/>
  <c r="AG84"/>
  <c r="AD54"/>
  <c r="AG85"/>
  <c r="AD55"/>
  <c r="AG86"/>
  <c r="AD56"/>
  <c r="AG87"/>
  <c r="AD57"/>
  <c r="AG88"/>
  <c r="AD58"/>
  <c r="AG89"/>
  <c r="AD59"/>
  <c r="AG90"/>
  <c r="AD60"/>
  <c r="AG9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AE42"/>
  <c r="AE43"/>
  <c r="AE44"/>
  <c r="AE45"/>
  <c r="AE46"/>
  <c r="AE47"/>
  <c r="AE48"/>
  <c r="AE49"/>
  <c r="AE50"/>
  <c r="AE51"/>
  <c r="AE52"/>
  <c r="AE53"/>
  <c r="AE54"/>
  <c r="AE55"/>
  <c r="AE56"/>
  <c r="AE57"/>
  <c r="AE58"/>
  <c r="AE59"/>
  <c r="AE60"/>
  <c r="B235"/>
  <c r="G202"/>
  <c r="O202"/>
  <c r="P202"/>
  <c r="AD202"/>
  <c r="AD138"/>
  <c r="AI138"/>
  <c r="AJ138"/>
  <c r="G298"/>
  <c r="J107"/>
  <c r="L107"/>
  <c r="M107"/>
  <c r="O107"/>
  <c r="P107"/>
  <c r="AD107"/>
  <c r="J106"/>
  <c r="L106"/>
  <c r="M106"/>
  <c r="O106"/>
  <c r="P106"/>
  <c r="AD106"/>
  <c r="O105"/>
  <c r="P105"/>
  <c r="AD105"/>
  <c r="AD139"/>
  <c r="G299"/>
  <c r="AD140"/>
  <c r="G300"/>
  <c r="AI139"/>
  <c r="AJ139"/>
  <c r="AI140"/>
  <c r="AJ140"/>
  <c r="F204"/>
  <c r="G204"/>
  <c r="J204"/>
  <c r="L204"/>
  <c r="M204"/>
  <c r="O204"/>
  <c r="P204"/>
  <c r="Y204"/>
  <c r="Z204"/>
  <c r="AA204"/>
  <c r="AB204"/>
  <c r="AD204"/>
  <c r="F203"/>
  <c r="G203"/>
  <c r="J203"/>
  <c r="L203"/>
  <c r="M203"/>
  <c r="O203"/>
  <c r="P203"/>
  <c r="Y203"/>
  <c r="Z203"/>
  <c r="AA203"/>
  <c r="AB203"/>
  <c r="AD203"/>
  <c r="B236"/>
  <c r="B237"/>
  <c r="AD141"/>
  <c r="AI141"/>
  <c r="AJ141"/>
  <c r="AD142"/>
  <c r="AI142"/>
  <c r="AJ142"/>
  <c r="AD143"/>
  <c r="AI143"/>
  <c r="AJ143"/>
  <c r="AD144"/>
  <c r="AI144"/>
  <c r="AJ144"/>
  <c r="AD145"/>
  <c r="AI145"/>
  <c r="AJ145"/>
  <c r="AD146"/>
  <c r="AI146"/>
  <c r="AJ146"/>
  <c r="AD147"/>
  <c r="AI147"/>
  <c r="AJ147"/>
  <c r="AD148"/>
  <c r="AI148"/>
  <c r="AJ148"/>
  <c r="AD149"/>
  <c r="AI149"/>
  <c r="AJ149"/>
  <c r="AD150"/>
  <c r="AI150"/>
  <c r="AJ150"/>
  <c r="AD151"/>
  <c r="AI151"/>
  <c r="AJ151"/>
  <c r="AD152"/>
  <c r="AI152"/>
  <c r="AJ152"/>
  <c r="AD153"/>
  <c r="AI153"/>
  <c r="AJ153"/>
  <c r="AD154"/>
  <c r="AI154"/>
  <c r="AJ154"/>
  <c r="AD155"/>
  <c r="AI155"/>
  <c r="AJ155"/>
  <c r="AD156"/>
  <c r="AI156"/>
  <c r="AJ156"/>
  <c r="F220"/>
  <c r="G220"/>
  <c r="I220"/>
  <c r="J220"/>
  <c r="K220"/>
  <c r="L220"/>
  <c r="M220"/>
  <c r="N220"/>
  <c r="O220"/>
  <c r="P220"/>
  <c r="Y220"/>
  <c r="Z220"/>
  <c r="AA220"/>
  <c r="AB220"/>
  <c r="AD220"/>
  <c r="F219"/>
  <c r="G219"/>
  <c r="J219"/>
  <c r="L219"/>
  <c r="M219"/>
  <c r="O219"/>
  <c r="P219"/>
  <c r="Y219"/>
  <c r="Z219"/>
  <c r="AA219"/>
  <c r="AB219"/>
  <c r="AD219"/>
  <c r="F218"/>
  <c r="G218"/>
  <c r="J218"/>
  <c r="L218"/>
  <c r="M218"/>
  <c r="O218"/>
  <c r="P218"/>
  <c r="Y218"/>
  <c r="Z218"/>
  <c r="AA218"/>
  <c r="AB218"/>
  <c r="AD218"/>
  <c r="F217"/>
  <c r="G217"/>
  <c r="J217"/>
  <c r="L217"/>
  <c r="M217"/>
  <c r="O217"/>
  <c r="P217"/>
  <c r="Y217"/>
  <c r="Z217"/>
  <c r="AA217"/>
  <c r="AB217"/>
  <c r="AD217"/>
  <c r="F216"/>
  <c r="G216"/>
  <c r="J216"/>
  <c r="L216"/>
  <c r="M216"/>
  <c r="O216"/>
  <c r="P216"/>
  <c r="Y216"/>
  <c r="Z216"/>
  <c r="AA216"/>
  <c r="AB216"/>
  <c r="AD216"/>
  <c r="F215"/>
  <c r="G215"/>
  <c r="J215"/>
  <c r="L215"/>
  <c r="M215"/>
  <c r="O215"/>
  <c r="P215"/>
  <c r="Y215"/>
  <c r="Z215"/>
  <c r="AA215"/>
  <c r="AB215"/>
  <c r="AD215"/>
  <c r="F214"/>
  <c r="G214"/>
  <c r="J214"/>
  <c r="L214"/>
  <c r="M214"/>
  <c r="O214"/>
  <c r="P214"/>
  <c r="Y214"/>
  <c r="Z214"/>
  <c r="AA214"/>
  <c r="AB214"/>
  <c r="AD214"/>
  <c r="F213"/>
  <c r="G213"/>
  <c r="J213"/>
  <c r="L213"/>
  <c r="M213"/>
  <c r="O213"/>
  <c r="P213"/>
  <c r="Y213"/>
  <c r="Z213"/>
  <c r="AA213"/>
  <c r="AB213"/>
  <c r="AD213"/>
  <c r="F212"/>
  <c r="G212"/>
  <c r="J212"/>
  <c r="L212"/>
  <c r="M212"/>
  <c r="O212"/>
  <c r="P212"/>
  <c r="Y212"/>
  <c r="Z212"/>
  <c r="AA212"/>
  <c r="AB212"/>
  <c r="AD212"/>
  <c r="F211"/>
  <c r="G211"/>
  <c r="J211"/>
  <c r="L211"/>
  <c r="M211"/>
  <c r="O211"/>
  <c r="P211"/>
  <c r="Y211"/>
  <c r="Z211"/>
  <c r="AA211"/>
  <c r="AB211"/>
  <c r="AD211"/>
  <c r="F210"/>
  <c r="G210"/>
  <c r="J210"/>
  <c r="L210"/>
  <c r="M210"/>
  <c r="O210"/>
  <c r="P210"/>
  <c r="Y210"/>
  <c r="Z210"/>
  <c r="AA210"/>
  <c r="AB210"/>
  <c r="AD210"/>
  <c r="F209"/>
  <c r="G209"/>
  <c r="J209"/>
  <c r="L209"/>
  <c r="M209"/>
  <c r="O209"/>
  <c r="P209"/>
  <c r="Y209"/>
  <c r="Z209"/>
  <c r="AA209"/>
  <c r="AB209"/>
  <c r="AD209"/>
  <c r="F208"/>
  <c r="G208"/>
  <c r="J208"/>
  <c r="L208"/>
  <c r="M208"/>
  <c r="O208"/>
  <c r="P208"/>
  <c r="Y208"/>
  <c r="Z208"/>
  <c r="AA208"/>
  <c r="AB208"/>
  <c r="AD208"/>
  <c r="F207"/>
  <c r="G207"/>
  <c r="J207"/>
  <c r="L207"/>
  <c r="M207"/>
  <c r="O207"/>
  <c r="P207"/>
  <c r="Y207"/>
  <c r="Z207"/>
  <c r="AA207"/>
  <c r="AB207"/>
  <c r="AD207"/>
  <c r="F206"/>
  <c r="G206"/>
  <c r="J206"/>
  <c r="L206"/>
  <c r="M206"/>
  <c r="O206"/>
  <c r="P206"/>
  <c r="Y206"/>
  <c r="Z206"/>
  <c r="AA206"/>
  <c r="AB206"/>
  <c r="AD206"/>
  <c r="F205"/>
  <c r="G205"/>
  <c r="J205"/>
  <c r="L205"/>
  <c r="M205"/>
  <c r="O205"/>
  <c r="P205"/>
  <c r="Y205"/>
  <c r="Z205"/>
  <c r="AA205"/>
  <c r="AB205"/>
  <c r="AD205"/>
  <c r="E36" i="1"/>
  <c r="E37"/>
  <c r="B253" i="5"/>
  <c r="B238"/>
  <c r="B239"/>
  <c r="B240"/>
  <c r="B241"/>
  <c r="B242"/>
  <c r="B243"/>
  <c r="B244"/>
  <c r="B245"/>
  <c r="B246"/>
  <c r="B247"/>
  <c r="B248"/>
  <c r="B249"/>
  <c r="B250"/>
  <c r="B251"/>
  <c r="B252"/>
  <c r="I123"/>
  <c r="J123"/>
  <c r="K123"/>
  <c r="L123"/>
  <c r="M123"/>
  <c r="O123"/>
  <c r="P123"/>
  <c r="AD123"/>
  <c r="J122"/>
  <c r="L122"/>
  <c r="M122"/>
  <c r="O122"/>
  <c r="P122"/>
  <c r="AD122"/>
  <c r="J121"/>
  <c r="L121"/>
  <c r="M121"/>
  <c r="O121"/>
  <c r="P121"/>
  <c r="AD121"/>
  <c r="J120"/>
  <c r="L120"/>
  <c r="M120"/>
  <c r="O120"/>
  <c r="P120"/>
  <c r="AD120"/>
  <c r="J119"/>
  <c r="L119"/>
  <c r="M119"/>
  <c r="O119"/>
  <c r="P119"/>
  <c r="AD119"/>
  <c r="J118"/>
  <c r="L118"/>
  <c r="M118"/>
  <c r="O118"/>
  <c r="P118"/>
  <c r="AD118"/>
  <c r="J117"/>
  <c r="L117"/>
  <c r="M117"/>
  <c r="O117"/>
  <c r="P117"/>
  <c r="AD117"/>
  <c r="J116"/>
  <c r="L116"/>
  <c r="M116"/>
  <c r="O116"/>
  <c r="P116"/>
  <c r="AD116"/>
  <c r="J115"/>
  <c r="L115"/>
  <c r="M115"/>
  <c r="O115"/>
  <c r="P115"/>
  <c r="AD115"/>
  <c r="J114"/>
  <c r="L114"/>
  <c r="M114"/>
  <c r="O114"/>
  <c r="P114"/>
  <c r="AD114"/>
  <c r="J113"/>
  <c r="L113"/>
  <c r="M113"/>
  <c r="O113"/>
  <c r="P113"/>
  <c r="AD113"/>
  <c r="J112"/>
  <c r="L112"/>
  <c r="M112"/>
  <c r="O112"/>
  <c r="P112"/>
  <c r="AD112"/>
  <c r="J111"/>
  <c r="L111"/>
  <c r="M111"/>
  <c r="O111"/>
  <c r="P111"/>
  <c r="AD111"/>
  <c r="J110"/>
  <c r="L110"/>
  <c r="M110"/>
  <c r="O110"/>
  <c r="P110"/>
  <c r="AD110"/>
  <c r="J109"/>
  <c r="L109"/>
  <c r="M109"/>
  <c r="O109"/>
  <c r="P109"/>
  <c r="AD109"/>
  <c r="J108"/>
  <c r="L108"/>
  <c r="M108"/>
  <c r="O108"/>
  <c r="P108"/>
  <c r="AD108"/>
  <c r="G316"/>
  <c r="G315"/>
  <c r="G314"/>
  <c r="G313"/>
  <c r="G312"/>
  <c r="G311"/>
  <c r="G310"/>
  <c r="G309"/>
  <c r="G308"/>
  <c r="G307"/>
  <c r="G306"/>
  <c r="G305"/>
  <c r="G304"/>
  <c r="G303"/>
  <c r="G302"/>
  <c r="G301"/>
  <c r="E39" i="1"/>
  <c r="E40"/>
  <c r="G10" i="5"/>
  <c r="G41"/>
  <c r="G72"/>
  <c r="AD72"/>
  <c r="AH72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G45" i="1"/>
  <c r="G46"/>
  <c r="G51"/>
  <c r="G9" i="5"/>
  <c r="G103"/>
  <c r="AD103"/>
  <c r="G104"/>
  <c r="AD104"/>
  <c r="G40"/>
  <c r="G71"/>
  <c r="G136"/>
  <c r="AD136"/>
  <c r="G296"/>
  <c r="G137"/>
  <c r="AD137"/>
  <c r="G297"/>
  <c r="AI136"/>
  <c r="G168"/>
  <c r="N168"/>
  <c r="AD168"/>
  <c r="AJ136"/>
  <c r="AI137"/>
  <c r="G169"/>
  <c r="N169"/>
  <c r="AD169"/>
  <c r="AJ137"/>
  <c r="G201"/>
  <c r="N201"/>
  <c r="AD201"/>
  <c r="G200"/>
  <c r="N200"/>
  <c r="AD200"/>
  <c r="B233"/>
  <c r="B234"/>
  <c r="AD41"/>
  <c r="AE41"/>
  <c r="AD40"/>
  <c r="AE40"/>
  <c r="AF41"/>
  <c r="AF40"/>
  <c r="AG72"/>
  <c r="AD71"/>
  <c r="AG71"/>
  <c r="B297"/>
  <c r="AH71"/>
  <c r="C296"/>
  <c r="B296"/>
  <c r="G265"/>
  <c r="AD265"/>
  <c r="H296"/>
  <c r="I296"/>
  <c r="J296"/>
  <c r="G266"/>
  <c r="AD266"/>
  <c r="H297"/>
  <c r="I297"/>
  <c r="J297"/>
  <c r="AP137"/>
  <c r="AP136"/>
  <c r="AP265"/>
  <c r="AP266"/>
</calcChain>
</file>

<file path=xl/sharedStrings.xml><?xml version="1.0" encoding="utf-8"?>
<sst xmlns="http://schemas.openxmlformats.org/spreadsheetml/2006/main" count="1624" uniqueCount="410">
  <si>
    <t>Choose Scenario</t>
  </si>
  <si>
    <t>4.3.7</t>
  </si>
  <si>
    <t>Sales tax on motor fuel</t>
  </si>
  <si>
    <t>4.5.7</t>
  </si>
  <si>
    <t>4.5.8</t>
  </si>
  <si>
    <t>4.5.1</t>
  </si>
  <si>
    <t>Toll new facilities</t>
  </si>
  <si>
    <t>4.5.2</t>
  </si>
  <si>
    <t>Toll existing facilities</t>
  </si>
  <si>
    <t>4.5.3</t>
  </si>
  <si>
    <t>Toll new lane/convert HOV to HOT</t>
  </si>
  <si>
    <t>4.4.2</t>
  </si>
  <si>
    <t>Vehicle registration fee</t>
  </si>
  <si>
    <t>4.4.8</t>
  </si>
  <si>
    <t>Rental car excise tax</t>
  </si>
  <si>
    <t>4.6.2</t>
  </si>
  <si>
    <t>Dedicated general sales tax</t>
  </si>
  <si>
    <t>4.6.3</t>
  </si>
  <si>
    <t>Increase to general sales tax</t>
  </si>
  <si>
    <t>4.6.1</t>
  </si>
  <si>
    <t>General Fund appropriations</t>
  </si>
  <si>
    <t>4.4.14</t>
  </si>
  <si>
    <t>Overweight/oversize vehicle fee</t>
  </si>
  <si>
    <t>4.4.3</t>
  </si>
  <si>
    <t>Passenger vehicle excise tax</t>
  </si>
  <si>
    <t>4.8.2</t>
  </si>
  <si>
    <t>Tax increment financing</t>
  </si>
  <si>
    <t>Development exactions</t>
  </si>
  <si>
    <t>Special assessment district</t>
  </si>
  <si>
    <t>4.4.9</t>
  </si>
  <si>
    <t>Sales tax surcharge on auto sales</t>
  </si>
  <si>
    <t>4.4.1</t>
  </si>
  <si>
    <t>4.4.11</t>
  </si>
  <si>
    <t>Tire Tax</t>
  </si>
  <si>
    <t>4.4.6</t>
  </si>
  <si>
    <t>Plug-in electric vehicle tax</t>
  </si>
  <si>
    <t>4.4.13</t>
  </si>
  <si>
    <t>Vehicle law enforcement fee</t>
  </si>
  <si>
    <t>Description</t>
  </si>
  <si>
    <t>Fuel Tax</t>
  </si>
  <si>
    <t>Existing Fuel Excise Tax - Gasoline</t>
  </si>
  <si>
    <t>Existing Fuel Excise Tax - Diesel</t>
  </si>
  <si>
    <t>Existing Fuel Excise Tax - Surtax</t>
  </si>
  <si>
    <t>Shut-off year</t>
  </si>
  <si>
    <t>4.3.1 - 4.3.5</t>
  </si>
  <si>
    <t>Road use charges</t>
  </si>
  <si>
    <t>Light vehicle distance charge</t>
  </si>
  <si>
    <t>Instructions</t>
  </si>
  <si>
    <t>Periodic increase (every 3 years)</t>
  </si>
  <si>
    <t>Heavy vehicle weight-distance charge</t>
  </si>
  <si>
    <t>Heavy vehicle distance-size fee</t>
  </si>
  <si>
    <t>Heavy vehicle distance-damage fee</t>
  </si>
  <si>
    <t>Vehicle &amp; Driver Taxes</t>
  </si>
  <si>
    <t>Operator (driver) license fee</t>
  </si>
  <si>
    <t>Existing rate</t>
  </si>
  <si>
    <t>Escalation Factor</t>
  </si>
  <si>
    <t>General Sales Taxes</t>
  </si>
  <si>
    <t>Tolls</t>
  </si>
  <si>
    <t>4.5.9</t>
  </si>
  <si>
    <t>4.5.5 and 4.5.6</t>
  </si>
  <si>
    <t>Other</t>
  </si>
  <si>
    <t>See schedule</t>
  </si>
  <si>
    <t>N/A</t>
  </si>
  <si>
    <t>Enter amount to transfer from general fund to transportation.</t>
  </si>
  <si>
    <t>Enter amount to generate from local property taxes including value capture mechanisms.</t>
  </si>
  <si>
    <t>Enter per-mile rate in dollars to be charged light vehicles (&lt;10k pounds).</t>
  </si>
  <si>
    <t>CPI</t>
  </si>
  <si>
    <t>CCI</t>
  </si>
  <si>
    <t>Population</t>
  </si>
  <si>
    <t>VMT</t>
  </si>
  <si>
    <t>Gasoline</t>
  </si>
  <si>
    <t>Year</t>
  </si>
  <si>
    <t>Item</t>
  </si>
  <si>
    <t>Value</t>
  </si>
  <si>
    <t>Inflation</t>
  </si>
  <si>
    <t>Transaction fees (flat) - credit</t>
  </si>
  <si>
    <t>Transaction fees (flat) - debit</t>
  </si>
  <si>
    <t>Transaction fees (variable) - credit</t>
  </si>
  <si>
    <t>Transaction fees (variable) - debit</t>
  </si>
  <si>
    <t>Printing and mailing cost</t>
  </si>
  <si>
    <t>All</t>
  </si>
  <si>
    <t>Retention allowance</t>
  </si>
  <si>
    <t>Source</t>
  </si>
  <si>
    <t>Assumption - based on Oregon forecasts</t>
  </si>
  <si>
    <t>Assumption - based on Oregon and NZ actuals</t>
  </si>
  <si>
    <t>IN Statute</t>
  </si>
  <si>
    <t>Alternative Description</t>
  </si>
  <si>
    <t>4.3.1-4.3.5</t>
  </si>
  <si>
    <t>Fuel excise taxes</t>
  </si>
  <si>
    <t>Inflation trackers</t>
  </si>
  <si>
    <t>Alternative Category</t>
  </si>
  <si>
    <t>Alternative Number</t>
  </si>
  <si>
    <t>Gross Revenues</t>
  </si>
  <si>
    <t>Adjusted Gross Revenues</t>
  </si>
  <si>
    <t>Costs</t>
  </si>
  <si>
    <t>Total Evasion</t>
  </si>
  <si>
    <t>Selected Scenario</t>
  </si>
  <si>
    <t>Gallons Fuel</t>
  </si>
  <si>
    <t>Diesel &amp; Equivalent</t>
  </si>
  <si>
    <t>Licensed Drivers</t>
  </si>
  <si>
    <t>Registered Vehicles</t>
  </si>
  <si>
    <t>Class 1 (MC)</t>
  </si>
  <si>
    <t>Class 2/3 (PC)</t>
  </si>
  <si>
    <t>Class 4 (Bus)</t>
  </si>
  <si>
    <t>Class 5-7 (SUT)</t>
  </si>
  <si>
    <t>Class 8-13 (HDV)</t>
  </si>
  <si>
    <t>Class 2/3 (PC - Electric)</t>
  </si>
  <si>
    <t>Car Rental Taxable Sales</t>
  </si>
  <si>
    <t>All Taxable Sales</t>
  </si>
  <si>
    <t>Number of Tires Sold</t>
  </si>
  <si>
    <t>New Vehicles Sold</t>
  </si>
  <si>
    <t>PC Excise Tax</t>
  </si>
  <si>
    <t>Scenario 1: Sure and Steady</t>
  </si>
  <si>
    <t>Scenario 2: Burning Rubber</t>
  </si>
  <si>
    <t>Scenario 4: Misery Index</t>
  </si>
  <si>
    <t>Enter the desired tax rate in dollars per gallon for each fuel type for a one-time increase (column F). Optionally, indicate a periodic increase amount to be added every 3 years (column G) and/or an escalation factor for the excise tax rate (CPI or CCI).</t>
  </si>
  <si>
    <t>Price of Fuel</t>
  </si>
  <si>
    <t>Diesel</t>
  </si>
  <si>
    <t>Enter percentage increase across the baord from existing schedule.</t>
  </si>
  <si>
    <t>None</t>
  </si>
  <si>
    <t>Rate Table</t>
  </si>
  <si>
    <t>Oregon</t>
  </si>
  <si>
    <t>Kentucky</t>
  </si>
  <si>
    <t>Enter the desired amount to charge per year for a driver license.</t>
  </si>
  <si>
    <t>Enter the desired amount to charge per year for vehicle registration.</t>
  </si>
  <si>
    <t>Enter per-vehicle annual fee for electric vehicles only.</t>
  </si>
  <si>
    <t>Enter an additional percentage sales tax on car sales.</t>
  </si>
  <si>
    <t>Enter a flat charge per tire sold.</t>
  </si>
  <si>
    <t>Enter a flat amount per vehicle per year.</t>
  </si>
  <si>
    <t>Enter amount of general sales tax to devote to transportation.</t>
  </si>
  <si>
    <t>Enter new general sales tax rate (above 7% goes to transportation).</t>
  </si>
  <si>
    <t>Choose a rate schedule based on Kentucky or Oregon.</t>
  </si>
  <si>
    <t>Choose a modified rate schedule based on Kentucky or Oregon.</t>
  </si>
  <si>
    <t>TBD</t>
  </si>
  <si>
    <t>Enter new rental car tax rate (above 4% goes to transportation).</t>
  </si>
  <si>
    <t>Enter new sales tax rate for fuel (above 7% goes to transportation).</t>
  </si>
  <si>
    <t>Year shut off</t>
  </si>
  <si>
    <t>WMT tax schedule</t>
  </si>
  <si>
    <t>Distance-damage tax schedule</t>
  </si>
  <si>
    <t>Scenario</t>
  </si>
  <si>
    <t>Existing Fuel Excise Tax - Diesel (IFTA + MCFUT)</t>
  </si>
  <si>
    <t>Total</t>
  </si>
  <si>
    <t>Revenue per VMT</t>
  </si>
  <si>
    <t>Calculated Rates</t>
  </si>
  <si>
    <t>Revenue per LDV VMT</t>
  </si>
  <si>
    <t>Revenue per HDV VMT</t>
  </si>
  <si>
    <t>Purdue</t>
  </si>
  <si>
    <t>Revenue Alternatives</t>
  </si>
  <si>
    <t>Transition</t>
  </si>
  <si>
    <t>Start of transition</t>
  </si>
  <si>
    <t>End of transition</t>
  </si>
  <si>
    <t>Passenger vehicle registration fee</t>
  </si>
  <si>
    <t>Surtax Gallons</t>
  </si>
  <si>
    <t>All VMT</t>
  </si>
  <si>
    <t>User Fee</t>
  </si>
  <si>
    <t>General Tax</t>
  </si>
  <si>
    <t>INDOT</t>
  </si>
  <si>
    <t>IRP</t>
  </si>
  <si>
    <t>Enter percentage increase across the board from existing schedule.</t>
  </si>
  <si>
    <t>IRP Revenues</t>
  </si>
  <si>
    <t>OS/OW</t>
  </si>
  <si>
    <t>Surtax gallons as a % of diesel</t>
  </si>
  <si>
    <t>4.3.3</t>
  </si>
  <si>
    <t>IT</t>
  </si>
  <si>
    <t>Operations</t>
  </si>
  <si>
    <t>Audit</t>
  </si>
  <si>
    <t>Retention fees</t>
  </si>
  <si>
    <t>Transaction costs</t>
  </si>
  <si>
    <t>Gasoline tax</t>
  </si>
  <si>
    <t>Diesel tax</t>
  </si>
  <si>
    <t>Surtax</t>
  </si>
  <si>
    <t>Motor fuel sales tax</t>
  </si>
  <si>
    <t>Driver license fee</t>
  </si>
  <si>
    <t>EV fee</t>
  </si>
  <si>
    <t>Auto sales surcharge</t>
  </si>
  <si>
    <t>Tire tax</t>
  </si>
  <si>
    <t>Distance-size fee</t>
  </si>
  <si>
    <t>Distance-damage fee</t>
  </si>
  <si>
    <t>Rental car sales tax</t>
  </si>
  <si>
    <t>4.4.9 and 4.6.2-3</t>
  </si>
  <si>
    <t>Sales tax merchant retention allowance</t>
  </si>
  <si>
    <t>Tax Handbook</t>
  </si>
  <si>
    <t>Assumption</t>
  </si>
  <si>
    <t>Percentage of merchants &lt;$60k</t>
  </si>
  <si>
    <t>Percentage of merchants $60k-$600k</t>
  </si>
  <si>
    <t>Percentage of merchants &gt;$600k</t>
  </si>
  <si>
    <t>Dedicated sales tax</t>
  </si>
  <si>
    <t>Increase to sales tax</t>
  </si>
  <si>
    <t>INDOT Revenue Forecast</t>
  </si>
  <si>
    <t>Status Quo Total</t>
  </si>
  <si>
    <t>RUC Method</t>
  </si>
  <si>
    <t>Odometer</t>
  </si>
  <si>
    <t>Automated - SAM</t>
  </si>
  <si>
    <t>% electing</t>
  </si>
  <si>
    <t>Method</t>
  </si>
  <si>
    <t>Location</t>
  </si>
  <si>
    <t>Payment</t>
  </si>
  <si>
    <t>Agency</t>
  </si>
  <si>
    <t>Credit</t>
  </si>
  <si>
    <t>Debit</t>
  </si>
  <si>
    <t>Cash</t>
  </si>
  <si>
    <t>Check</t>
  </si>
  <si>
    <t>EFT</t>
  </si>
  <si>
    <t>Mail</t>
  </si>
  <si>
    <t>Online</t>
  </si>
  <si>
    <t>Frequency</t>
  </si>
  <si>
    <t>Payment Location</t>
  </si>
  <si>
    <t>Automated SAM</t>
  </si>
  <si>
    <t>Automated CAM</t>
  </si>
  <si>
    <t>% Electing</t>
  </si>
  <si>
    <t>Time to process per transaction</t>
  </si>
  <si>
    <t>Customer service time per year</t>
  </si>
  <si>
    <t>Total time per year</t>
  </si>
  <si>
    <t>Odometer read transaction time</t>
  </si>
  <si>
    <t>Mail transaction time</t>
  </si>
  <si>
    <t>Online transaction time</t>
  </si>
  <si>
    <t>Odometer read customer service time</t>
  </si>
  <si>
    <t>Mail customer service time</t>
  </si>
  <si>
    <t>Online customer service time</t>
  </si>
  <si>
    <t>VMT ICE</t>
  </si>
  <si>
    <t>VMT EV</t>
  </si>
  <si>
    <t>Total VMT</t>
  </si>
  <si>
    <t>Vehicles ICE</t>
  </si>
  <si>
    <t>Vehicles EV</t>
  </si>
  <si>
    <t>Total Vehicles</t>
  </si>
  <si>
    <t>VMT per Vehicle</t>
  </si>
  <si>
    <t>Rate</t>
  </si>
  <si>
    <t>Average annual RUC</t>
  </si>
  <si>
    <t>Transaction value</t>
  </si>
  <si>
    <t>Transaction fees (flat) - EFT</t>
  </si>
  <si>
    <t>Transaction fees (variable) - EFT</t>
  </si>
  <si>
    <t>Online transaction costs</t>
  </si>
  <si>
    <t>Cost per transaction per year</t>
  </si>
  <si>
    <t>Number of accounts</t>
  </si>
  <si>
    <t>Total cost</t>
  </si>
  <si>
    <t>Total time</t>
  </si>
  <si>
    <t>Retentaion allowance</t>
  </si>
  <si>
    <t>Monthly device comms</t>
  </si>
  <si>
    <t>Job Class Title</t>
  </si>
  <si>
    <t>Average</t>
  </si>
  <si>
    <t>AUDIT SPECIALIST - DOT 1</t>
  </si>
  <si>
    <t>AUDIT SPECIALIST - DOT 4</t>
  </si>
  <si>
    <t>COMMUNICATIONS CONSULTANT 1</t>
  </si>
  <si>
    <t>COMMUNICATIONS CONSULTANT 5</t>
  </si>
  <si>
    <t>CUSTOMER SERVICE SPECIALIST 1</t>
  </si>
  <si>
    <t>CUSTOMER SERVICE MANAGER</t>
  </si>
  <si>
    <t>ECONOMIC ANALYST 1</t>
  </si>
  <si>
    <t>ECONOMIC ANALYST 3</t>
  </si>
  <si>
    <t>FINANCIAL SERVICES SPECIALIST 1</t>
  </si>
  <si>
    <t>FINANCIAL SERVICES SPECIALIST 5</t>
  </si>
  <si>
    <t>[Fraud] INVESTIGATOR 1</t>
  </si>
  <si>
    <t>[Fraud] INVESTIGATOR 4</t>
  </si>
  <si>
    <t>IT SPECIALIST 1</t>
  </si>
  <si>
    <t>IT SYSTEMS/APP SPEC 6</t>
  </si>
  <si>
    <t>OFFICE ASSISTANT 1</t>
  </si>
  <si>
    <t>OFFICE MANAGER</t>
  </si>
  <si>
    <t>Burden Rate</t>
  </si>
  <si>
    <t>WSDOT</t>
  </si>
  <si>
    <t>FTE</t>
  </si>
  <si>
    <t>Cost</t>
  </si>
  <si>
    <t>Total Cost</t>
  </si>
  <si>
    <t>RUC Retention Allowance</t>
  </si>
  <si>
    <t>RUC SAM Monthly Device Communications Costs</t>
  </si>
  <si>
    <t>RUC IT</t>
  </si>
  <si>
    <t>Acquisition</t>
  </si>
  <si>
    <t>Devices</t>
  </si>
  <si>
    <t>SAM accounts</t>
  </si>
  <si>
    <t>New SAM accounts</t>
  </si>
  <si>
    <t>SAM</t>
  </si>
  <si>
    <t>CAM</t>
  </si>
  <si>
    <t>RUC Audit Materials</t>
  </si>
  <si>
    <t>RUC Audit Percentages</t>
  </si>
  <si>
    <t>Odo</t>
  </si>
  <si>
    <t>Odo Accounts</t>
  </si>
  <si>
    <t>Odo Self Accts</t>
  </si>
  <si>
    <t>CAM accounts</t>
  </si>
  <si>
    <t>Audit Time</t>
  </si>
  <si>
    <t>Audit FTE</t>
  </si>
  <si>
    <t>FTE Cost</t>
  </si>
  <si>
    <t>Materials Cost</t>
  </si>
  <si>
    <t>RUC Audit Times (hours)</t>
  </si>
  <si>
    <t>minutes</t>
  </si>
  <si>
    <t>2014 DOR Motor Carrier Regulation Budget</t>
  </si>
  <si>
    <t>2014 DOR Motor Vehicle Fuel Tax Budget</t>
  </si>
  <si>
    <t>2014 Revenue collected per $1 budgeted (DOR)</t>
  </si>
  <si>
    <t>2014/15 BMV License Branch Budget</t>
  </si>
  <si>
    <t>2014/15 BMV General Operations</t>
  </si>
  <si>
    <t>2014/15 BMV Technology</t>
  </si>
  <si>
    <t>Reg Fee as % of BMV Revenues</t>
  </si>
  <si>
    <t>License Fees as % of BMV Revenues</t>
  </si>
  <si>
    <t>2013 Tax Handbook BMV Revenues</t>
  </si>
  <si>
    <t>CDL</t>
  </si>
  <si>
    <t>DD School</t>
  </si>
  <si>
    <t>Baot Reg</t>
  </si>
  <si>
    <t>Driver Llicenses</t>
  </si>
  <si>
    <t>*BMV charges $3.5 per license + $0.50 for photo = 23%</t>
  </si>
  <si>
    <t>Lic Reinstatement</t>
  </si>
  <si>
    <t>Veh Reg + Title</t>
  </si>
  <si>
    <t>% of total</t>
  </si>
  <si>
    <t>Comm Veh Excise Tax?</t>
  </si>
  <si>
    <t>Wheel Tax + Surtax</t>
  </si>
  <si>
    <t>*BMV keeps $0.15 per transaction</t>
  </si>
  <si>
    <t>MVET</t>
  </si>
  <si>
    <t>Watercraft Excise Tax</t>
  </si>
  <si>
    <t>Anatomical Gift Promotion</t>
  </si>
  <si>
    <t>MVET as a % of BMV Revenues</t>
  </si>
  <si>
    <t>Alt method</t>
  </si>
  <si>
    <t>$4/ license</t>
  </si>
  <si>
    <t>$0.15/transact</t>
  </si>
  <si>
    <t>BMV Fee for Driver License Transaction</t>
  </si>
  <si>
    <t>BMV Fee for MVET</t>
  </si>
  <si>
    <t>acquisition</t>
  </si>
  <si>
    <t>annual maintenance</t>
  </si>
  <si>
    <t>refresh</t>
  </si>
  <si>
    <t>refresh interval</t>
  </si>
  <si>
    <t>LDV RUC</t>
  </si>
  <si>
    <t>WMT customers</t>
  </si>
  <si>
    <t>% automated</t>
  </si>
  <si>
    <t>Status Quo</t>
  </si>
  <si>
    <t>Nominal</t>
  </si>
  <si>
    <t>Real</t>
  </si>
  <si>
    <t>Evasion</t>
  </si>
  <si>
    <t>Gas Tax</t>
  </si>
  <si>
    <t>Diesel Tax</t>
  </si>
  <si>
    <t>Fuel Sales Tax</t>
  </si>
  <si>
    <t>Driver License</t>
  </si>
  <si>
    <t>Veh Excise Tax</t>
  </si>
  <si>
    <t>Veh Reg Fee</t>
  </si>
  <si>
    <t>EV Fee</t>
  </si>
  <si>
    <t>Car Sales  Tax</t>
  </si>
  <si>
    <t>Veh Law Enf Fee</t>
  </si>
  <si>
    <t>Increase Sales Tax</t>
  </si>
  <si>
    <t>Dedicated Sales Tax</t>
  </si>
  <si>
    <t>HDV WMT</t>
  </si>
  <si>
    <t>HDV Distance-Size</t>
  </si>
  <si>
    <t>HDV Distance-Damage</t>
  </si>
  <si>
    <t>Toll New</t>
  </si>
  <si>
    <t>Toll Existing</t>
  </si>
  <si>
    <t>HOT</t>
  </si>
  <si>
    <t>Rental Car Excise Tax</t>
  </si>
  <si>
    <t>General Fund</t>
  </si>
  <si>
    <t>TIF</t>
  </si>
  <si>
    <t>Developer Fee</t>
  </si>
  <si>
    <t>Assessment</t>
  </si>
  <si>
    <t>1: Sure &amp; Steady… 2: Burning Rubber… 3: Green Fleet… 4: Misery Index</t>
  </si>
  <si>
    <t>Scenario 3: Green Fleet</t>
  </si>
  <si>
    <t>Net Revenues - LOCAL SHARE</t>
  </si>
  <si>
    <t>Net Revenues - STATE Share</t>
  </si>
  <si>
    <t>Net Revenues - STATE + LOCAL Share</t>
  </si>
  <si>
    <t>Total taxes/fees per driver license and per household (includes local share)</t>
  </si>
  <si>
    <t>Per licensed driver</t>
  </si>
  <si>
    <t>Per household</t>
  </si>
  <si>
    <t>Net revenue (state share only)</t>
  </si>
  <si>
    <t>Taxes/fees paid per household (state + local shares combined)</t>
  </si>
  <si>
    <t>Choose a rate schedule based on Purdue study SPR 3704.</t>
  </si>
  <si>
    <t>CAM = Commercial Account Manager</t>
  </si>
  <si>
    <t>SAM = State Agency Account Manager</t>
  </si>
  <si>
    <t>RUC = Road Use Charge</t>
  </si>
  <si>
    <t>1 = once per year</t>
  </si>
  <si>
    <t>2 = twice per year</t>
  </si>
  <si>
    <t>4 = quarterly</t>
  </si>
  <si>
    <t>Frequency definitions</t>
  </si>
  <si>
    <t>Distance - Weight Tax</t>
  </si>
  <si>
    <t>Light Vehicle Road Use Charge</t>
  </si>
  <si>
    <t>Federal contribution to INDOT</t>
  </si>
  <si>
    <t>State+Federal to INDOT</t>
  </si>
  <si>
    <t>INDOT State+Federal plus Local share of state revenues</t>
  </si>
  <si>
    <t>Notes</t>
  </si>
  <si>
    <t>Existing state share</t>
  </si>
  <si>
    <t>Desired state share</t>
  </si>
  <si>
    <t>State Share</t>
  </si>
  <si>
    <t>Miscellaneous</t>
  </si>
  <si>
    <t>From budget documents</t>
  </si>
  <si>
    <t>Title adjustment factor</t>
  </si>
  <si>
    <t>Adjusts registration fee revenue to reflect title revenues</t>
  </si>
  <si>
    <t>Miscellaneous revenue growth</t>
  </si>
  <si>
    <t>Passenger Cars</t>
  </si>
  <si>
    <t>Trucks</t>
  </si>
  <si>
    <t>Per registered truck</t>
  </si>
  <si>
    <t>Taxes/fees paid per registered truck (state + local shares combined)</t>
  </si>
  <si>
    <t>Categories</t>
  </si>
  <si>
    <t>Fuel Taxes</t>
  </si>
  <si>
    <t>Road Use Charges</t>
  </si>
  <si>
    <t>Transaction cost per vehicle registration</t>
  </si>
  <si>
    <t>Average years between DL renewal</t>
  </si>
  <si>
    <t>Tax Increment Financing</t>
  </si>
  <si>
    <t>Net Revenues - Purchasing Power - STATE share only</t>
  </si>
  <si>
    <t>Net revenue (local share only)</t>
  </si>
  <si>
    <t>State</t>
  </si>
  <si>
    <t>Local</t>
  </si>
  <si>
    <t>Status quo revenue in 2035 (nominal)</t>
  </si>
  <si>
    <t>Selected scenario in 2035 (nominal)</t>
  </si>
  <si>
    <t>Difference (2035 dollars)</t>
  </si>
  <si>
    <t>Federal revenue</t>
  </si>
  <si>
    <t>Federal</t>
  </si>
  <si>
    <t>Additional monthly cost for households and registered trucks</t>
  </si>
  <si>
    <t>Add'l monthly cost per truck in 2035</t>
  </si>
  <si>
    <t>Add'l monthly cost per household in 2035</t>
  </si>
  <si>
    <t>GF Revenues</t>
  </si>
  <si>
    <t>General Fund annual increase</t>
  </si>
  <si>
    <t>General fund</t>
  </si>
  <si>
    <t>Purdue and SBE (3.4% annual since 2000)</t>
  </si>
  <si>
    <t>Desired rate (2017)</t>
  </si>
  <si>
    <t>Avg annual net revenue - state share (2017-2035)</t>
  </si>
  <si>
    <t>Avg annual net revenue - local share (2017-2035)</t>
  </si>
  <si>
    <t>Cumulative Status Quo (2017-2035) (2015 dollars)</t>
  </si>
  <si>
    <t>Cumulative New (2017-2035) (2015 dollars)</t>
  </si>
  <si>
    <t>Cumulative Change (2017-2035) (2015 dollars)</t>
  </si>
  <si>
    <t>Add'l average monthly cost per household, 2017-2035</t>
  </si>
  <si>
    <t>Add'l average monthly cost per truck, 2017-2035</t>
  </si>
</sst>
</file>

<file path=xl/styles.xml><?xml version="1.0" encoding="utf-8"?>
<styleSheet xmlns="http://schemas.openxmlformats.org/spreadsheetml/2006/main">
  <numFmts count="10"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(* #,##0_);_(* \(#,##0\);_(* &quot;-&quot;??_);_(@_)"/>
    <numFmt numFmtId="168" formatCode="_-* #,##0_-;\-* #,##0_-;_-* &quot;-&quot;??_-;_-@_-"/>
    <numFmt numFmtId="169" formatCode="_-&quot;$&quot;* #,##0_-;\-&quot;$&quot;* #,##0_-;_-&quot;$&quot;* &quot;-&quot;??_-;_-@_-"/>
    <numFmt numFmtId="170" formatCode="_-&quot;$&quot;* #,##0.000_-;\-&quot;$&quot;* #,##0.000_-;_-&quot;$&quot;* &quot;-&quot;??_-;_-@_-"/>
    <numFmt numFmtId="171" formatCode="0.0%"/>
    <numFmt numFmtId="172" formatCode="_-* #,##0.0_-;\-* #,##0.0_-;_-* &quot;-&quot;??_-;_-@_-"/>
    <numFmt numFmtId="173" formatCode="_-&quot;$&quot;* #,##0.0_-;\-&quot;$&quot;* #,##0.0_-;_-&quot;$&quot;* &quot;-&quot;??_-;_-@_-"/>
  </numFmts>
  <fonts count="1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theme="1"/>
      <name val="Calibri (Body)"/>
    </font>
    <font>
      <sz val="12"/>
      <color rgb="FF222222"/>
      <name val="Calibri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name val="Calibri (Body)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16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4">
    <xf numFmtId="0" fontId="0" fillId="0" borderId="0" xfId="0"/>
    <xf numFmtId="0" fontId="0" fillId="0" borderId="0" xfId="0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0" fillId="2" borderId="1" xfId="0" applyFill="1" applyBorder="1"/>
    <xf numFmtId="0" fontId="0" fillId="0" borderId="1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/>
    <xf numFmtId="165" fontId="0" fillId="2" borderId="1" xfId="19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167" fontId="0" fillId="0" borderId="1" xfId="219" applyNumberFormat="1" applyFont="1" applyBorder="1" applyAlignment="1">
      <alignment horizontal="center" vertical="center"/>
    </xf>
    <xf numFmtId="168" fontId="0" fillId="0" borderId="1" xfId="219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8" fontId="6" fillId="0" borderId="1" xfId="219" applyNumberFormat="1" applyFont="1" applyBorder="1"/>
    <xf numFmtId="168" fontId="6" fillId="0" borderId="1" xfId="219" applyNumberFormat="1" applyFont="1" applyBorder="1" applyAlignment="1">
      <alignment horizontal="center" vertical="center"/>
    </xf>
    <xf numFmtId="168" fontId="9" fillId="0" borderId="1" xfId="219" applyNumberFormat="1" applyFont="1" applyBorder="1"/>
    <xf numFmtId="168" fontId="9" fillId="0" borderId="1" xfId="219" applyNumberFormat="1" applyFont="1" applyFill="1" applyBorder="1"/>
    <xf numFmtId="165" fontId="0" fillId="0" borderId="1" xfId="19" applyFont="1" applyBorder="1"/>
    <xf numFmtId="169" fontId="0" fillId="0" borderId="1" xfId="19" applyNumberFormat="1" applyFont="1" applyBorder="1"/>
    <xf numFmtId="165" fontId="0" fillId="0" borderId="1" xfId="0" applyNumberFormat="1" applyBorder="1"/>
    <xf numFmtId="10" fontId="0" fillId="0" borderId="1" xfId="20" applyNumberFormat="1" applyFont="1" applyBorder="1"/>
    <xf numFmtId="10" fontId="0" fillId="0" borderId="1" xfId="19" applyNumberFormat="1" applyFont="1" applyBorder="1"/>
    <xf numFmtId="165" fontId="0" fillId="0" borderId="1" xfId="19" applyNumberFormat="1" applyFont="1" applyBorder="1"/>
    <xf numFmtId="165" fontId="0" fillId="0" borderId="1" xfId="19" applyFont="1" applyBorder="1" applyAlignment="1">
      <alignment horizontal="right"/>
    </xf>
    <xf numFmtId="165" fontId="3" fillId="4" borderId="1" xfId="19" applyFont="1" applyFill="1" applyBorder="1" applyAlignment="1">
      <alignment horizontal="right"/>
    </xf>
    <xf numFmtId="10" fontId="3" fillId="4" borderId="1" xfId="20" applyNumberFormat="1" applyFont="1" applyFill="1" applyBorder="1" applyAlignment="1">
      <alignment horizontal="right"/>
    </xf>
    <xf numFmtId="9" fontId="3" fillId="4" borderId="1" xfId="20" applyFont="1" applyFill="1" applyBorder="1" applyAlignment="1">
      <alignment horizontal="right"/>
    </xf>
    <xf numFmtId="10" fontId="3" fillId="4" borderId="1" xfId="19" applyNumberFormat="1" applyFont="1" applyFill="1" applyBorder="1" applyAlignment="1">
      <alignment horizontal="right"/>
    </xf>
    <xf numFmtId="169" fontId="0" fillId="0" borderId="1" xfId="0" applyNumberFormat="1" applyBorder="1"/>
    <xf numFmtId="170" fontId="11" fillId="0" borderId="10" xfId="0" applyNumberFormat="1" applyFont="1" applyBorder="1"/>
    <xf numFmtId="165" fontId="0" fillId="0" borderId="1" xfId="19" applyFont="1" applyBorder="1" applyAlignment="1">
      <alignment horizontal="center" vertical="center"/>
    </xf>
    <xf numFmtId="168" fontId="0" fillId="0" borderId="1" xfId="219" applyNumberFormat="1" applyFont="1" applyBorder="1" applyAlignment="1">
      <alignment horizontal="center" vertical="center"/>
    </xf>
    <xf numFmtId="9" fontId="0" fillId="2" borderId="1" xfId="20" applyFont="1" applyFill="1" applyBorder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7" fontId="0" fillId="0" borderId="0" xfId="0" applyNumberFormat="1"/>
    <xf numFmtId="169" fontId="0" fillId="0" borderId="0" xfId="19" applyNumberFormat="1" applyFont="1"/>
    <xf numFmtId="169" fontId="0" fillId="0" borderId="1" xfId="19" applyNumberFormat="1" applyFont="1" applyBorder="1" applyAlignment="1">
      <alignment horizontal="center" vertical="center"/>
    </xf>
    <xf numFmtId="169" fontId="11" fillId="0" borderId="10" xfId="0" applyNumberFormat="1" applyFont="1" applyBorder="1"/>
    <xf numFmtId="10" fontId="0" fillId="0" borderId="1" xfId="20" applyNumberFormat="1" applyFont="1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9" fontId="0" fillId="0" borderId="1" xfId="2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11" fillId="0" borderId="0" xfId="0" applyFont="1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/>
    <xf numFmtId="171" fontId="0" fillId="0" borderId="0" xfId="20" applyNumberFormat="1" applyFont="1" applyFill="1" applyBorder="1"/>
    <xf numFmtId="9" fontId="0" fillId="4" borderId="1" xfId="20" applyFont="1" applyFill="1" applyBorder="1"/>
    <xf numFmtId="9" fontId="0" fillId="0" borderId="4" xfId="20" applyFont="1" applyFill="1" applyBorder="1"/>
    <xf numFmtId="0" fontId="6" fillId="0" borderId="1" xfId="0" applyFont="1" applyBorder="1" applyAlignment="1">
      <alignment horizontal="center" vertical="center"/>
    </xf>
    <xf numFmtId="165" fontId="0" fillId="0" borderId="0" xfId="19" applyFont="1"/>
    <xf numFmtId="0" fontId="3" fillId="0" borderId="1" xfId="219" applyNumberFormat="1" applyFont="1" applyFill="1" applyBorder="1" applyAlignment="1">
      <alignment horizontal="center"/>
    </xf>
    <xf numFmtId="168" fontId="0" fillId="0" borderId="0" xfId="0" applyNumberFormat="1"/>
    <xf numFmtId="166" fontId="0" fillId="0" borderId="0" xfId="0" applyNumberFormat="1"/>
    <xf numFmtId="168" fontId="0" fillId="0" borderId="1" xfId="219" applyNumberFormat="1" applyFont="1" applyFill="1" applyBorder="1"/>
    <xf numFmtId="168" fontId="0" fillId="0" borderId="1" xfId="0" applyNumberFormat="1" applyBorder="1"/>
    <xf numFmtId="0" fontId="0" fillId="0" borderId="0" xfId="0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13" fillId="0" borderId="1" xfId="0" applyFont="1" applyBorder="1"/>
    <xf numFmtId="169" fontId="0" fillId="0" borderId="0" xfId="0" applyNumberFormat="1"/>
    <xf numFmtId="166" fontId="0" fillId="0" borderId="1" xfId="0" applyNumberFormat="1" applyBorder="1"/>
    <xf numFmtId="164" fontId="0" fillId="0" borderId="0" xfId="19" applyNumberFormat="1" applyFont="1"/>
    <xf numFmtId="165" fontId="0" fillId="0" borderId="0" xfId="0" applyNumberFormat="1"/>
    <xf numFmtId="10" fontId="0" fillId="0" borderId="0" xfId="20" applyNumberFormat="1" applyFont="1"/>
    <xf numFmtId="0" fontId="7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9" fontId="0" fillId="4" borderId="1" xfId="19" applyNumberFormat="1" applyFont="1" applyFill="1" applyBorder="1"/>
    <xf numFmtId="169" fontId="0" fillId="0" borderId="0" xfId="0" applyNumberFormat="1" applyBorder="1"/>
    <xf numFmtId="169" fontId="11" fillId="0" borderId="0" xfId="0" applyNumberFormat="1" applyFont="1" applyBorder="1"/>
    <xf numFmtId="170" fontId="11" fillId="0" borderId="0" xfId="0" applyNumberFormat="1" applyFont="1" applyBorder="1"/>
    <xf numFmtId="169" fontId="0" fillId="0" borderId="0" xfId="19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/>
    <xf numFmtId="165" fontId="0" fillId="0" borderId="1" xfId="19" applyNumberFormat="1" applyFont="1" applyFill="1" applyBorder="1"/>
    <xf numFmtId="165" fontId="0" fillId="0" borderId="1" xfId="219" applyNumberFormat="1" applyFont="1" applyFill="1" applyBorder="1"/>
    <xf numFmtId="9" fontId="0" fillId="0" borderId="1" xfId="20" applyFont="1" applyFill="1" applyBorder="1"/>
    <xf numFmtId="165" fontId="0" fillId="0" borderId="1" xfId="19" applyFont="1" applyFill="1" applyBorder="1"/>
    <xf numFmtId="10" fontId="0" fillId="4" borderId="1" xfId="20" applyNumberFormat="1" applyFont="1" applyFill="1" applyBorder="1"/>
    <xf numFmtId="165" fontId="0" fillId="4" borderId="1" xfId="19" applyFont="1" applyFill="1" applyBorder="1"/>
    <xf numFmtId="165" fontId="0" fillId="3" borderId="1" xfId="0" applyNumberFormat="1" applyFill="1" applyBorder="1"/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9" fontId="0" fillId="4" borderId="1" xfId="20" applyFont="1" applyFill="1" applyBorder="1" applyAlignment="1">
      <alignment horizontal="right" wrapText="1"/>
    </xf>
    <xf numFmtId="9" fontId="0" fillId="4" borderId="1" xfId="20" applyFont="1" applyFill="1" applyBorder="1" applyAlignment="1">
      <alignment horizontal="right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9" fontId="0" fillId="7" borderId="1" xfId="19" applyNumberFormat="1" applyFont="1" applyFill="1" applyBorder="1"/>
    <xf numFmtId="0" fontId="0" fillId="0" borderId="1" xfId="0" applyFill="1" applyBorder="1" applyAlignment="1">
      <alignment wrapText="1"/>
    </xf>
    <xf numFmtId="0" fontId="3" fillId="0" borderId="0" xfId="0" applyFont="1" applyBorder="1" applyAlignment="1">
      <alignment vertical="center"/>
    </xf>
    <xf numFmtId="9" fontId="0" fillId="2" borderId="1" xfId="20" applyFont="1" applyFill="1" applyBorder="1" applyAlignment="1" applyProtection="1">
      <alignment horizontal="right" wrapText="1"/>
      <protection locked="0"/>
    </xf>
    <xf numFmtId="9" fontId="0" fillId="2" borderId="1" xfId="20" applyFont="1" applyFill="1" applyBorder="1" applyAlignment="1" applyProtection="1">
      <alignment horizontal="right"/>
      <protection locked="0"/>
    </xf>
    <xf numFmtId="165" fontId="3" fillId="2" borderId="1" xfId="19" applyFont="1" applyFill="1" applyBorder="1" applyAlignment="1" applyProtection="1">
      <alignment horizontal="right"/>
      <protection locked="0"/>
    </xf>
    <xf numFmtId="10" fontId="3" fillId="2" borderId="1" xfId="20" applyNumberFormat="1" applyFont="1" applyFill="1" applyBorder="1" applyAlignment="1" applyProtection="1">
      <alignment horizontal="right"/>
      <protection locked="0"/>
    </xf>
    <xf numFmtId="170" fontId="3" fillId="2" borderId="1" xfId="19" applyNumberFormat="1" applyFont="1" applyFill="1" applyBorder="1" applyAlignment="1" applyProtection="1">
      <alignment horizontal="right"/>
      <protection locked="0"/>
    </xf>
    <xf numFmtId="165" fontId="3" fillId="2" borderId="1" xfId="19" applyFont="1" applyFill="1" applyBorder="1" applyAlignment="1" applyProtection="1">
      <alignment horizontal="right" vertical="center" wrapText="1"/>
      <protection locked="0"/>
    </xf>
    <xf numFmtId="169" fontId="3" fillId="2" borderId="1" xfId="19" applyNumberFormat="1" applyFont="1" applyFill="1" applyBorder="1" applyAlignment="1" applyProtection="1">
      <alignment horizontal="right"/>
      <protection locked="0"/>
    </xf>
    <xf numFmtId="165" fontId="0" fillId="2" borderId="1" xfId="19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10" fontId="0" fillId="2" borderId="1" xfId="0" applyNumberFormat="1" applyFill="1" applyBorder="1" applyProtection="1">
      <protection locked="0"/>
    </xf>
    <xf numFmtId="10" fontId="0" fillId="2" borderId="1" xfId="20" applyNumberFormat="1" applyFont="1" applyFill="1" applyBorder="1" applyProtection="1">
      <protection locked="0"/>
    </xf>
    <xf numFmtId="166" fontId="0" fillId="2" borderId="1" xfId="219" applyFont="1" applyFill="1" applyBorder="1" applyProtection="1">
      <protection locked="0"/>
    </xf>
    <xf numFmtId="9" fontId="0" fillId="2" borderId="1" xfId="0" applyNumberFormat="1" applyFill="1" applyBorder="1" applyProtection="1">
      <protection locked="0"/>
    </xf>
    <xf numFmtId="169" fontId="0" fillId="2" borderId="1" xfId="19" applyNumberFormat="1" applyFont="1" applyFill="1" applyBorder="1" applyProtection="1">
      <protection locked="0"/>
    </xf>
    <xf numFmtId="9" fontId="0" fillId="2" borderId="1" xfId="20" applyFont="1" applyFill="1" applyBorder="1" applyProtection="1">
      <protection locked="0"/>
    </xf>
    <xf numFmtId="171" fontId="0" fillId="2" borderId="1" xfId="20" applyNumberFormat="1" applyFont="1" applyFill="1" applyBorder="1" applyProtection="1">
      <protection locked="0"/>
    </xf>
    <xf numFmtId="169" fontId="0" fillId="2" borderId="1" xfId="0" applyNumberFormat="1" applyFill="1" applyBorder="1" applyProtection="1">
      <protection locked="0"/>
    </xf>
    <xf numFmtId="169" fontId="0" fillId="2" borderId="12" xfId="19" applyNumberFormat="1" applyFont="1" applyFill="1" applyBorder="1" applyProtection="1">
      <protection locked="0"/>
    </xf>
    <xf numFmtId="0" fontId="3" fillId="0" borderId="0" xfId="0" applyFont="1" applyBorder="1" applyAlignment="1">
      <alignment horizontal="center" vertical="center" wrapText="1"/>
    </xf>
    <xf numFmtId="0" fontId="7" fillId="0" borderId="19" xfId="0" applyFont="1" applyBorder="1" applyAlignment="1" applyProtection="1">
      <alignment vertical="center" wrapText="1"/>
      <protection locked="0"/>
    </xf>
    <xf numFmtId="169" fontId="0" fillId="0" borderId="13" xfId="19" applyNumberFormat="1" applyFont="1" applyBorder="1" applyProtection="1">
      <protection locked="0"/>
    </xf>
    <xf numFmtId="168" fontId="0" fillId="0" borderId="14" xfId="219" applyNumberFormat="1" applyFont="1" applyBorder="1" applyProtection="1">
      <protection locked="0"/>
    </xf>
    <xf numFmtId="0" fontId="7" fillId="0" borderId="7" xfId="0" applyFont="1" applyBorder="1" applyAlignment="1" applyProtection="1">
      <alignment vertical="center" wrapText="1"/>
      <protection locked="0"/>
    </xf>
    <xf numFmtId="169" fontId="0" fillId="0" borderId="1" xfId="19" applyNumberFormat="1" applyFont="1" applyBorder="1" applyProtection="1">
      <protection locked="0"/>
    </xf>
    <xf numFmtId="0" fontId="0" fillId="0" borderId="1" xfId="0" applyBorder="1" applyProtection="1">
      <protection locked="0"/>
    </xf>
    <xf numFmtId="168" fontId="0" fillId="0" borderId="15" xfId="219" applyNumberFormat="1" applyFont="1" applyBorder="1" applyProtection="1">
      <protection locked="0"/>
    </xf>
    <xf numFmtId="0" fontId="7" fillId="0" borderId="20" xfId="0" applyFont="1" applyBorder="1" applyAlignment="1" applyProtection="1">
      <alignment vertical="center" wrapText="1"/>
      <protection locked="0"/>
    </xf>
    <xf numFmtId="169" fontId="0" fillId="5" borderId="16" xfId="19" applyNumberFormat="1" applyFont="1" applyFill="1" applyBorder="1" applyProtection="1">
      <protection locked="0"/>
    </xf>
    <xf numFmtId="168" fontId="0" fillId="5" borderId="17" xfId="219" applyNumberFormat="1" applyFont="1" applyFill="1" applyBorder="1" applyProtection="1">
      <protection locked="0"/>
    </xf>
    <xf numFmtId="169" fontId="0" fillId="5" borderId="4" xfId="19" applyNumberFormat="1" applyFont="1" applyFill="1" applyBorder="1" applyProtection="1">
      <protection locked="0"/>
    </xf>
    <xf numFmtId="168" fontId="0" fillId="5" borderId="18" xfId="219" applyNumberFormat="1" applyFont="1" applyFill="1" applyBorder="1" applyProtection="1">
      <protection locked="0"/>
    </xf>
    <xf numFmtId="169" fontId="0" fillId="5" borderId="1" xfId="19" applyNumberFormat="1" applyFont="1" applyFill="1" applyBorder="1" applyProtection="1">
      <protection locked="0"/>
    </xf>
    <xf numFmtId="168" fontId="0" fillId="5" borderId="15" xfId="219" applyNumberFormat="1" applyFont="1" applyFill="1" applyBorder="1" applyProtection="1">
      <protection locked="0"/>
    </xf>
    <xf numFmtId="16" fontId="3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169" fontId="0" fillId="0" borderId="1" xfId="0" applyNumberFormat="1" applyBorder="1" applyProtection="1">
      <protection locked="0"/>
    </xf>
    <xf numFmtId="169" fontId="0" fillId="0" borderId="12" xfId="19" applyNumberFormat="1" applyFont="1" applyBorder="1" applyProtection="1">
      <protection locked="0"/>
    </xf>
    <xf numFmtId="169" fontId="11" fillId="0" borderId="1" xfId="0" applyNumberFormat="1" applyFont="1" applyBorder="1" applyProtection="1">
      <protection locked="0"/>
    </xf>
    <xf numFmtId="169" fontId="11" fillId="0" borderId="4" xfId="0" applyNumberFormat="1" applyFont="1" applyBorder="1" applyProtection="1">
      <protection locked="0"/>
    </xf>
    <xf numFmtId="170" fontId="11" fillId="0" borderId="10" xfId="0" applyNumberFormat="1" applyFont="1" applyBorder="1" applyProtection="1">
      <protection locked="0"/>
    </xf>
    <xf numFmtId="165" fontId="0" fillId="0" borderId="1" xfId="19" applyFont="1" applyBorder="1" applyProtection="1">
      <protection locked="0"/>
    </xf>
    <xf numFmtId="169" fontId="0" fillId="4" borderId="1" xfId="19" applyNumberFormat="1" applyFont="1" applyFill="1" applyBorder="1" applyProtection="1">
      <protection locked="0"/>
    </xf>
    <xf numFmtId="165" fontId="0" fillId="0" borderId="1" xfId="0" applyNumberFormat="1" applyBorder="1" applyProtection="1">
      <protection locked="0"/>
    </xf>
    <xf numFmtId="169" fontId="0" fillId="0" borderId="1" xfId="19" applyNumberFormat="1" applyFont="1" applyFill="1" applyBorder="1" applyProtection="1">
      <protection locked="0"/>
    </xf>
    <xf numFmtId="165" fontId="0" fillId="5" borderId="1" xfId="19" applyFont="1" applyFill="1" applyBorder="1" applyProtection="1">
      <protection locked="0"/>
    </xf>
    <xf numFmtId="170" fontId="0" fillId="0" borderId="1" xfId="0" applyNumberFormat="1" applyBorder="1" applyProtection="1">
      <protection locked="0"/>
    </xf>
    <xf numFmtId="170" fontId="0" fillId="0" borderId="1" xfId="19" applyNumberFormat="1" applyFont="1" applyBorder="1" applyProtection="1">
      <protection locked="0"/>
    </xf>
    <xf numFmtId="172" fontId="0" fillId="4" borderId="1" xfId="219" applyNumberFormat="1" applyFont="1" applyFill="1" applyBorder="1"/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9" fontId="3" fillId="0" borderId="1" xfId="20" applyFont="1" applyBorder="1" applyAlignment="1" applyProtection="1">
      <alignment horizontal="center" vertical="center" wrapText="1"/>
      <protection locked="0"/>
    </xf>
    <xf numFmtId="9" fontId="7" fillId="0" borderId="1" xfId="20" applyFont="1" applyBorder="1" applyAlignment="1" applyProtection="1">
      <alignment horizontal="center" vertical="center" wrapText="1"/>
      <protection locked="0"/>
    </xf>
    <xf numFmtId="9" fontId="3" fillId="0" borderId="1" xfId="2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3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0" fillId="0" borderId="0" xfId="0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vertical="center" wrapText="1"/>
    </xf>
    <xf numFmtId="169" fontId="0" fillId="0" borderId="0" xfId="19" applyNumberFormat="1" applyFont="1" applyFill="1" applyBorder="1" applyProtection="1"/>
    <xf numFmtId="0" fontId="3" fillId="0" borderId="0" xfId="0" applyFont="1" applyFill="1" applyBorder="1" applyProtection="1"/>
    <xf numFmtId="168" fontId="0" fillId="0" borderId="0" xfId="219" applyNumberFormat="1" applyFont="1" applyFill="1" applyBorder="1" applyProtection="1"/>
    <xf numFmtId="169" fontId="0" fillId="0" borderId="0" xfId="0" applyNumberFormat="1" applyProtection="1">
      <protection locked="0"/>
    </xf>
    <xf numFmtId="0" fontId="0" fillId="8" borderId="1" xfId="0" applyFill="1" applyBorder="1" applyProtection="1">
      <protection locked="0"/>
    </xf>
    <xf numFmtId="0" fontId="0" fillId="8" borderId="24" xfId="0" applyFill="1" applyBorder="1" applyProtection="1">
      <protection locked="0"/>
    </xf>
    <xf numFmtId="0" fontId="0" fillId="8" borderId="13" xfId="0" applyFill="1" applyBorder="1" applyProtection="1">
      <protection locked="0"/>
    </xf>
    <xf numFmtId="0" fontId="0" fillId="8" borderId="14" xfId="0" applyFill="1" applyBorder="1" applyProtection="1">
      <protection locked="0"/>
    </xf>
    <xf numFmtId="0" fontId="0" fillId="8" borderId="25" xfId="0" applyFill="1" applyBorder="1" applyProtection="1">
      <protection locked="0"/>
    </xf>
    <xf numFmtId="0" fontId="0" fillId="8" borderId="15" xfId="0" applyFill="1" applyBorder="1" applyProtection="1">
      <protection locked="0"/>
    </xf>
    <xf numFmtId="169" fontId="0" fillId="8" borderId="25" xfId="0" applyNumberFormat="1" applyFill="1" applyBorder="1" applyProtection="1">
      <protection locked="0"/>
    </xf>
    <xf numFmtId="168" fontId="0" fillId="8" borderId="26" xfId="219" applyNumberFormat="1" applyFont="1" applyFill="1" applyBorder="1" applyProtection="1">
      <protection locked="0"/>
    </xf>
    <xf numFmtId="0" fontId="0" fillId="8" borderId="16" xfId="0" applyFill="1" applyBorder="1" applyProtection="1">
      <protection locked="0"/>
    </xf>
    <xf numFmtId="0" fontId="0" fillId="8" borderId="17" xfId="0" applyFill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7" fillId="0" borderId="13" xfId="0" applyFont="1" applyFill="1" applyBorder="1" applyAlignment="1" applyProtection="1">
      <alignment vertical="center" wrapText="1"/>
      <protection locked="0"/>
    </xf>
    <xf numFmtId="165" fontId="0" fillId="5" borderId="13" xfId="0" applyNumberFormat="1" applyFill="1" applyBorder="1"/>
    <xf numFmtId="0" fontId="3" fillId="0" borderId="13" xfId="0" applyFont="1" applyFill="1" applyBorder="1" applyProtection="1">
      <protection locked="0"/>
    </xf>
    <xf numFmtId="166" fontId="0" fillId="5" borderId="14" xfId="0" applyNumberFormat="1" applyFill="1" applyBorder="1"/>
    <xf numFmtId="0" fontId="7" fillId="0" borderId="16" xfId="0" applyFont="1" applyFill="1" applyBorder="1" applyAlignment="1" applyProtection="1">
      <alignment vertical="center" wrapText="1"/>
      <protection locked="0"/>
    </xf>
    <xf numFmtId="169" fontId="0" fillId="5" borderId="16" xfId="0" applyNumberFormat="1" applyFill="1" applyBorder="1"/>
    <xf numFmtId="0" fontId="3" fillId="0" borderId="16" xfId="0" applyFont="1" applyFill="1" applyBorder="1" applyProtection="1">
      <protection locked="0"/>
    </xf>
    <xf numFmtId="168" fontId="0" fillId="5" borderId="17" xfId="0" applyNumberFormat="1" applyFill="1" applyBorder="1"/>
    <xf numFmtId="0" fontId="0" fillId="0" borderId="1" xfId="0" applyBorder="1" applyAlignment="1">
      <alignment horizontal="center"/>
    </xf>
    <xf numFmtId="173" fontId="0" fillId="0" borderId="1" xfId="19" applyNumberFormat="1" applyFont="1" applyFill="1" applyBorder="1"/>
    <xf numFmtId="173" fontId="0" fillId="0" borderId="1" xfId="19" applyNumberFormat="1" applyFont="1" applyBorder="1"/>
    <xf numFmtId="165" fontId="0" fillId="0" borderId="0" xfId="0" applyNumberFormat="1" applyBorder="1"/>
    <xf numFmtId="171" fontId="0" fillId="2" borderId="0" xfId="20" applyNumberFormat="1" applyFont="1" applyFill="1" applyBorder="1"/>
    <xf numFmtId="165" fontId="0" fillId="0" borderId="0" xfId="19" applyNumberFormat="1" applyFont="1" applyFill="1" applyBorder="1" applyProtection="1"/>
    <xf numFmtId="166" fontId="0" fillId="0" borderId="0" xfId="0" applyNumberFormat="1" applyProtection="1"/>
    <xf numFmtId="169" fontId="0" fillId="0" borderId="1" xfId="0" applyNumberFormat="1" applyFill="1" applyBorder="1"/>
    <xf numFmtId="0" fontId="3" fillId="0" borderId="24" xfId="0" applyFont="1" applyFill="1" applyBorder="1" applyProtection="1"/>
    <xf numFmtId="166" fontId="0" fillId="5" borderId="14" xfId="219" applyNumberFormat="1" applyFont="1" applyFill="1" applyBorder="1" applyProtection="1"/>
    <xf numFmtId="0" fontId="3" fillId="0" borderId="26" xfId="0" applyFont="1" applyFill="1" applyBorder="1" applyProtection="1"/>
    <xf numFmtId="166" fontId="0" fillId="5" borderId="17" xfId="219" applyNumberFormat="1" applyFont="1" applyFill="1" applyBorder="1" applyProtection="1"/>
    <xf numFmtId="0" fontId="3" fillId="0" borderId="2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7" xfId="0" applyBorder="1"/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1160">
    <cellStyle name="Comma" xfId="219" builtinId="3"/>
    <cellStyle name="Currency" xfId="19" builtinId="4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Followed Hyperlink" xfId="1039" builtinId="9" hidden="1"/>
    <cellStyle name="Followed Hyperlink" xfId="1041" builtinId="9" hidden="1"/>
    <cellStyle name="Followed Hyperlink" xfId="1043" builtinId="9" hidden="1"/>
    <cellStyle name="Followed Hyperlink" xfId="1045" builtinId="9" hidden="1"/>
    <cellStyle name="Followed Hyperlink" xfId="1047" builtinId="9" hidden="1"/>
    <cellStyle name="Followed Hyperlink" xfId="1049" builtinId="9" hidden="1"/>
    <cellStyle name="Followed Hyperlink" xfId="1051" builtinId="9" hidden="1"/>
    <cellStyle name="Followed Hyperlink" xfId="1053" builtinId="9" hidden="1"/>
    <cellStyle name="Followed Hyperlink" xfId="1055" builtinId="9" hidden="1"/>
    <cellStyle name="Followed Hyperlink" xfId="1057" builtinId="9" hidden="1"/>
    <cellStyle name="Followed Hyperlink" xfId="1059" builtinId="9" hidden="1"/>
    <cellStyle name="Followed Hyperlink" xfId="1061" builtinId="9" hidden="1"/>
    <cellStyle name="Followed Hyperlink" xfId="1063" builtinId="9" hidden="1"/>
    <cellStyle name="Followed Hyperlink" xfId="1065" builtinId="9" hidden="1"/>
    <cellStyle name="Followed Hyperlink" xfId="1067" builtinId="9" hidden="1"/>
    <cellStyle name="Followed Hyperlink" xfId="1069" builtinId="9" hidden="1"/>
    <cellStyle name="Followed Hyperlink" xfId="1071" builtinId="9" hidden="1"/>
    <cellStyle name="Followed Hyperlink" xfId="1073" builtinId="9" hidden="1"/>
    <cellStyle name="Followed Hyperlink" xfId="1075" builtinId="9" hidden="1"/>
    <cellStyle name="Followed Hyperlink" xfId="1077" builtinId="9" hidden="1"/>
    <cellStyle name="Followed Hyperlink" xfId="1079" builtinId="9" hidden="1"/>
    <cellStyle name="Followed Hyperlink" xfId="1081" builtinId="9" hidden="1"/>
    <cellStyle name="Followed Hyperlink" xfId="1083" builtinId="9" hidden="1"/>
    <cellStyle name="Followed Hyperlink" xfId="1085" builtinId="9" hidden="1"/>
    <cellStyle name="Followed Hyperlink" xfId="1087" builtinId="9" hidden="1"/>
    <cellStyle name="Followed Hyperlink" xfId="1089" builtinId="9" hidden="1"/>
    <cellStyle name="Followed Hyperlink" xfId="1091" builtinId="9" hidden="1"/>
    <cellStyle name="Followed Hyperlink" xfId="1093" builtinId="9" hidden="1"/>
    <cellStyle name="Followed Hyperlink" xfId="1095" builtinId="9" hidden="1"/>
    <cellStyle name="Followed Hyperlink" xfId="1097" builtinId="9" hidden="1"/>
    <cellStyle name="Followed Hyperlink" xfId="1099" builtinId="9" hidden="1"/>
    <cellStyle name="Followed Hyperlink" xfId="1101" builtinId="9" hidden="1"/>
    <cellStyle name="Followed Hyperlink" xfId="1103" builtinId="9" hidden="1"/>
    <cellStyle name="Followed Hyperlink" xfId="1105" builtinId="9" hidden="1"/>
    <cellStyle name="Followed Hyperlink" xfId="1107" builtinId="9" hidden="1"/>
    <cellStyle name="Followed Hyperlink" xfId="1109" builtinId="9" hidden="1"/>
    <cellStyle name="Followed Hyperlink" xfId="1111" builtinId="9" hidden="1"/>
    <cellStyle name="Followed Hyperlink" xfId="1113" builtinId="9" hidden="1"/>
    <cellStyle name="Followed Hyperlink" xfId="1115" builtinId="9" hidden="1"/>
    <cellStyle name="Followed Hyperlink" xfId="1117" builtinId="9" hidden="1"/>
    <cellStyle name="Followed Hyperlink" xfId="1119" builtinId="9" hidden="1"/>
    <cellStyle name="Followed Hyperlink" xfId="1121" builtinId="9" hidden="1"/>
    <cellStyle name="Followed Hyperlink" xfId="1123" builtinId="9" hidden="1"/>
    <cellStyle name="Followed Hyperlink" xfId="1125" builtinId="9" hidden="1"/>
    <cellStyle name="Followed Hyperlink" xfId="1127" builtinId="9" hidden="1"/>
    <cellStyle name="Followed Hyperlink" xfId="1129" builtinId="9" hidden="1"/>
    <cellStyle name="Followed Hyperlink" xfId="1131" builtinId="9" hidden="1"/>
    <cellStyle name="Followed Hyperlink" xfId="1133" builtinId="9" hidden="1"/>
    <cellStyle name="Followed Hyperlink" xfId="1135" builtinId="9" hidden="1"/>
    <cellStyle name="Followed Hyperlink" xfId="1137" builtinId="9" hidden="1"/>
    <cellStyle name="Followed Hyperlink" xfId="1139" builtinId="9" hidden="1"/>
    <cellStyle name="Followed Hyperlink" xfId="1141" builtinId="9" hidden="1"/>
    <cellStyle name="Followed Hyperlink" xfId="1143" builtinId="9" hidden="1"/>
    <cellStyle name="Followed Hyperlink" xfId="1145" builtinId="9" hidden="1"/>
    <cellStyle name="Followed Hyperlink" xfId="1147" builtinId="9" hidden="1"/>
    <cellStyle name="Followed Hyperlink" xfId="1149" builtinId="9" hidden="1"/>
    <cellStyle name="Followed Hyperlink" xfId="1151" builtinId="9" hidden="1"/>
    <cellStyle name="Followed Hyperlink" xfId="1153" builtinId="9" hidden="1"/>
    <cellStyle name="Followed Hyperlink" xfId="1155" builtinId="9" hidden="1"/>
    <cellStyle name="Followed Hyperlink" xfId="1157" builtinId="9" hidden="1"/>
    <cellStyle name="Followed Hyperlink" xfId="115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Hyperlink" xfId="1038" builtinId="8" hidden="1"/>
    <cellStyle name="Hyperlink" xfId="1040" builtinId="8" hidden="1"/>
    <cellStyle name="Hyperlink" xfId="1042" builtinId="8" hidden="1"/>
    <cellStyle name="Hyperlink" xfId="1044" builtinId="8" hidden="1"/>
    <cellStyle name="Hyperlink" xfId="1046" builtinId="8" hidden="1"/>
    <cellStyle name="Hyperlink" xfId="1048" builtinId="8" hidden="1"/>
    <cellStyle name="Hyperlink" xfId="1050" builtinId="8" hidden="1"/>
    <cellStyle name="Hyperlink" xfId="1052" builtinId="8" hidden="1"/>
    <cellStyle name="Hyperlink" xfId="1054" builtinId="8" hidden="1"/>
    <cellStyle name="Hyperlink" xfId="1056" builtinId="8" hidden="1"/>
    <cellStyle name="Hyperlink" xfId="1058" builtinId="8" hidden="1"/>
    <cellStyle name="Hyperlink" xfId="1060" builtinId="8" hidden="1"/>
    <cellStyle name="Hyperlink" xfId="1062" builtinId="8" hidden="1"/>
    <cellStyle name="Hyperlink" xfId="1064" builtinId="8" hidden="1"/>
    <cellStyle name="Hyperlink" xfId="1066" builtinId="8" hidden="1"/>
    <cellStyle name="Hyperlink" xfId="1068" builtinId="8" hidden="1"/>
    <cellStyle name="Hyperlink" xfId="1070" builtinId="8" hidden="1"/>
    <cellStyle name="Hyperlink" xfId="1072" builtinId="8" hidden="1"/>
    <cellStyle name="Hyperlink" xfId="1074" builtinId="8" hidden="1"/>
    <cellStyle name="Hyperlink" xfId="1076" builtinId="8" hidden="1"/>
    <cellStyle name="Hyperlink" xfId="1078" builtinId="8" hidden="1"/>
    <cellStyle name="Hyperlink" xfId="1080" builtinId="8" hidden="1"/>
    <cellStyle name="Hyperlink" xfId="1082" builtinId="8" hidden="1"/>
    <cellStyle name="Hyperlink" xfId="1084" builtinId="8" hidden="1"/>
    <cellStyle name="Hyperlink" xfId="1086" builtinId="8" hidden="1"/>
    <cellStyle name="Hyperlink" xfId="1088" builtinId="8" hidden="1"/>
    <cellStyle name="Hyperlink" xfId="1090" builtinId="8" hidden="1"/>
    <cellStyle name="Hyperlink" xfId="1092" builtinId="8" hidden="1"/>
    <cellStyle name="Hyperlink" xfId="1094" builtinId="8" hidden="1"/>
    <cellStyle name="Hyperlink" xfId="1096" builtinId="8" hidden="1"/>
    <cellStyle name="Hyperlink" xfId="1098" builtinId="8" hidden="1"/>
    <cellStyle name="Hyperlink" xfId="1100" builtinId="8" hidden="1"/>
    <cellStyle name="Hyperlink" xfId="1102" builtinId="8" hidden="1"/>
    <cellStyle name="Hyperlink" xfId="1104" builtinId="8" hidden="1"/>
    <cellStyle name="Hyperlink" xfId="1106" builtinId="8" hidden="1"/>
    <cellStyle name="Hyperlink" xfId="1108" builtinId="8" hidden="1"/>
    <cellStyle name="Hyperlink" xfId="1110" builtinId="8" hidden="1"/>
    <cellStyle name="Hyperlink" xfId="1112" builtinId="8" hidden="1"/>
    <cellStyle name="Hyperlink" xfId="1114" builtinId="8" hidden="1"/>
    <cellStyle name="Hyperlink" xfId="1116" builtinId="8" hidden="1"/>
    <cellStyle name="Hyperlink" xfId="1118" builtinId="8" hidden="1"/>
    <cellStyle name="Hyperlink" xfId="1120" builtinId="8" hidden="1"/>
    <cellStyle name="Hyperlink" xfId="1122" builtinId="8" hidden="1"/>
    <cellStyle name="Hyperlink" xfId="1124" builtinId="8" hidden="1"/>
    <cellStyle name="Hyperlink" xfId="1126" builtinId="8" hidden="1"/>
    <cellStyle name="Hyperlink" xfId="1128" builtinId="8" hidden="1"/>
    <cellStyle name="Hyperlink" xfId="1130" builtinId="8" hidden="1"/>
    <cellStyle name="Hyperlink" xfId="1132" builtinId="8" hidden="1"/>
    <cellStyle name="Hyperlink" xfId="1134" builtinId="8" hidden="1"/>
    <cellStyle name="Hyperlink" xfId="1136" builtinId="8" hidden="1"/>
    <cellStyle name="Hyperlink" xfId="1138" builtinId="8" hidden="1"/>
    <cellStyle name="Hyperlink" xfId="1140" builtinId="8" hidden="1"/>
    <cellStyle name="Hyperlink" xfId="1142" builtinId="8" hidden="1"/>
    <cellStyle name="Hyperlink" xfId="1144" builtinId="8" hidden="1"/>
    <cellStyle name="Hyperlink" xfId="1146" builtinId="8" hidden="1"/>
    <cellStyle name="Hyperlink" xfId="1148" builtinId="8" hidden="1"/>
    <cellStyle name="Hyperlink" xfId="1150" builtinId="8" hidden="1"/>
    <cellStyle name="Hyperlink" xfId="1152" builtinId="8" hidden="1"/>
    <cellStyle name="Hyperlink" xfId="1154" builtinId="8" hidden="1"/>
    <cellStyle name="Hyperlink" xfId="1156" builtinId="8" hidden="1"/>
    <cellStyle name="Hyperlink" xfId="1158" builtinId="8" hidden="1"/>
    <cellStyle name="Normal" xfId="0" builtinId="0"/>
    <cellStyle name="Percent" xfId="20" builtinId="5"/>
  </cellStyles>
  <dxfs count="0"/>
  <tableStyles count="0" defaultTableStyle="TableStyleMedium9" defaultPivotStyle="PivotStyleMedium4"/>
  <colors>
    <mruColors>
      <color rgb="FF808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Revenue per mile driven by vehicle type</a:t>
            </a:r>
          </a:p>
        </c:rich>
      </c:tx>
      <c:layout>
        <c:manualLayout>
          <c:xMode val="edge"/>
          <c:yMode val="edge"/>
          <c:x val="0.22968009434985495"/>
          <c:y val="3.046737974916941E-2"/>
        </c:manualLayout>
      </c:layout>
    </c:title>
    <c:plotArea>
      <c:layout>
        <c:manualLayout>
          <c:layoutTarget val="inner"/>
          <c:xMode val="edge"/>
          <c:yMode val="edge"/>
          <c:x val="0.10646770318964402"/>
          <c:y val="3.1220692590499807E-2"/>
          <c:w val="0.87083791025469925"/>
          <c:h val="0.89262242149833804"/>
        </c:manualLayout>
      </c:layout>
      <c:lineChart>
        <c:grouping val="standard"/>
        <c:ser>
          <c:idx val="0"/>
          <c:order val="0"/>
          <c:tx>
            <c:v>Light Vehicles</c:v>
          </c:tx>
          <c:marker>
            <c:symbol val="none"/>
          </c:marker>
          <c:cat>
            <c:numRef>
              <c:f>TabularOutputs!$A$35:$A$60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TabularOutputs!$AF$35:$AF$60</c:f>
              <c:numCache>
                <c:formatCode>_-"$"* #,##0.000_-;\-"$"* #,##0.000_-;_-"$"* "-"??_-;_-@_-</c:formatCode>
                <c:ptCount val="26"/>
                <c:pt idx="0">
                  <c:v>1.133800021157054E-2</c:v>
                </c:pt>
                <c:pt idx="1">
                  <c:v>1.0839200240499093E-2</c:v>
                </c:pt>
                <c:pt idx="2">
                  <c:v>1.0725999029259298E-2</c:v>
                </c:pt>
                <c:pt idx="3">
                  <c:v>1.0580069629903129E-2</c:v>
                </c:pt>
                <c:pt idx="4">
                  <c:v>1.0434768672077776E-2</c:v>
                </c:pt>
                <c:pt idx="5">
                  <c:v>1.0054909823526166E-2</c:v>
                </c:pt>
                <c:pt idx="6">
                  <c:v>9.9225918539027486E-3</c:v>
                </c:pt>
                <c:pt idx="7">
                  <c:v>1.3885430492454803E-2</c:v>
                </c:pt>
                <c:pt idx="8">
                  <c:v>1.3632588802905273E-2</c:v>
                </c:pt>
                <c:pt idx="9">
                  <c:v>1.337834823000528E-2</c:v>
                </c:pt>
                <c:pt idx="10">
                  <c:v>1.311986273097872E-2</c:v>
                </c:pt>
                <c:pt idx="11">
                  <c:v>1.2847282985373437E-2</c:v>
                </c:pt>
                <c:pt idx="12">
                  <c:v>1.2563374631287863E-2</c:v>
                </c:pt>
                <c:pt idx="13">
                  <c:v>1.2270576159141372E-2</c:v>
                </c:pt>
                <c:pt idx="14">
                  <c:v>1.1969272864182735E-2</c:v>
                </c:pt>
                <c:pt idx="15">
                  <c:v>1.1662905371738185E-2</c:v>
                </c:pt>
                <c:pt idx="16">
                  <c:v>1.1364120870840965E-2</c:v>
                </c:pt>
                <c:pt idx="17">
                  <c:v>1.1076544665958228E-2</c:v>
                </c:pt>
                <c:pt idx="18">
                  <c:v>1.0800104438324524E-2</c:v>
                </c:pt>
                <c:pt idx="19">
                  <c:v>1.0534614666619656E-2</c:v>
                </c:pt>
                <c:pt idx="20">
                  <c:v>1.0279744517045946E-2</c:v>
                </c:pt>
                <c:pt idx="21">
                  <c:v>1.0035297851598592E-2</c:v>
                </c:pt>
                <c:pt idx="22">
                  <c:v>9.8009451974633722E-3</c:v>
                </c:pt>
                <c:pt idx="23">
                  <c:v>9.5748754861823149E-3</c:v>
                </c:pt>
                <c:pt idx="24">
                  <c:v>9.3566299978282714E-3</c:v>
                </c:pt>
                <c:pt idx="25">
                  <c:v>9.1460286779875607E-3</c:v>
                </c:pt>
              </c:numCache>
            </c:numRef>
          </c:val>
        </c:ser>
        <c:ser>
          <c:idx val="1"/>
          <c:order val="1"/>
          <c:tx>
            <c:v>Heavy Vehicles</c:v>
          </c:tx>
          <c:marker>
            <c:symbol val="none"/>
          </c:marker>
          <c:val>
            <c:numRef>
              <c:f>TabularOutputs!$AG$35:$AG$60</c:f>
              <c:numCache>
                <c:formatCode>_-"$"* #,##0.000_-;\-"$"* #,##0.000_-;_-"$"* "-"??_-;_-@_-</c:formatCode>
                <c:ptCount val="26"/>
                <c:pt idx="0">
                  <c:v>4.5520822975554119E-2</c:v>
                </c:pt>
                <c:pt idx="1">
                  <c:v>4.6629573004185958E-2</c:v>
                </c:pt>
                <c:pt idx="2">
                  <c:v>4.7794730384126939E-2</c:v>
                </c:pt>
                <c:pt idx="3">
                  <c:v>4.7884005780373419E-2</c:v>
                </c:pt>
                <c:pt idx="4">
                  <c:v>4.8622179121856367E-2</c:v>
                </c:pt>
                <c:pt idx="5">
                  <c:v>4.8296451129480202E-2</c:v>
                </c:pt>
                <c:pt idx="6">
                  <c:v>4.8111260737564998E-2</c:v>
                </c:pt>
                <c:pt idx="7">
                  <c:v>4.7861345972981459E-2</c:v>
                </c:pt>
                <c:pt idx="8">
                  <c:v>4.7593773250211302E-2</c:v>
                </c:pt>
                <c:pt idx="9">
                  <c:v>4.7339688533579984E-2</c:v>
                </c:pt>
                <c:pt idx="10">
                  <c:v>4.7086055110578666E-2</c:v>
                </c:pt>
                <c:pt idx="11">
                  <c:v>4.6834586570358584E-2</c:v>
                </c:pt>
                <c:pt idx="12">
                  <c:v>4.6593227937082725E-2</c:v>
                </c:pt>
                <c:pt idx="13">
                  <c:v>4.6366508246963055E-2</c:v>
                </c:pt>
                <c:pt idx="14">
                  <c:v>4.6151604841833158E-2</c:v>
                </c:pt>
                <c:pt idx="15">
                  <c:v>4.5942743677319299E-2</c:v>
                </c:pt>
                <c:pt idx="16">
                  <c:v>4.5734429025757889E-2</c:v>
                </c:pt>
                <c:pt idx="17">
                  <c:v>4.552626923745344E-2</c:v>
                </c:pt>
                <c:pt idx="18">
                  <c:v>4.5319478761016017E-2</c:v>
                </c:pt>
                <c:pt idx="19">
                  <c:v>4.5112774405547389E-2</c:v>
                </c:pt>
                <c:pt idx="20">
                  <c:v>4.4911747420696105E-2</c:v>
                </c:pt>
                <c:pt idx="21">
                  <c:v>4.4713417335914864E-2</c:v>
                </c:pt>
                <c:pt idx="22">
                  <c:v>4.4517802302565045E-2</c:v>
                </c:pt>
                <c:pt idx="23">
                  <c:v>4.4413134970768327E-2</c:v>
                </c:pt>
                <c:pt idx="24">
                  <c:v>4.4316236962185257E-2</c:v>
                </c:pt>
                <c:pt idx="25">
                  <c:v>4.4225703604270854E-2</c:v>
                </c:pt>
              </c:numCache>
            </c:numRef>
          </c:val>
        </c:ser>
        <c:dLbls/>
        <c:marker val="1"/>
        <c:axId val="214891520"/>
        <c:axId val="215339776"/>
      </c:lineChart>
      <c:catAx>
        <c:axId val="214891520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15339776"/>
        <c:crosses val="autoZero"/>
        <c:auto val="1"/>
        <c:lblAlgn val="ctr"/>
        <c:lblOffset val="100"/>
        <c:tickLblSkip val="5"/>
      </c:catAx>
      <c:valAx>
        <c:axId val="215339776"/>
        <c:scaling>
          <c:orientation val="minMax"/>
        </c:scaling>
        <c:axPos val="l"/>
        <c:majorGridlines/>
        <c:numFmt formatCode="_-&quot;$&quot;* #,##0.000_-;\-&quot;$&quot;* #,##0.000_-;_-&quot;$&quot;* &quot;-&quot;??_-;_-@_-" sourceLinked="1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148915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0572934645769511"/>
          <c:y val="0.32653441765020913"/>
          <c:w val="0.36511032141665212"/>
          <c:h val="0.116095867792854"/>
        </c:manualLayout>
      </c:layout>
      <c:txPr>
        <a:bodyPr/>
        <a:lstStyle/>
        <a:p>
          <a:pPr>
            <a:defRPr sz="1800"/>
          </a:pPr>
          <a:endParaRPr lang="en-US"/>
        </a:p>
      </c:txPr>
    </c:legend>
    <c:plotVisOnly val="1"/>
    <c:dispBlanksAs val="gap"/>
  </c:chart>
  <c:printSettings>
    <c:headerFooter/>
    <c:pageMargins b="1" l="0.75000000000000022" r="0.750000000000000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Net INDOT revenue from state sources</a:t>
            </a:r>
          </a:p>
        </c:rich>
      </c:tx>
      <c:layout>
        <c:manualLayout>
          <c:xMode val="edge"/>
          <c:yMode val="edge"/>
          <c:x val="0.34618898973171613"/>
          <c:y val="2.0496063893113307E-2"/>
        </c:manualLayout>
      </c:layout>
    </c:title>
    <c:plotArea>
      <c:layout>
        <c:manualLayout>
          <c:layoutTarget val="inner"/>
          <c:xMode val="edge"/>
          <c:yMode val="edge"/>
          <c:x val="0.10136681781672501"/>
          <c:y val="2.2155551757136197E-2"/>
          <c:w val="0.66786110563796897"/>
          <c:h val="0.89486907836035801"/>
        </c:manualLayout>
      </c:layout>
      <c:barChart>
        <c:barDir val="col"/>
        <c:grouping val="stacked"/>
        <c:ser>
          <c:idx val="1"/>
          <c:order val="0"/>
          <c:tx>
            <c:v>Gas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TabularOutputs!$B$131:$B$156</c:f>
              <c:numCache>
                <c:formatCode>_-"$"* #,##0_-;\-"$"* #,##0_-;_-"$"* "-"??_-;_-@_-</c:formatCode>
                <c:ptCount val="26"/>
                <c:pt idx="0">
                  <c:v>323316963.25766391</c:v>
                </c:pt>
                <c:pt idx="1">
                  <c:v>303858725.30160767</c:v>
                </c:pt>
                <c:pt idx="2">
                  <c:v>299617962.26834536</c:v>
                </c:pt>
                <c:pt idx="3">
                  <c:v>298037157.4151569</c:v>
                </c:pt>
                <c:pt idx="4">
                  <c:v>294433591.4129014</c:v>
                </c:pt>
                <c:pt idx="5">
                  <c:v>283015760.14993852</c:v>
                </c:pt>
                <c:pt idx="6">
                  <c:v>280769432.22221935</c:v>
                </c:pt>
                <c:pt idx="7">
                  <c:v>434758967.78692836</c:v>
                </c:pt>
                <c:pt idx="8">
                  <c:v>429267476.33530945</c:v>
                </c:pt>
                <c:pt idx="9">
                  <c:v>423571674.54885131</c:v>
                </c:pt>
                <c:pt idx="10">
                  <c:v>417553880.20496905</c:v>
                </c:pt>
                <c:pt idx="11">
                  <c:v>410815279.7184388</c:v>
                </c:pt>
                <c:pt idx="12">
                  <c:v>403443890.07306349</c:v>
                </c:pt>
                <c:pt idx="13">
                  <c:v>395522462.03458649</c:v>
                </c:pt>
                <c:pt idx="14">
                  <c:v>387051003.35608453</c:v>
                </c:pt>
                <c:pt idx="15">
                  <c:v>378156256.35984313</c:v>
                </c:pt>
                <c:pt idx="16">
                  <c:v>369356972.40928525</c:v>
                </c:pt>
                <c:pt idx="17">
                  <c:v>360811809.9598605</c:v>
                </c:pt>
                <c:pt idx="18">
                  <c:v>352527923.62759054</c:v>
                </c:pt>
                <c:pt idx="19">
                  <c:v>344510121.66533035</c:v>
                </c:pt>
                <c:pt idx="20">
                  <c:v>336756480.71868789</c:v>
                </c:pt>
                <c:pt idx="21">
                  <c:v>329268774.1463511</c:v>
                </c:pt>
                <c:pt idx="22">
                  <c:v>322044654.84059685</c:v>
                </c:pt>
                <c:pt idx="23">
                  <c:v>315013117.82672369</c:v>
                </c:pt>
                <c:pt idx="24">
                  <c:v>308164150.25023419</c:v>
                </c:pt>
                <c:pt idx="25">
                  <c:v>301497586.81066477</c:v>
                </c:pt>
              </c:numCache>
            </c:numRef>
          </c:val>
        </c:ser>
        <c:ser>
          <c:idx val="2"/>
          <c:order val="1"/>
          <c:tx>
            <c:v>Diesel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TabularOutputs!$C$131:$C$156</c:f>
              <c:numCache>
                <c:formatCode>_-"$"* #,##0_-;\-"$"* #,##0_-;_-"$"* "-"??_-;_-@_-</c:formatCode>
                <c:ptCount val="26"/>
                <c:pt idx="0">
                  <c:v>89037260.946254745</c:v>
                </c:pt>
                <c:pt idx="1">
                  <c:v>88875276.333130732</c:v>
                </c:pt>
                <c:pt idx="2">
                  <c:v>89057647.397553265</c:v>
                </c:pt>
                <c:pt idx="3">
                  <c:v>90771330.028856784</c:v>
                </c:pt>
                <c:pt idx="4">
                  <c:v>91504818.056096524</c:v>
                </c:pt>
                <c:pt idx="5">
                  <c:v>92214265.278445289</c:v>
                </c:pt>
                <c:pt idx="6">
                  <c:v>92955846.960895449</c:v>
                </c:pt>
                <c:pt idx="7">
                  <c:v>93385179.857187137</c:v>
                </c:pt>
                <c:pt idx="8">
                  <c:v>93915597.836348519</c:v>
                </c:pt>
                <c:pt idx="9">
                  <c:v>94655381.899076283</c:v>
                </c:pt>
                <c:pt idx="10">
                  <c:v>95480325.02751109</c:v>
                </c:pt>
                <c:pt idx="11">
                  <c:v>96390574.295765176</c:v>
                </c:pt>
                <c:pt idx="12">
                  <c:v>97401246.420952052</c:v>
                </c:pt>
                <c:pt idx="13">
                  <c:v>98521198.567251861</c:v>
                </c:pt>
                <c:pt idx="14">
                  <c:v>99736955.538878962</c:v>
                </c:pt>
                <c:pt idx="15">
                  <c:v>101025618.98069078</c:v>
                </c:pt>
                <c:pt idx="16">
                  <c:v>102365025.32010464</c:v>
                </c:pt>
                <c:pt idx="17">
                  <c:v>103750728.38715093</c:v>
                </c:pt>
                <c:pt idx="18">
                  <c:v>105184572.62529007</c:v>
                </c:pt>
                <c:pt idx="19">
                  <c:v>106659948.31718905</c:v>
                </c:pt>
                <c:pt idx="20">
                  <c:v>108195980.66552959</c:v>
                </c:pt>
                <c:pt idx="21">
                  <c:v>109780896.56485297</c:v>
                </c:pt>
                <c:pt idx="22">
                  <c:v>111414028.3002376</c:v>
                </c:pt>
                <c:pt idx="23">
                  <c:v>113084342.13314277</c:v>
                </c:pt>
                <c:pt idx="24">
                  <c:v>114809211.97998552</c:v>
                </c:pt>
                <c:pt idx="25">
                  <c:v>116584771.39709313</c:v>
                </c:pt>
              </c:numCache>
            </c:numRef>
          </c:val>
        </c:ser>
        <c:ser>
          <c:idx val="3"/>
          <c:order val="2"/>
          <c:tx>
            <c:v>Diesel Surtax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TabularOutputs!$D$131:$D$156</c:f>
              <c:numCache>
                <c:formatCode>_-"$"* #,##0_-;\-"$"* #,##0_-;_-"$"* "-"??_-;_-@_-</c:formatCode>
                <c:ptCount val="26"/>
                <c:pt idx="0">
                  <c:v>74668649.188935623</c:v>
                </c:pt>
                <c:pt idx="1">
                  <c:v>74532467.623733327</c:v>
                </c:pt>
                <c:pt idx="2">
                  <c:v>74680848.92166467</c:v>
                </c:pt>
                <c:pt idx="3">
                  <c:v>76117629.140640646</c:v>
                </c:pt>
                <c:pt idx="4">
                  <c:v>76734847.01609455</c:v>
                </c:pt>
                <c:pt idx="5">
                  <c:v>77330111.804722652</c:v>
                </c:pt>
                <c:pt idx="6">
                  <c:v>77952256.740341082</c:v>
                </c:pt>
                <c:pt idx="7">
                  <c:v>78312593.154735833</c:v>
                </c:pt>
                <c:pt idx="8">
                  <c:v>78757711.685294598</c:v>
                </c:pt>
                <c:pt idx="9">
                  <c:v>79378395.18789804</c:v>
                </c:pt>
                <c:pt idx="10">
                  <c:v>80070497.098261461</c:v>
                </c:pt>
                <c:pt idx="11">
                  <c:v>80834140.970153168</c:v>
                </c:pt>
                <c:pt idx="12">
                  <c:v>81682001.741730794</c:v>
                </c:pt>
                <c:pt idx="13">
                  <c:v>82621506.083300442</c:v>
                </c:pt>
                <c:pt idx="14">
                  <c:v>83641355.679244772</c:v>
                </c:pt>
                <c:pt idx="15">
                  <c:v>84722351.170265079</c:v>
                </c:pt>
                <c:pt idx="16">
                  <c:v>85845909.29138644</c:v>
                </c:pt>
                <c:pt idx="17">
                  <c:v>87008302.355076879</c:v>
                </c:pt>
                <c:pt idx="18">
                  <c:v>88211077.21673049</c:v>
                </c:pt>
                <c:pt idx="19">
                  <c:v>89448692.16438733</c:v>
                </c:pt>
                <c:pt idx="20">
                  <c:v>90737183.584314257</c:v>
                </c:pt>
                <c:pt idx="21">
                  <c:v>92066680.445264891</c:v>
                </c:pt>
                <c:pt idx="22">
                  <c:v>93436623.317616493</c:v>
                </c:pt>
                <c:pt idx="23">
                  <c:v>94837739.574163318</c:v>
                </c:pt>
                <c:pt idx="24">
                  <c:v>96284616.634468228</c:v>
                </c:pt>
                <c:pt idx="25">
                  <c:v>97774013.047901914</c:v>
                </c:pt>
              </c:numCache>
            </c:numRef>
          </c:val>
        </c:ser>
        <c:ser>
          <c:idx val="5"/>
          <c:order val="3"/>
          <c:tx>
            <c:v>Driver License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TabularOutputs!$F$131:$F$156</c:f>
              <c:numCache>
                <c:formatCode>_-"$"* #,##0_-;\-"$"* #,##0_-;_-"$"* "-"??_-;_-@_-</c:formatCode>
                <c:ptCount val="26"/>
                <c:pt idx="0">
                  <c:v>6397835.6866462389</c:v>
                </c:pt>
                <c:pt idx="1">
                  <c:v>6350108.8191462401</c:v>
                </c:pt>
                <c:pt idx="2">
                  <c:v>6224970.4453962408</c:v>
                </c:pt>
                <c:pt idx="3">
                  <c:v>6150319.8303962387</c:v>
                </c:pt>
                <c:pt idx="4">
                  <c:v>6128459.2903962405</c:v>
                </c:pt>
                <c:pt idx="5">
                  <c:v>6169471.9621516159</c:v>
                </c:pt>
                <c:pt idx="6">
                  <c:v>6149330.4566937275</c:v>
                </c:pt>
                <c:pt idx="7">
                  <c:v>6127263.3961119996</c:v>
                </c:pt>
                <c:pt idx="8">
                  <c:v>6103202.7724188445</c:v>
                </c:pt>
                <c:pt idx="9">
                  <c:v>6077078.4063715618</c:v>
                </c:pt>
                <c:pt idx="10">
                  <c:v>6048817.8793835305</c:v>
                </c:pt>
                <c:pt idx="11">
                  <c:v>6017254.7095555319</c:v>
                </c:pt>
                <c:pt idx="12">
                  <c:v>5983415.2797096334</c:v>
                </c:pt>
                <c:pt idx="13">
                  <c:v>5947221.2909781039</c:v>
                </c:pt>
                <c:pt idx="14">
                  <c:v>5908591.9692786857</c:v>
                </c:pt>
                <c:pt idx="15">
                  <c:v>5867443.9882186567</c:v>
                </c:pt>
                <c:pt idx="16">
                  <c:v>5822705.5509051457</c:v>
                </c:pt>
                <c:pt idx="17">
                  <c:v>5775289.3224642137</c:v>
                </c:pt>
                <c:pt idx="18">
                  <c:v>5725105.2231377671</c:v>
                </c:pt>
                <c:pt idx="19">
                  <c:v>5672060.3504199637</c:v>
                </c:pt>
                <c:pt idx="20">
                  <c:v>5616058.8916836232</c:v>
                </c:pt>
                <c:pt idx="21">
                  <c:v>5556435.219747276</c:v>
                </c:pt>
                <c:pt idx="22">
                  <c:v>5493666.6993137561</c:v>
                </c:pt>
                <c:pt idx="23">
                  <c:v>5427649.2173689995</c:v>
                </c:pt>
                <c:pt idx="24">
                  <c:v>5358275.4168965239</c:v>
                </c:pt>
                <c:pt idx="25">
                  <c:v>5285434.5968475332</c:v>
                </c:pt>
              </c:numCache>
            </c:numRef>
          </c:val>
        </c:ser>
        <c:ser>
          <c:idx val="6"/>
          <c:order val="4"/>
          <c:tx>
            <c:v>Vehicle Reg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TabularOutputs!$G$131:$G$156</c:f>
              <c:numCache>
                <c:formatCode>_-"$"* #,##0_-;\-"$"* #,##0_-;_-"$"* "-"??_-;_-@_-</c:formatCode>
                <c:ptCount val="26"/>
                <c:pt idx="0">
                  <c:v>82551092.771324039</c:v>
                </c:pt>
                <c:pt idx="1">
                  <c:v>83387848.5947368</c:v>
                </c:pt>
                <c:pt idx="2">
                  <c:v>84180940.309609979</c:v>
                </c:pt>
                <c:pt idx="3">
                  <c:v>85190669.78104727</c:v>
                </c:pt>
                <c:pt idx="4">
                  <c:v>86048423.685318977</c:v>
                </c:pt>
                <c:pt idx="5">
                  <c:v>86799065.999111965</c:v>
                </c:pt>
                <c:pt idx="6">
                  <c:v>87555283.345811307</c:v>
                </c:pt>
                <c:pt idx="7">
                  <c:v>88315941.976168334</c:v>
                </c:pt>
                <c:pt idx="8">
                  <c:v>89079433.030730695</c:v>
                </c:pt>
                <c:pt idx="9">
                  <c:v>89847456.533794671</c:v>
                </c:pt>
                <c:pt idx="10">
                  <c:v>90619612.355596036</c:v>
                </c:pt>
                <c:pt idx="11">
                  <c:v>91395485.981910959</c:v>
                </c:pt>
                <c:pt idx="12">
                  <c:v>92174479.475108683</c:v>
                </c:pt>
                <c:pt idx="13">
                  <c:v>92956552.571049273</c:v>
                </c:pt>
                <c:pt idx="14">
                  <c:v>93741074.820877299</c:v>
                </c:pt>
                <c:pt idx="15">
                  <c:v>94527379.760328516</c:v>
                </c:pt>
                <c:pt idx="16">
                  <c:v>95315038.732867777</c:v>
                </c:pt>
                <c:pt idx="17">
                  <c:v>96104110.236713246</c:v>
                </c:pt>
                <c:pt idx="18">
                  <c:v>96894207.452925712</c:v>
                </c:pt>
                <c:pt idx="19">
                  <c:v>97685617.956938639</c:v>
                </c:pt>
                <c:pt idx="20">
                  <c:v>98478586.303511441</c:v>
                </c:pt>
                <c:pt idx="21">
                  <c:v>99272573.525423139</c:v>
                </c:pt>
                <c:pt idx="22">
                  <c:v>100068121.16659637</c:v>
                </c:pt>
                <c:pt idx="23">
                  <c:v>100864895.59431866</c:v>
                </c:pt>
                <c:pt idx="24">
                  <c:v>101663533.87450743</c:v>
                </c:pt>
                <c:pt idx="25">
                  <c:v>102463995.52602704</c:v>
                </c:pt>
              </c:numCache>
            </c:numRef>
          </c:val>
        </c:ser>
        <c:ser>
          <c:idx val="28"/>
          <c:order val="5"/>
          <c:tx>
            <c:v>IRP</c:v>
          </c:tx>
          <c:val>
            <c:numRef>
              <c:f>TabularOutputs!$H$131:$H$156</c:f>
              <c:numCache>
                <c:formatCode>_-"$"* #,##0_-;\-"$"* #,##0_-;_-"$"* "-"??_-;_-@_-</c:formatCode>
                <c:ptCount val="26"/>
                <c:pt idx="0">
                  <c:v>43277333.254367083</c:v>
                </c:pt>
                <c:pt idx="1">
                  <c:v>46526761.624016702</c:v>
                </c:pt>
                <c:pt idx="2">
                  <c:v>47642864.522950292</c:v>
                </c:pt>
                <c:pt idx="3">
                  <c:v>48648740.113816753</c:v>
                </c:pt>
                <c:pt idx="4">
                  <c:v>50293371.077390023</c:v>
                </c:pt>
                <c:pt idx="5">
                  <c:v>49573166.94640509</c:v>
                </c:pt>
                <c:pt idx="6">
                  <c:v>49912999.566288486</c:v>
                </c:pt>
                <c:pt idx="7">
                  <c:v>50292704.818511568</c:v>
                </c:pt>
                <c:pt idx="8">
                  <c:v>50489063.416224577</c:v>
                </c:pt>
                <c:pt idx="9">
                  <c:v>50661425.311551929</c:v>
                </c:pt>
                <c:pt idx="10">
                  <c:v>50814454.837145224</c:v>
                </c:pt>
                <c:pt idx="11">
                  <c:v>50951853.778627098</c:v>
                </c:pt>
                <c:pt idx="12">
                  <c:v>51076454.887883514</c:v>
                </c:pt>
                <c:pt idx="13">
                  <c:v>51190400.351825714</c:v>
                </c:pt>
                <c:pt idx="14">
                  <c:v>51295247.887757413</c:v>
                </c:pt>
                <c:pt idx="15">
                  <c:v>51392164.933264695</c:v>
                </c:pt>
                <c:pt idx="16">
                  <c:v>51482070.480811112</c:v>
                </c:pt>
                <c:pt idx="17">
                  <c:v>51565790.307658702</c:v>
                </c:pt>
                <c:pt idx="18">
                  <c:v>51644038.968343139</c:v>
                </c:pt>
                <c:pt idx="19">
                  <c:v>51717369.551810876</c:v>
                </c:pt>
                <c:pt idx="20">
                  <c:v>51786388.002143092</c:v>
                </c:pt>
                <c:pt idx="21">
                  <c:v>51851454.470704317</c:v>
                </c:pt>
                <c:pt idx="22">
                  <c:v>51912931.167323261</c:v>
                </c:pt>
                <c:pt idx="23">
                  <c:v>52005851.07801906</c:v>
                </c:pt>
                <c:pt idx="24">
                  <c:v>52099003.486270607</c:v>
                </c:pt>
                <c:pt idx="25">
                  <c:v>52192363.898336373</c:v>
                </c:pt>
              </c:numCache>
            </c:numRef>
          </c:val>
        </c:ser>
        <c:ser>
          <c:idx val="12"/>
          <c:order val="6"/>
          <c:tx>
            <c:v>Dedicated Sales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TabularOutputs!$N$131:$N$156</c:f>
              <c:numCache>
                <c:formatCode>_-"$"* #,##0_-;\-"$"* #,##0_-;_-"$"* "-"??_-;_-@_-</c:formatCode>
                <c:ptCount val="26"/>
                <c:pt idx="0">
                  <c:v>27511595.243904572</c:v>
                </c:pt>
                <c:pt idx="1">
                  <c:v>29571250.187231351</c:v>
                </c:pt>
                <c:pt idx="2">
                  <c:v>31433844.686320879</c:v>
                </c:pt>
                <c:pt idx="3">
                  <c:v>32709513.838272069</c:v>
                </c:pt>
                <c:pt idx="4">
                  <c:v>33514569.929991752</c:v>
                </c:pt>
                <c:pt idx="5">
                  <c:v>34709004.588758908</c:v>
                </c:pt>
                <c:pt idx="6">
                  <c:v>36090353.719645031</c:v>
                </c:pt>
                <c:pt idx="7">
                  <c:v>37382699.743625633</c:v>
                </c:pt>
                <c:pt idx="8">
                  <c:v>38728843.845996708</c:v>
                </c:pt>
                <c:pt idx="9">
                  <c:v>40200049.541234583</c:v>
                </c:pt>
                <c:pt idx="10">
                  <c:v>41662707.537504248</c:v>
                </c:pt>
                <c:pt idx="11">
                  <c:v>43083589.13812153</c:v>
                </c:pt>
                <c:pt idx="12">
                  <c:v>44592469.456381448</c:v>
                </c:pt>
                <c:pt idx="13">
                  <c:v>46248088.311675645</c:v>
                </c:pt>
                <c:pt idx="14">
                  <c:v>47985815.533498041</c:v>
                </c:pt>
                <c:pt idx="15">
                  <c:v>49789653.80756367</c:v>
                </c:pt>
                <c:pt idx="16">
                  <c:v>51694866.12895485</c:v>
                </c:pt>
                <c:pt idx="17">
                  <c:v>53709994.728095703</c:v>
                </c:pt>
                <c:pt idx="18">
                  <c:v>55753731.104172304</c:v>
                </c:pt>
                <c:pt idx="19">
                  <c:v>57885614.942290537</c:v>
                </c:pt>
                <c:pt idx="20">
                  <c:v>60140097.705591097</c:v>
                </c:pt>
                <c:pt idx="21">
                  <c:v>62442312.109048277</c:v>
                </c:pt>
                <c:pt idx="22">
                  <c:v>64870620.566494741</c:v>
                </c:pt>
                <c:pt idx="23">
                  <c:v>66867948.951757044</c:v>
                </c:pt>
                <c:pt idx="24">
                  <c:v>68926773.907327101</c:v>
                </c:pt>
                <c:pt idx="25">
                  <c:v>71048988.876560286</c:v>
                </c:pt>
              </c:numCache>
            </c:numRef>
          </c:val>
        </c:ser>
        <c:ser>
          <c:idx val="18"/>
          <c:order val="7"/>
          <c:tx>
            <c:v>OS/OW</c:v>
          </c:tx>
          <c:spPr>
            <a:solidFill>
              <a:schemeClr val="accent5">
                <a:lumMod val="40000"/>
                <a:lumOff val="60000"/>
              </a:schemeClr>
            </a:solidFill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TabularOutputs!$T$131:$T$156</c:f>
              <c:numCache>
                <c:formatCode>_-"$"* #,##0_-;\-"$"* #,##0_-;_-"$"* "-"??_-;_-@_-</c:formatCode>
                <c:ptCount val="26"/>
                <c:pt idx="0">
                  <c:v>12190784.587477507</c:v>
                </c:pt>
                <c:pt idx="1">
                  <c:v>13319815.864333576</c:v>
                </c:pt>
                <c:pt idx="2">
                  <c:v>15913479.202635162</c:v>
                </c:pt>
                <c:pt idx="3">
                  <c:v>15949340.683088712</c:v>
                </c:pt>
                <c:pt idx="4">
                  <c:v>18140894.881885801</c:v>
                </c:pt>
                <c:pt idx="5">
                  <c:v>18999667.9639608</c:v>
                </c:pt>
                <c:pt idx="6">
                  <c:v>19643400.261650842</c:v>
                </c:pt>
                <c:pt idx="7">
                  <c:v>20392813.68957258</c:v>
                </c:pt>
                <c:pt idx="8">
                  <c:v>21111475.710642848</c:v>
                </c:pt>
                <c:pt idx="9">
                  <c:v>21698527.980203871</c:v>
                </c:pt>
                <c:pt idx="10">
                  <c:v>22231347.902430162</c:v>
                </c:pt>
                <c:pt idx="11">
                  <c:v>22713183.530878551</c:v>
                </c:pt>
                <c:pt idx="12">
                  <c:v>23153462.211385567</c:v>
                </c:pt>
                <c:pt idx="13">
                  <c:v>23558624.284461565</c:v>
                </c:pt>
                <c:pt idx="14">
                  <c:v>23933756.999289867</c:v>
                </c:pt>
                <c:pt idx="15">
                  <c:v>24282881.883239441</c:v>
                </c:pt>
                <c:pt idx="16">
                  <c:v>24609247.880512469</c:v>
                </c:pt>
                <c:pt idx="17">
                  <c:v>24915558.760482851</c:v>
                </c:pt>
                <c:pt idx="18">
                  <c:v>25204077.512291744</c:v>
                </c:pt>
                <c:pt idx="19">
                  <c:v>25476683.746446341</c:v>
                </c:pt>
                <c:pt idx="20">
                  <c:v>25735040.062556256</c:v>
                </c:pt>
                <c:pt idx="21">
                  <c:v>25980491.788934942</c:v>
                </c:pt>
                <c:pt idx="22">
                  <c:v>26214224.29082974</c:v>
                </c:pt>
                <c:pt idx="23">
                  <c:v>26756364.073637567</c:v>
                </c:pt>
                <c:pt idx="24">
                  <c:v>27309750.609895177</c:v>
                </c:pt>
                <c:pt idx="25">
                  <c:v>27874604.499771222</c:v>
                </c:pt>
              </c:numCache>
            </c:numRef>
          </c:val>
        </c:ser>
        <c:ser>
          <c:idx val="4"/>
          <c:order val="8"/>
          <c:tx>
            <c:v>Fuel Sales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TabularOutputs!$E$131:$E$156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7"/>
          <c:order val="9"/>
          <c:tx>
            <c:v>Vehicle Excise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TabularOutputs!$I$131:$I$156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2"/>
          <c:order val="10"/>
          <c:tx>
            <c:v>Rental Car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TabularOutputs!$X$131:$X$156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9"/>
          <c:order val="11"/>
          <c:tx>
            <c:v>Vehicle Sales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TabularOutputs!$K$131:$K$156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0"/>
          <c:order val="12"/>
          <c:tx>
            <c:v>Tire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TabularOutputs!$L$131:$L$156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8"/>
          <c:order val="13"/>
          <c:tx>
            <c:v>EV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TabularOutputs!$J$131:$J$156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1"/>
          <c:order val="14"/>
          <c:tx>
            <c:v>Veh Law Enf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TabularOutputs!$M$131:$M$156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3"/>
          <c:order val="15"/>
          <c:tx>
            <c:v>Sales Tax Increase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TabularOutputs!$O$131:$O$156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4"/>
          <c:order val="16"/>
          <c:tx>
            <c:v>LDV RUC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TabularOutputs!$P$131:$P$156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5"/>
          <c:order val="17"/>
          <c:tx>
            <c:v>HDV WMT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TabularOutputs!$Q$131:$Q$156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6"/>
          <c:order val="18"/>
          <c:tx>
            <c:v>HDV Distance Size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TabularOutputs!$R$131:$R$156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7"/>
          <c:order val="19"/>
          <c:tx>
            <c:v>HDV Distance Damage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TabularOutputs!$S$131:$S$156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9"/>
          <c:order val="20"/>
          <c:tx>
            <c:v>Toll New Roads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TabularOutputs!$U$131:$U$156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0"/>
          <c:order val="21"/>
          <c:tx>
            <c:v>Toll Existing Roads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TabularOutputs!$V$131:$V$156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1"/>
          <c:order val="22"/>
          <c:tx>
            <c:v>HOT Lanes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TabularOutputs!$W$131:$W$156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3"/>
          <c:order val="23"/>
          <c:tx>
            <c:v>General Fund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TabularOutputs!$Y$131:$Y$156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4"/>
          <c:order val="24"/>
          <c:tx>
            <c:v>TIF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TabularOutputs!$Z$131:$Z$156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5"/>
          <c:order val="25"/>
          <c:tx>
            <c:v>Developer Fees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TabularOutputs!$AA$131:$AA$156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6"/>
          <c:order val="26"/>
          <c:tx>
            <c:v>Assessment Districts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TabularOutputs!$AB$131:$AB$156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7"/>
          <c:order val="27"/>
          <c:tx>
            <c:v>Miscellaneous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TabularOutputs!$AC$131:$AC$156</c:f>
              <c:numCache>
                <c:formatCode>_-"$"* #,##0_-;\-"$"* #,##0_-;_-"$"* "-"??_-;_-@_-</c:formatCode>
                <c:ptCount val="26"/>
                <c:pt idx="0">
                  <c:v>38400000</c:v>
                </c:pt>
                <c:pt idx="1">
                  <c:v>38400000</c:v>
                </c:pt>
                <c:pt idx="2">
                  <c:v>38400000</c:v>
                </c:pt>
                <c:pt idx="3">
                  <c:v>38400000</c:v>
                </c:pt>
                <c:pt idx="4">
                  <c:v>38400000</c:v>
                </c:pt>
                <c:pt idx="5">
                  <c:v>38784000</c:v>
                </c:pt>
                <c:pt idx="6">
                  <c:v>39171840</c:v>
                </c:pt>
                <c:pt idx="7">
                  <c:v>39563558.399999999</c:v>
                </c:pt>
                <c:pt idx="8">
                  <c:v>39959193.983999997</c:v>
                </c:pt>
                <c:pt idx="9">
                  <c:v>40358785.923840001</c:v>
                </c:pt>
                <c:pt idx="10">
                  <c:v>40762373.783078402</c:v>
                </c:pt>
                <c:pt idx="11">
                  <c:v>41169997.52090919</c:v>
                </c:pt>
                <c:pt idx="12">
                  <c:v>41581697.496118285</c:v>
                </c:pt>
                <c:pt idx="13">
                  <c:v>41997514.471079469</c:v>
                </c:pt>
                <c:pt idx="14">
                  <c:v>42417489.615790263</c:v>
                </c:pt>
                <c:pt idx="15">
                  <c:v>42841664.511948168</c:v>
                </c:pt>
                <c:pt idx="16">
                  <c:v>43270081.157067649</c:v>
                </c:pt>
                <c:pt idx="17">
                  <c:v>43702781.968638323</c:v>
                </c:pt>
                <c:pt idx="18">
                  <c:v>44139809.788324706</c:v>
                </c:pt>
                <c:pt idx="19">
                  <c:v>44581207.886207953</c:v>
                </c:pt>
                <c:pt idx="20">
                  <c:v>45027019.965070032</c:v>
                </c:pt>
                <c:pt idx="21">
                  <c:v>45477290.164720729</c:v>
                </c:pt>
                <c:pt idx="22">
                  <c:v>45932063.066367939</c:v>
                </c:pt>
                <c:pt idx="23">
                  <c:v>46391383.697031617</c:v>
                </c:pt>
                <c:pt idx="24">
                  <c:v>46855297.534001932</c:v>
                </c:pt>
                <c:pt idx="25">
                  <c:v>47323850.509341948</c:v>
                </c:pt>
              </c:numCache>
            </c:numRef>
          </c:val>
        </c:ser>
        <c:dLbls/>
        <c:overlap val="100"/>
        <c:axId val="245410432"/>
        <c:axId val="245424512"/>
      </c:barChart>
      <c:lineChart>
        <c:grouping val="standard"/>
        <c:ser>
          <c:idx val="29"/>
          <c:order val="28"/>
          <c:tx>
            <c:v>Status Quo Revenue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TabularOutputs!$AG$131:$AG$156</c:f>
              <c:numCache>
                <c:formatCode>_-"$"* #,##0_-;\-"$"* #,##0_-;_-"$"* "-"??_-;_-@_-</c:formatCode>
                <c:ptCount val="26"/>
                <c:pt idx="0">
                  <c:v>700857272.73869848</c:v>
                </c:pt>
                <c:pt idx="1">
                  <c:v>688364587.1721518</c:v>
                </c:pt>
                <c:pt idx="2">
                  <c:v>690714489.01374245</c:v>
                </c:pt>
                <c:pt idx="3">
                  <c:v>695572502.81889212</c:v>
                </c:pt>
                <c:pt idx="4">
                  <c:v>698851524.14820337</c:v>
                </c:pt>
                <c:pt idx="5">
                  <c:v>691380044.08221364</c:v>
                </c:pt>
                <c:pt idx="6">
                  <c:v>694120504.68473709</c:v>
                </c:pt>
                <c:pt idx="7">
                  <c:v>695197402.16210294</c:v>
                </c:pt>
                <c:pt idx="8">
                  <c:v>696130279.41340852</c:v>
                </c:pt>
                <c:pt idx="9">
                  <c:v>697295446.13205123</c:v>
                </c:pt>
                <c:pt idx="10">
                  <c:v>698337524.56002641</c:v>
                </c:pt>
                <c:pt idx="11">
                  <c:v>698972685.49720287</c:v>
                </c:pt>
                <c:pt idx="12">
                  <c:v>699428013.23830688</c:v>
                </c:pt>
                <c:pt idx="13">
                  <c:v>699840398.06430972</c:v>
                </c:pt>
                <c:pt idx="14">
                  <c:v>700126605.3940686</c:v>
                </c:pt>
                <c:pt idx="15">
                  <c:v>700314700.95694351</c:v>
                </c:pt>
                <c:pt idx="16">
                  <c:v>700735555.71071565</c:v>
                </c:pt>
                <c:pt idx="17">
                  <c:v>701496310.68756664</c:v>
                </c:pt>
                <c:pt idx="18">
                  <c:v>702526382.23046637</c:v>
                </c:pt>
                <c:pt idx="19">
                  <c:v>703879125.97539008</c:v>
                </c:pt>
                <c:pt idx="20">
                  <c:v>705625561.68831742</c:v>
                </c:pt>
                <c:pt idx="21">
                  <c:v>707671055.63560963</c:v>
                </c:pt>
                <c:pt idx="22">
                  <c:v>710094093.09054446</c:v>
                </c:pt>
                <c:pt idx="23">
                  <c:v>712628703.7490201</c:v>
                </c:pt>
                <c:pt idx="24">
                  <c:v>715463438.24879932</c:v>
                </c:pt>
                <c:pt idx="25">
                  <c:v>718593313.17986083</c:v>
                </c:pt>
              </c:numCache>
            </c:numRef>
          </c:val>
        </c:ser>
        <c:dLbls/>
        <c:marker val="1"/>
        <c:axId val="245410432"/>
        <c:axId val="245424512"/>
      </c:lineChart>
      <c:catAx>
        <c:axId val="245410432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5424512"/>
        <c:crosses val="autoZero"/>
        <c:auto val="1"/>
        <c:lblAlgn val="ctr"/>
        <c:lblOffset val="100"/>
        <c:tickLblSkip val="5"/>
      </c:catAx>
      <c:valAx>
        <c:axId val="245424512"/>
        <c:scaling>
          <c:orientation val="minMax"/>
          <c:max val="2000000000"/>
          <c:min val="0"/>
        </c:scaling>
        <c:axPos val="l"/>
        <c:majorGridlines/>
        <c:numFmt formatCode="&quot;$&quot;#,##0" sourceLinked="0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5410432"/>
        <c:crosses val="autoZero"/>
        <c:crossBetween val="between"/>
        <c:dispUnits>
          <c:builtInUnit val="millions"/>
          <c:dispUnitsLbl>
            <c:txPr>
              <a:bodyPr/>
              <a:lstStyle/>
              <a:p>
                <a:pPr>
                  <a:defRPr sz="1600" b="0"/>
                </a:pPr>
                <a:endParaRPr lang="en-US"/>
              </a:p>
            </c:txPr>
          </c:dispUnitsLbl>
        </c:dispUnits>
      </c:valAx>
    </c:plotArea>
    <c:legend>
      <c:legendPos val="r"/>
      <c:layout>
        <c:manualLayout>
          <c:xMode val="edge"/>
          <c:yMode val="edge"/>
          <c:x val="0.77867354610898942"/>
          <c:y val="1.1500022867001403E-2"/>
          <c:w val="0.21284188143686011"/>
          <c:h val="0.98161276170288758"/>
        </c:manualLayout>
      </c:layout>
      <c:txPr>
        <a:bodyPr/>
        <a:lstStyle/>
        <a:p>
          <a:pPr>
            <a:defRPr sz="1300"/>
          </a:pPr>
          <a:endParaRPr lang="en-US"/>
        </a:p>
      </c:txPr>
    </c:legend>
    <c:plotVisOnly val="1"/>
    <c:dispBlanksAs val="zero"/>
  </c:chart>
  <c:printSettings>
    <c:headerFooter/>
    <c:pageMargins b="1" l="0.75000000000000022" r="0.75000000000000022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Revenues from user fees vs. general</a:t>
            </a:r>
            <a:r>
              <a:rPr lang="en-US" baseline="0"/>
              <a:t> taxes</a:t>
            </a:r>
            <a:endParaRPr lang="en-US"/>
          </a:p>
        </c:rich>
      </c:tx>
    </c:title>
    <c:plotArea>
      <c:layout>
        <c:manualLayout>
          <c:layoutTarget val="inner"/>
          <c:xMode val="edge"/>
          <c:yMode val="edge"/>
          <c:x val="0.14472083202758901"/>
          <c:y val="9.9339590640391995E-2"/>
          <c:w val="0.83289110928288124"/>
          <c:h val="0.82304998545842323"/>
        </c:manualLayout>
      </c:layout>
      <c:barChart>
        <c:barDir val="col"/>
        <c:grouping val="stacked"/>
        <c:ser>
          <c:idx val="1"/>
          <c:order val="0"/>
          <c:tx>
            <c:strRef>
              <c:f>TabularOutputs!$B$227</c:f>
              <c:strCache>
                <c:ptCount val="1"/>
                <c:pt idx="0">
                  <c:v>User Fee</c:v>
                </c:pt>
              </c:strCache>
            </c:strRef>
          </c:tx>
          <c:cat>
            <c:numRef>
              <c:f>TabularOutputs!$A$228:$A$253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TabularOutputs!$B$228:$B$253</c:f>
              <c:numCache>
                <c:formatCode>_-"$"* #,##0_-;\-"$"* #,##0_-;_-"$"* "-"??_-;_-@_-</c:formatCode>
                <c:ptCount val="26"/>
                <c:pt idx="0">
                  <c:v>631439919.69266927</c:v>
                </c:pt>
                <c:pt idx="1">
                  <c:v>616851004.16070509</c:v>
                </c:pt>
                <c:pt idx="2">
                  <c:v>617318713.06815493</c:v>
                </c:pt>
                <c:pt idx="3">
                  <c:v>620865186.99300325</c:v>
                </c:pt>
                <c:pt idx="4">
                  <c:v>623284405.42008352</c:v>
                </c:pt>
                <c:pt idx="5">
                  <c:v>614101510.10473585</c:v>
                </c:pt>
                <c:pt idx="6">
                  <c:v>614938549.55390012</c:v>
                </c:pt>
                <c:pt idx="7">
                  <c:v>771585464.67921579</c:v>
                </c:pt>
                <c:pt idx="8">
                  <c:v>768723960.78696954</c:v>
                </c:pt>
                <c:pt idx="9">
                  <c:v>765889939.86774766</c:v>
                </c:pt>
                <c:pt idx="10">
                  <c:v>762818935.30529666</c:v>
                </c:pt>
                <c:pt idx="11">
                  <c:v>759117772.98532915</c:v>
                </c:pt>
                <c:pt idx="12">
                  <c:v>754914950.08983374</c:v>
                </c:pt>
                <c:pt idx="13">
                  <c:v>750317965.18345344</c:v>
                </c:pt>
                <c:pt idx="14">
                  <c:v>745307986.25141156</c:v>
                </c:pt>
                <c:pt idx="15">
                  <c:v>739974097.07585025</c:v>
                </c:pt>
                <c:pt idx="16">
                  <c:v>734796969.66587281</c:v>
                </c:pt>
                <c:pt idx="17">
                  <c:v>729931589.32940745</c:v>
                </c:pt>
                <c:pt idx="18">
                  <c:v>725391002.62630939</c:v>
                </c:pt>
                <c:pt idx="19">
                  <c:v>721170493.75252259</c:v>
                </c:pt>
                <c:pt idx="20">
                  <c:v>717305718.22842622</c:v>
                </c:pt>
                <c:pt idx="21">
                  <c:v>713777306.16127861</c:v>
                </c:pt>
                <c:pt idx="22">
                  <c:v>710584249.7825141</c:v>
                </c:pt>
                <c:pt idx="23">
                  <c:v>707989959.49737406</c:v>
                </c:pt>
                <c:pt idx="24">
                  <c:v>705688542.25225782</c:v>
                </c:pt>
                <c:pt idx="25">
                  <c:v>703672769.77664208</c:v>
                </c:pt>
              </c:numCache>
            </c:numRef>
          </c:val>
        </c:ser>
        <c:ser>
          <c:idx val="2"/>
          <c:order val="1"/>
          <c:tx>
            <c:strRef>
              <c:f>TabularOutputs!$C$227</c:f>
              <c:strCache>
                <c:ptCount val="1"/>
                <c:pt idx="0">
                  <c:v>General Tax</c:v>
                </c:pt>
              </c:strCache>
            </c:strRef>
          </c:tx>
          <c:cat>
            <c:numRef>
              <c:f>TabularOutputs!$A$228:$A$253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TabularOutputs!$C$228:$C$253</c:f>
              <c:numCache>
                <c:formatCode>_-"$"* #,##0_-;\-"$"* #,##0_-;_-"$"* "-"??_-;_-@_-</c:formatCode>
                <c:ptCount val="26"/>
                <c:pt idx="0">
                  <c:v>65911595.243904576</c:v>
                </c:pt>
                <c:pt idx="1">
                  <c:v>67971250.187231347</c:v>
                </c:pt>
                <c:pt idx="2">
                  <c:v>69833844.686320871</c:v>
                </c:pt>
                <c:pt idx="3">
                  <c:v>71109513.838272065</c:v>
                </c:pt>
                <c:pt idx="4">
                  <c:v>71914569.929991752</c:v>
                </c:pt>
                <c:pt idx="5">
                  <c:v>73493004.588758916</c:v>
                </c:pt>
                <c:pt idx="6">
                  <c:v>75262193.719645023</c:v>
                </c:pt>
                <c:pt idx="7">
                  <c:v>76946258.143625632</c:v>
                </c:pt>
                <c:pt idx="8">
                  <c:v>78688037.829996705</c:v>
                </c:pt>
                <c:pt idx="9">
                  <c:v>80558835.465074584</c:v>
                </c:pt>
                <c:pt idx="10">
                  <c:v>82425081.320582658</c:v>
                </c:pt>
                <c:pt idx="11">
                  <c:v>84253586.659030721</c:v>
                </c:pt>
                <c:pt idx="12">
                  <c:v>86174166.952499732</c:v>
                </c:pt>
                <c:pt idx="13">
                  <c:v>88245602.782755107</c:v>
                </c:pt>
                <c:pt idx="14">
                  <c:v>90403305.149288297</c:v>
                </c:pt>
                <c:pt idx="15">
                  <c:v>92631318.319511831</c:v>
                </c:pt>
                <c:pt idx="16">
                  <c:v>94964947.286022499</c:v>
                </c:pt>
                <c:pt idx="17">
                  <c:v>97412776.696734026</c:v>
                </c:pt>
                <c:pt idx="18">
                  <c:v>99893540.892497003</c:v>
                </c:pt>
                <c:pt idx="19">
                  <c:v>102466822.82849848</c:v>
                </c:pt>
                <c:pt idx="20">
                  <c:v>105167117.67066112</c:v>
                </c:pt>
                <c:pt idx="21">
                  <c:v>107919602.27376901</c:v>
                </c:pt>
                <c:pt idx="22">
                  <c:v>110802683.63286269</c:v>
                </c:pt>
                <c:pt idx="23">
                  <c:v>113259332.64878866</c:v>
                </c:pt>
                <c:pt idx="24">
                  <c:v>115782071.44132903</c:v>
                </c:pt>
                <c:pt idx="25">
                  <c:v>118372839.38590223</c:v>
                </c:pt>
              </c:numCache>
            </c:numRef>
          </c:val>
        </c:ser>
        <c:dLbls/>
        <c:overlap val="100"/>
        <c:axId val="214943616"/>
        <c:axId val="214945152"/>
      </c:barChart>
      <c:catAx>
        <c:axId val="21494361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14945152"/>
        <c:crosses val="autoZero"/>
        <c:auto val="1"/>
        <c:lblAlgn val="ctr"/>
        <c:lblOffset val="100"/>
        <c:tickLblSkip val="5"/>
      </c:catAx>
      <c:valAx>
        <c:axId val="214945152"/>
        <c:scaling>
          <c:orientation val="minMax"/>
          <c:min val="0"/>
        </c:scaling>
        <c:axPos val="l"/>
        <c:majorGridlines/>
        <c:numFmt formatCode="_-&quot;$&quot;* #,##0_-;\-&quot;$&quot;* #,##0_-;_-&quot;$&quot;* &quot;-&quot;??_-;_-@_-" sourceLinked="1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14943616"/>
        <c:crosses val="autoZero"/>
        <c:crossBetween val="between"/>
        <c:dispUnits>
          <c:builtInUnit val="millions"/>
          <c:dispUnitsLbl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</c:dispUnitsLbl>
        </c:dispUnits>
      </c:valAx>
    </c:plotArea>
    <c:legend>
      <c:legendPos val="t"/>
      <c:layout>
        <c:manualLayout>
          <c:xMode val="edge"/>
          <c:yMode val="edge"/>
          <c:x val="0.41467959650507602"/>
          <c:y val="0.10938711511779795"/>
          <c:w val="0.33207592496565036"/>
          <c:h val="5.7647729937301918E-2"/>
        </c:manualLayout>
      </c:layout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</c:chart>
  <c:printSettings>
    <c:headerFooter/>
    <c:pageMargins b="1" l="0.75000000000000022" r="0.75000000000000022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Net revenue and VMT</a:t>
            </a:r>
          </a:p>
        </c:rich>
      </c:tx>
      <c:layout>
        <c:manualLayout>
          <c:xMode val="edge"/>
          <c:yMode val="edge"/>
          <c:x val="0.34618898973171613"/>
          <c:y val="2.0496063893113307E-2"/>
        </c:manualLayout>
      </c:layout>
    </c:title>
    <c:plotArea>
      <c:layout>
        <c:manualLayout>
          <c:layoutTarget val="inner"/>
          <c:xMode val="edge"/>
          <c:yMode val="edge"/>
          <c:x val="9.5566353249753655E-2"/>
          <c:y val="2.2155551757136197E-2"/>
          <c:w val="0.65706895309104918"/>
          <c:h val="0.89486907836035801"/>
        </c:manualLayout>
      </c:layout>
      <c:barChart>
        <c:barDir val="col"/>
        <c:grouping val="stacked"/>
        <c:ser>
          <c:idx val="1"/>
          <c:order val="0"/>
          <c:tx>
            <c:v>Gas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TabularOutputs!$B$131:$B$156</c:f>
              <c:numCache>
                <c:formatCode>_-"$"* #,##0_-;\-"$"* #,##0_-;_-"$"* "-"??_-;_-@_-</c:formatCode>
                <c:ptCount val="26"/>
                <c:pt idx="0">
                  <c:v>323316963.25766391</c:v>
                </c:pt>
                <c:pt idx="1">
                  <c:v>303858725.30160767</c:v>
                </c:pt>
                <c:pt idx="2">
                  <c:v>299617962.26834536</c:v>
                </c:pt>
                <c:pt idx="3">
                  <c:v>298037157.4151569</c:v>
                </c:pt>
                <c:pt idx="4">
                  <c:v>294433591.4129014</c:v>
                </c:pt>
                <c:pt idx="5">
                  <c:v>283015760.14993852</c:v>
                </c:pt>
                <c:pt idx="6">
                  <c:v>280769432.22221935</c:v>
                </c:pt>
                <c:pt idx="7">
                  <c:v>434758967.78692836</c:v>
                </c:pt>
                <c:pt idx="8">
                  <c:v>429267476.33530945</c:v>
                </c:pt>
                <c:pt idx="9">
                  <c:v>423571674.54885131</c:v>
                </c:pt>
                <c:pt idx="10">
                  <c:v>417553880.20496905</c:v>
                </c:pt>
                <c:pt idx="11">
                  <c:v>410815279.7184388</c:v>
                </c:pt>
                <c:pt idx="12">
                  <c:v>403443890.07306349</c:v>
                </c:pt>
                <c:pt idx="13">
                  <c:v>395522462.03458649</c:v>
                </c:pt>
                <c:pt idx="14">
                  <c:v>387051003.35608453</c:v>
                </c:pt>
                <c:pt idx="15">
                  <c:v>378156256.35984313</c:v>
                </c:pt>
                <c:pt idx="16">
                  <c:v>369356972.40928525</c:v>
                </c:pt>
                <c:pt idx="17">
                  <c:v>360811809.9598605</c:v>
                </c:pt>
                <c:pt idx="18">
                  <c:v>352527923.62759054</c:v>
                </c:pt>
                <c:pt idx="19">
                  <c:v>344510121.66533035</c:v>
                </c:pt>
                <c:pt idx="20">
                  <c:v>336756480.71868789</c:v>
                </c:pt>
                <c:pt idx="21">
                  <c:v>329268774.1463511</c:v>
                </c:pt>
                <c:pt idx="22">
                  <c:v>322044654.84059685</c:v>
                </c:pt>
                <c:pt idx="23">
                  <c:v>315013117.82672369</c:v>
                </c:pt>
                <c:pt idx="24">
                  <c:v>308164150.25023419</c:v>
                </c:pt>
                <c:pt idx="25">
                  <c:v>301497586.81066477</c:v>
                </c:pt>
              </c:numCache>
            </c:numRef>
          </c:val>
        </c:ser>
        <c:ser>
          <c:idx val="2"/>
          <c:order val="1"/>
          <c:tx>
            <c:v>Diesel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TabularOutputs!$C$131:$C$156</c:f>
              <c:numCache>
                <c:formatCode>_-"$"* #,##0_-;\-"$"* #,##0_-;_-"$"* "-"??_-;_-@_-</c:formatCode>
                <c:ptCount val="26"/>
                <c:pt idx="0">
                  <c:v>89037260.946254745</c:v>
                </c:pt>
                <c:pt idx="1">
                  <c:v>88875276.333130732</c:v>
                </c:pt>
                <c:pt idx="2">
                  <c:v>89057647.397553265</c:v>
                </c:pt>
                <c:pt idx="3">
                  <c:v>90771330.028856784</c:v>
                </c:pt>
                <c:pt idx="4">
                  <c:v>91504818.056096524</c:v>
                </c:pt>
                <c:pt idx="5">
                  <c:v>92214265.278445289</c:v>
                </c:pt>
                <c:pt idx="6">
                  <c:v>92955846.960895449</c:v>
                </c:pt>
                <c:pt idx="7">
                  <c:v>93385179.857187137</c:v>
                </c:pt>
                <c:pt idx="8">
                  <c:v>93915597.836348519</c:v>
                </c:pt>
                <c:pt idx="9">
                  <c:v>94655381.899076283</c:v>
                </c:pt>
                <c:pt idx="10">
                  <c:v>95480325.02751109</c:v>
                </c:pt>
                <c:pt idx="11">
                  <c:v>96390574.295765176</c:v>
                </c:pt>
                <c:pt idx="12">
                  <c:v>97401246.420952052</c:v>
                </c:pt>
                <c:pt idx="13">
                  <c:v>98521198.567251861</c:v>
                </c:pt>
                <c:pt idx="14">
                  <c:v>99736955.538878962</c:v>
                </c:pt>
                <c:pt idx="15">
                  <c:v>101025618.98069078</c:v>
                </c:pt>
                <c:pt idx="16">
                  <c:v>102365025.32010464</c:v>
                </c:pt>
                <c:pt idx="17">
                  <c:v>103750728.38715093</c:v>
                </c:pt>
                <c:pt idx="18">
                  <c:v>105184572.62529007</c:v>
                </c:pt>
                <c:pt idx="19">
                  <c:v>106659948.31718905</c:v>
                </c:pt>
                <c:pt idx="20">
                  <c:v>108195980.66552959</c:v>
                </c:pt>
                <c:pt idx="21">
                  <c:v>109780896.56485297</c:v>
                </c:pt>
                <c:pt idx="22">
                  <c:v>111414028.3002376</c:v>
                </c:pt>
                <c:pt idx="23">
                  <c:v>113084342.13314277</c:v>
                </c:pt>
                <c:pt idx="24">
                  <c:v>114809211.97998552</c:v>
                </c:pt>
                <c:pt idx="25">
                  <c:v>116584771.39709313</c:v>
                </c:pt>
              </c:numCache>
            </c:numRef>
          </c:val>
        </c:ser>
        <c:ser>
          <c:idx val="3"/>
          <c:order val="2"/>
          <c:tx>
            <c:v>Diesel Surtax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TabularOutputs!$D$131:$D$156</c:f>
              <c:numCache>
                <c:formatCode>_-"$"* #,##0_-;\-"$"* #,##0_-;_-"$"* "-"??_-;_-@_-</c:formatCode>
                <c:ptCount val="26"/>
                <c:pt idx="0">
                  <c:v>74668649.188935623</c:v>
                </c:pt>
                <c:pt idx="1">
                  <c:v>74532467.623733327</c:v>
                </c:pt>
                <c:pt idx="2">
                  <c:v>74680848.92166467</c:v>
                </c:pt>
                <c:pt idx="3">
                  <c:v>76117629.140640646</c:v>
                </c:pt>
                <c:pt idx="4">
                  <c:v>76734847.01609455</c:v>
                </c:pt>
                <c:pt idx="5">
                  <c:v>77330111.804722652</c:v>
                </c:pt>
                <c:pt idx="6">
                  <c:v>77952256.740341082</c:v>
                </c:pt>
                <c:pt idx="7">
                  <c:v>78312593.154735833</c:v>
                </c:pt>
                <c:pt idx="8">
                  <c:v>78757711.685294598</c:v>
                </c:pt>
                <c:pt idx="9">
                  <c:v>79378395.18789804</c:v>
                </c:pt>
                <c:pt idx="10">
                  <c:v>80070497.098261461</c:v>
                </c:pt>
                <c:pt idx="11">
                  <c:v>80834140.970153168</c:v>
                </c:pt>
                <c:pt idx="12">
                  <c:v>81682001.741730794</c:v>
                </c:pt>
                <c:pt idx="13">
                  <c:v>82621506.083300442</c:v>
                </c:pt>
                <c:pt idx="14">
                  <c:v>83641355.679244772</c:v>
                </c:pt>
                <c:pt idx="15">
                  <c:v>84722351.170265079</c:v>
                </c:pt>
                <c:pt idx="16">
                  <c:v>85845909.29138644</c:v>
                </c:pt>
                <c:pt idx="17">
                  <c:v>87008302.355076879</c:v>
                </c:pt>
                <c:pt idx="18">
                  <c:v>88211077.21673049</c:v>
                </c:pt>
                <c:pt idx="19">
                  <c:v>89448692.16438733</c:v>
                </c:pt>
                <c:pt idx="20">
                  <c:v>90737183.584314257</c:v>
                </c:pt>
                <c:pt idx="21">
                  <c:v>92066680.445264891</c:v>
                </c:pt>
                <c:pt idx="22">
                  <c:v>93436623.317616493</c:v>
                </c:pt>
                <c:pt idx="23">
                  <c:v>94837739.574163318</c:v>
                </c:pt>
                <c:pt idx="24">
                  <c:v>96284616.634468228</c:v>
                </c:pt>
                <c:pt idx="25">
                  <c:v>97774013.047901914</c:v>
                </c:pt>
              </c:numCache>
            </c:numRef>
          </c:val>
        </c:ser>
        <c:ser>
          <c:idx val="5"/>
          <c:order val="3"/>
          <c:tx>
            <c:v>Driver License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TabularOutputs!$F$131:$F$156</c:f>
              <c:numCache>
                <c:formatCode>_-"$"* #,##0_-;\-"$"* #,##0_-;_-"$"* "-"??_-;_-@_-</c:formatCode>
                <c:ptCount val="26"/>
                <c:pt idx="0">
                  <c:v>6397835.6866462389</c:v>
                </c:pt>
                <c:pt idx="1">
                  <c:v>6350108.8191462401</c:v>
                </c:pt>
                <c:pt idx="2">
                  <c:v>6224970.4453962408</c:v>
                </c:pt>
                <c:pt idx="3">
                  <c:v>6150319.8303962387</c:v>
                </c:pt>
                <c:pt idx="4">
                  <c:v>6128459.2903962405</c:v>
                </c:pt>
                <c:pt idx="5">
                  <c:v>6169471.9621516159</c:v>
                </c:pt>
                <c:pt idx="6">
                  <c:v>6149330.4566937275</c:v>
                </c:pt>
                <c:pt idx="7">
                  <c:v>6127263.3961119996</c:v>
                </c:pt>
                <c:pt idx="8">
                  <c:v>6103202.7724188445</c:v>
                </c:pt>
                <c:pt idx="9">
                  <c:v>6077078.4063715618</c:v>
                </c:pt>
                <c:pt idx="10">
                  <c:v>6048817.8793835305</c:v>
                </c:pt>
                <c:pt idx="11">
                  <c:v>6017254.7095555319</c:v>
                </c:pt>
                <c:pt idx="12">
                  <c:v>5983415.2797096334</c:v>
                </c:pt>
                <c:pt idx="13">
                  <c:v>5947221.2909781039</c:v>
                </c:pt>
                <c:pt idx="14">
                  <c:v>5908591.9692786857</c:v>
                </c:pt>
                <c:pt idx="15">
                  <c:v>5867443.9882186567</c:v>
                </c:pt>
                <c:pt idx="16">
                  <c:v>5822705.5509051457</c:v>
                </c:pt>
                <c:pt idx="17">
                  <c:v>5775289.3224642137</c:v>
                </c:pt>
                <c:pt idx="18">
                  <c:v>5725105.2231377671</c:v>
                </c:pt>
                <c:pt idx="19">
                  <c:v>5672060.3504199637</c:v>
                </c:pt>
                <c:pt idx="20">
                  <c:v>5616058.8916836232</c:v>
                </c:pt>
                <c:pt idx="21">
                  <c:v>5556435.219747276</c:v>
                </c:pt>
                <c:pt idx="22">
                  <c:v>5493666.6993137561</c:v>
                </c:pt>
                <c:pt idx="23">
                  <c:v>5427649.2173689995</c:v>
                </c:pt>
                <c:pt idx="24">
                  <c:v>5358275.4168965239</c:v>
                </c:pt>
                <c:pt idx="25">
                  <c:v>5285434.5968475332</c:v>
                </c:pt>
              </c:numCache>
            </c:numRef>
          </c:val>
        </c:ser>
        <c:ser>
          <c:idx val="6"/>
          <c:order val="4"/>
          <c:tx>
            <c:v>Vehicle Reg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TabularOutputs!$G$131:$G$156</c:f>
              <c:numCache>
                <c:formatCode>_-"$"* #,##0_-;\-"$"* #,##0_-;_-"$"* "-"??_-;_-@_-</c:formatCode>
                <c:ptCount val="26"/>
                <c:pt idx="0">
                  <c:v>82551092.771324039</c:v>
                </c:pt>
                <c:pt idx="1">
                  <c:v>83387848.5947368</c:v>
                </c:pt>
                <c:pt idx="2">
                  <c:v>84180940.309609979</c:v>
                </c:pt>
                <c:pt idx="3">
                  <c:v>85190669.78104727</c:v>
                </c:pt>
                <c:pt idx="4">
                  <c:v>86048423.685318977</c:v>
                </c:pt>
                <c:pt idx="5">
                  <c:v>86799065.999111965</c:v>
                </c:pt>
                <c:pt idx="6">
                  <c:v>87555283.345811307</c:v>
                </c:pt>
                <c:pt idx="7">
                  <c:v>88315941.976168334</c:v>
                </c:pt>
                <c:pt idx="8">
                  <c:v>89079433.030730695</c:v>
                </c:pt>
                <c:pt idx="9">
                  <c:v>89847456.533794671</c:v>
                </c:pt>
                <c:pt idx="10">
                  <c:v>90619612.355596036</c:v>
                </c:pt>
                <c:pt idx="11">
                  <c:v>91395485.981910959</c:v>
                </c:pt>
                <c:pt idx="12">
                  <c:v>92174479.475108683</c:v>
                </c:pt>
                <c:pt idx="13">
                  <c:v>92956552.571049273</c:v>
                </c:pt>
                <c:pt idx="14">
                  <c:v>93741074.820877299</c:v>
                </c:pt>
                <c:pt idx="15">
                  <c:v>94527379.760328516</c:v>
                </c:pt>
                <c:pt idx="16">
                  <c:v>95315038.732867777</c:v>
                </c:pt>
                <c:pt idx="17">
                  <c:v>96104110.236713246</c:v>
                </c:pt>
                <c:pt idx="18">
                  <c:v>96894207.452925712</c:v>
                </c:pt>
                <c:pt idx="19">
                  <c:v>97685617.956938639</c:v>
                </c:pt>
                <c:pt idx="20">
                  <c:v>98478586.303511441</c:v>
                </c:pt>
                <c:pt idx="21">
                  <c:v>99272573.525423139</c:v>
                </c:pt>
                <c:pt idx="22">
                  <c:v>100068121.16659637</c:v>
                </c:pt>
                <c:pt idx="23">
                  <c:v>100864895.59431866</c:v>
                </c:pt>
                <c:pt idx="24">
                  <c:v>101663533.87450743</c:v>
                </c:pt>
                <c:pt idx="25">
                  <c:v>102463995.52602704</c:v>
                </c:pt>
              </c:numCache>
            </c:numRef>
          </c:val>
        </c:ser>
        <c:ser>
          <c:idx val="28"/>
          <c:order val="5"/>
          <c:tx>
            <c:v>IRP</c:v>
          </c:tx>
          <c:val>
            <c:numRef>
              <c:f>TabularOutputs!$H$131:$H$156</c:f>
              <c:numCache>
                <c:formatCode>_-"$"* #,##0_-;\-"$"* #,##0_-;_-"$"* "-"??_-;_-@_-</c:formatCode>
                <c:ptCount val="26"/>
                <c:pt idx="0">
                  <c:v>43277333.254367083</c:v>
                </c:pt>
                <c:pt idx="1">
                  <c:v>46526761.624016702</c:v>
                </c:pt>
                <c:pt idx="2">
                  <c:v>47642864.522950292</c:v>
                </c:pt>
                <c:pt idx="3">
                  <c:v>48648740.113816753</c:v>
                </c:pt>
                <c:pt idx="4">
                  <c:v>50293371.077390023</c:v>
                </c:pt>
                <c:pt idx="5">
                  <c:v>49573166.94640509</c:v>
                </c:pt>
                <c:pt idx="6">
                  <c:v>49912999.566288486</c:v>
                </c:pt>
                <c:pt idx="7">
                  <c:v>50292704.818511568</c:v>
                </c:pt>
                <c:pt idx="8">
                  <c:v>50489063.416224577</c:v>
                </c:pt>
                <c:pt idx="9">
                  <c:v>50661425.311551929</c:v>
                </c:pt>
                <c:pt idx="10">
                  <c:v>50814454.837145224</c:v>
                </c:pt>
                <c:pt idx="11">
                  <c:v>50951853.778627098</c:v>
                </c:pt>
                <c:pt idx="12">
                  <c:v>51076454.887883514</c:v>
                </c:pt>
                <c:pt idx="13">
                  <c:v>51190400.351825714</c:v>
                </c:pt>
                <c:pt idx="14">
                  <c:v>51295247.887757413</c:v>
                </c:pt>
                <c:pt idx="15">
                  <c:v>51392164.933264695</c:v>
                </c:pt>
                <c:pt idx="16">
                  <c:v>51482070.480811112</c:v>
                </c:pt>
                <c:pt idx="17">
                  <c:v>51565790.307658702</c:v>
                </c:pt>
                <c:pt idx="18">
                  <c:v>51644038.968343139</c:v>
                </c:pt>
                <c:pt idx="19">
                  <c:v>51717369.551810876</c:v>
                </c:pt>
                <c:pt idx="20">
                  <c:v>51786388.002143092</c:v>
                </c:pt>
                <c:pt idx="21">
                  <c:v>51851454.470704317</c:v>
                </c:pt>
                <c:pt idx="22">
                  <c:v>51912931.167323261</c:v>
                </c:pt>
                <c:pt idx="23">
                  <c:v>52005851.07801906</c:v>
                </c:pt>
                <c:pt idx="24">
                  <c:v>52099003.486270607</c:v>
                </c:pt>
                <c:pt idx="25">
                  <c:v>52192363.898336373</c:v>
                </c:pt>
              </c:numCache>
            </c:numRef>
          </c:val>
        </c:ser>
        <c:ser>
          <c:idx val="12"/>
          <c:order val="6"/>
          <c:tx>
            <c:v>Dedicated Sales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TabularOutputs!$N$131:$N$156</c:f>
              <c:numCache>
                <c:formatCode>_-"$"* #,##0_-;\-"$"* #,##0_-;_-"$"* "-"??_-;_-@_-</c:formatCode>
                <c:ptCount val="26"/>
                <c:pt idx="0">
                  <c:v>27511595.243904572</c:v>
                </c:pt>
                <c:pt idx="1">
                  <c:v>29571250.187231351</c:v>
                </c:pt>
                <c:pt idx="2">
                  <c:v>31433844.686320879</c:v>
                </c:pt>
                <c:pt idx="3">
                  <c:v>32709513.838272069</c:v>
                </c:pt>
                <c:pt idx="4">
                  <c:v>33514569.929991752</c:v>
                </c:pt>
                <c:pt idx="5">
                  <c:v>34709004.588758908</c:v>
                </c:pt>
                <c:pt idx="6">
                  <c:v>36090353.719645031</c:v>
                </c:pt>
                <c:pt idx="7">
                  <c:v>37382699.743625633</c:v>
                </c:pt>
                <c:pt idx="8">
                  <c:v>38728843.845996708</c:v>
                </c:pt>
                <c:pt idx="9">
                  <c:v>40200049.541234583</c:v>
                </c:pt>
                <c:pt idx="10">
                  <c:v>41662707.537504248</c:v>
                </c:pt>
                <c:pt idx="11">
                  <c:v>43083589.13812153</c:v>
                </c:pt>
                <c:pt idx="12">
                  <c:v>44592469.456381448</c:v>
                </c:pt>
                <c:pt idx="13">
                  <c:v>46248088.311675645</c:v>
                </c:pt>
                <c:pt idx="14">
                  <c:v>47985815.533498041</c:v>
                </c:pt>
                <c:pt idx="15">
                  <c:v>49789653.80756367</c:v>
                </c:pt>
                <c:pt idx="16">
                  <c:v>51694866.12895485</c:v>
                </c:pt>
                <c:pt idx="17">
                  <c:v>53709994.728095703</c:v>
                </c:pt>
                <c:pt idx="18">
                  <c:v>55753731.104172304</c:v>
                </c:pt>
                <c:pt idx="19">
                  <c:v>57885614.942290537</c:v>
                </c:pt>
                <c:pt idx="20">
                  <c:v>60140097.705591097</c:v>
                </c:pt>
                <c:pt idx="21">
                  <c:v>62442312.109048277</c:v>
                </c:pt>
                <c:pt idx="22">
                  <c:v>64870620.566494741</c:v>
                </c:pt>
                <c:pt idx="23">
                  <c:v>66867948.951757044</c:v>
                </c:pt>
                <c:pt idx="24">
                  <c:v>68926773.907327101</c:v>
                </c:pt>
                <c:pt idx="25">
                  <c:v>71048988.876560286</c:v>
                </c:pt>
              </c:numCache>
            </c:numRef>
          </c:val>
        </c:ser>
        <c:ser>
          <c:idx val="18"/>
          <c:order val="7"/>
          <c:tx>
            <c:v>OS/OW</c:v>
          </c:tx>
          <c:spPr>
            <a:solidFill>
              <a:schemeClr val="accent5">
                <a:lumMod val="40000"/>
                <a:lumOff val="60000"/>
              </a:schemeClr>
            </a:solidFill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TabularOutputs!$T$131:$T$156</c:f>
              <c:numCache>
                <c:formatCode>_-"$"* #,##0_-;\-"$"* #,##0_-;_-"$"* "-"??_-;_-@_-</c:formatCode>
                <c:ptCount val="26"/>
                <c:pt idx="0">
                  <c:v>12190784.587477507</c:v>
                </c:pt>
                <c:pt idx="1">
                  <c:v>13319815.864333576</c:v>
                </c:pt>
                <c:pt idx="2">
                  <c:v>15913479.202635162</c:v>
                </c:pt>
                <c:pt idx="3">
                  <c:v>15949340.683088712</c:v>
                </c:pt>
                <c:pt idx="4">
                  <c:v>18140894.881885801</c:v>
                </c:pt>
                <c:pt idx="5">
                  <c:v>18999667.9639608</c:v>
                </c:pt>
                <c:pt idx="6">
                  <c:v>19643400.261650842</c:v>
                </c:pt>
                <c:pt idx="7">
                  <c:v>20392813.68957258</c:v>
                </c:pt>
                <c:pt idx="8">
                  <c:v>21111475.710642848</c:v>
                </c:pt>
                <c:pt idx="9">
                  <c:v>21698527.980203871</c:v>
                </c:pt>
                <c:pt idx="10">
                  <c:v>22231347.902430162</c:v>
                </c:pt>
                <c:pt idx="11">
                  <c:v>22713183.530878551</c:v>
                </c:pt>
                <c:pt idx="12">
                  <c:v>23153462.211385567</c:v>
                </c:pt>
                <c:pt idx="13">
                  <c:v>23558624.284461565</c:v>
                </c:pt>
                <c:pt idx="14">
                  <c:v>23933756.999289867</c:v>
                </c:pt>
                <c:pt idx="15">
                  <c:v>24282881.883239441</c:v>
                </c:pt>
                <c:pt idx="16">
                  <c:v>24609247.880512469</c:v>
                </c:pt>
                <c:pt idx="17">
                  <c:v>24915558.760482851</c:v>
                </c:pt>
                <c:pt idx="18">
                  <c:v>25204077.512291744</c:v>
                </c:pt>
                <c:pt idx="19">
                  <c:v>25476683.746446341</c:v>
                </c:pt>
                <c:pt idx="20">
                  <c:v>25735040.062556256</c:v>
                </c:pt>
                <c:pt idx="21">
                  <c:v>25980491.788934942</c:v>
                </c:pt>
                <c:pt idx="22">
                  <c:v>26214224.29082974</c:v>
                </c:pt>
                <c:pt idx="23">
                  <c:v>26756364.073637567</c:v>
                </c:pt>
                <c:pt idx="24">
                  <c:v>27309750.609895177</c:v>
                </c:pt>
                <c:pt idx="25">
                  <c:v>27874604.499771222</c:v>
                </c:pt>
              </c:numCache>
            </c:numRef>
          </c:val>
        </c:ser>
        <c:ser>
          <c:idx val="4"/>
          <c:order val="8"/>
          <c:tx>
            <c:v>Fuel Sales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TabularOutputs!$E$131:$E$156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7"/>
          <c:order val="9"/>
          <c:tx>
            <c:v>Vehicle Excise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TabularOutputs!$I$131:$I$156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2"/>
          <c:order val="10"/>
          <c:tx>
            <c:v>Rental Car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TabularOutputs!$X$131:$X$156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9"/>
          <c:order val="11"/>
          <c:tx>
            <c:v>Vehicle Sales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TabularOutputs!$K$131:$K$156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0"/>
          <c:order val="12"/>
          <c:tx>
            <c:v>Tire Tax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TabularOutputs!$L$131:$L$156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8"/>
          <c:order val="13"/>
          <c:tx>
            <c:v>EV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TabularOutputs!$J$131:$J$156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1"/>
          <c:order val="14"/>
          <c:tx>
            <c:v>Veh Law Enf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TabularOutputs!$M$131:$M$156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3"/>
          <c:order val="15"/>
          <c:tx>
            <c:v>Sales Tax Increase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TabularOutputs!$O$131:$O$156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4"/>
          <c:order val="16"/>
          <c:tx>
            <c:v>LDV RUC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TabularOutputs!$P$131:$P$156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5"/>
          <c:order val="17"/>
          <c:tx>
            <c:v>HDV WMT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TabularOutputs!$Q$131:$Q$156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6"/>
          <c:order val="18"/>
          <c:tx>
            <c:v>HDV Distance Size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TabularOutputs!$R$131:$R$156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7"/>
          <c:order val="19"/>
          <c:tx>
            <c:v>HDV Distance Damage Fee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TabularOutputs!$S$131:$S$156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9"/>
          <c:order val="20"/>
          <c:tx>
            <c:v>Toll New Roads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TabularOutputs!$U$131:$U$156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0"/>
          <c:order val="21"/>
          <c:tx>
            <c:v>Toll Existing Roads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TabularOutputs!$V$131:$V$156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1"/>
          <c:order val="22"/>
          <c:tx>
            <c:v>HOT Lanes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TabularOutputs!$W$131:$W$156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3"/>
          <c:order val="23"/>
          <c:tx>
            <c:v>General Fund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TabularOutputs!$Y$131:$Y$156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4"/>
          <c:order val="24"/>
          <c:tx>
            <c:v>TIF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TabularOutputs!$Z$131:$Z$156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5"/>
          <c:order val="25"/>
          <c:tx>
            <c:v>Developer Fees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TabularOutputs!$AA$131:$AA$156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6"/>
          <c:order val="26"/>
          <c:tx>
            <c:v>Assessment Districts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TabularOutputs!$AB$131:$AB$156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7"/>
          <c:order val="27"/>
          <c:tx>
            <c:v>Miscellaneous</c:v>
          </c:tx>
          <c:spPr>
            <a:ln w="25400">
              <a:noFill/>
            </a:ln>
          </c:spPr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TabularOutputs!$AC$131:$AC$156</c:f>
              <c:numCache>
                <c:formatCode>_-"$"* #,##0_-;\-"$"* #,##0_-;_-"$"* "-"??_-;_-@_-</c:formatCode>
                <c:ptCount val="26"/>
                <c:pt idx="0">
                  <c:v>38400000</c:v>
                </c:pt>
                <c:pt idx="1">
                  <c:v>38400000</c:v>
                </c:pt>
                <c:pt idx="2">
                  <c:v>38400000</c:v>
                </c:pt>
                <c:pt idx="3">
                  <c:v>38400000</c:v>
                </c:pt>
                <c:pt idx="4">
                  <c:v>38400000</c:v>
                </c:pt>
                <c:pt idx="5">
                  <c:v>38784000</c:v>
                </c:pt>
                <c:pt idx="6">
                  <c:v>39171840</c:v>
                </c:pt>
                <c:pt idx="7">
                  <c:v>39563558.399999999</c:v>
                </c:pt>
                <c:pt idx="8">
                  <c:v>39959193.983999997</c:v>
                </c:pt>
                <c:pt idx="9">
                  <c:v>40358785.923840001</c:v>
                </c:pt>
                <c:pt idx="10">
                  <c:v>40762373.783078402</c:v>
                </c:pt>
                <c:pt idx="11">
                  <c:v>41169997.52090919</c:v>
                </c:pt>
                <c:pt idx="12">
                  <c:v>41581697.496118285</c:v>
                </c:pt>
                <c:pt idx="13">
                  <c:v>41997514.471079469</c:v>
                </c:pt>
                <c:pt idx="14">
                  <c:v>42417489.615790263</c:v>
                </c:pt>
                <c:pt idx="15">
                  <c:v>42841664.511948168</c:v>
                </c:pt>
                <c:pt idx="16">
                  <c:v>43270081.157067649</c:v>
                </c:pt>
                <c:pt idx="17">
                  <c:v>43702781.968638323</c:v>
                </c:pt>
                <c:pt idx="18">
                  <c:v>44139809.788324706</c:v>
                </c:pt>
                <c:pt idx="19">
                  <c:v>44581207.886207953</c:v>
                </c:pt>
                <c:pt idx="20">
                  <c:v>45027019.965070032</c:v>
                </c:pt>
                <c:pt idx="21">
                  <c:v>45477290.164720729</c:v>
                </c:pt>
                <c:pt idx="22">
                  <c:v>45932063.066367939</c:v>
                </c:pt>
                <c:pt idx="23">
                  <c:v>46391383.697031617</c:v>
                </c:pt>
                <c:pt idx="24">
                  <c:v>46855297.534001932</c:v>
                </c:pt>
                <c:pt idx="25">
                  <c:v>47323850.509341948</c:v>
                </c:pt>
              </c:numCache>
            </c:numRef>
          </c:val>
        </c:ser>
        <c:dLbls/>
        <c:overlap val="100"/>
        <c:axId val="245883264"/>
        <c:axId val="245884800"/>
      </c:barChart>
      <c:lineChart>
        <c:grouping val="standard"/>
        <c:ser>
          <c:idx val="29"/>
          <c:order val="29"/>
          <c:tx>
            <c:v>Status Quo Revenue Total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TabularOutputs!$AG$131:$AG$156</c:f>
              <c:numCache>
                <c:formatCode>_-"$"* #,##0_-;\-"$"* #,##0_-;_-"$"* "-"??_-;_-@_-</c:formatCode>
                <c:ptCount val="26"/>
                <c:pt idx="0">
                  <c:v>700857272.73869848</c:v>
                </c:pt>
                <c:pt idx="1">
                  <c:v>688364587.1721518</c:v>
                </c:pt>
                <c:pt idx="2">
                  <c:v>690714489.01374245</c:v>
                </c:pt>
                <c:pt idx="3">
                  <c:v>695572502.81889212</c:v>
                </c:pt>
                <c:pt idx="4">
                  <c:v>698851524.14820337</c:v>
                </c:pt>
                <c:pt idx="5">
                  <c:v>691380044.08221364</c:v>
                </c:pt>
                <c:pt idx="6">
                  <c:v>694120504.68473709</c:v>
                </c:pt>
                <c:pt idx="7">
                  <c:v>695197402.16210294</c:v>
                </c:pt>
                <c:pt idx="8">
                  <c:v>696130279.41340852</c:v>
                </c:pt>
                <c:pt idx="9">
                  <c:v>697295446.13205123</c:v>
                </c:pt>
                <c:pt idx="10">
                  <c:v>698337524.56002641</c:v>
                </c:pt>
                <c:pt idx="11">
                  <c:v>698972685.49720287</c:v>
                </c:pt>
                <c:pt idx="12">
                  <c:v>699428013.23830688</c:v>
                </c:pt>
                <c:pt idx="13">
                  <c:v>699840398.06430972</c:v>
                </c:pt>
                <c:pt idx="14">
                  <c:v>700126605.3940686</c:v>
                </c:pt>
                <c:pt idx="15">
                  <c:v>700314700.95694351</c:v>
                </c:pt>
                <c:pt idx="16">
                  <c:v>700735555.71071565</c:v>
                </c:pt>
                <c:pt idx="17">
                  <c:v>701496310.68756664</c:v>
                </c:pt>
                <c:pt idx="18">
                  <c:v>702526382.23046637</c:v>
                </c:pt>
                <c:pt idx="19">
                  <c:v>703879125.97539008</c:v>
                </c:pt>
                <c:pt idx="20">
                  <c:v>705625561.68831742</c:v>
                </c:pt>
                <c:pt idx="21">
                  <c:v>707671055.63560963</c:v>
                </c:pt>
                <c:pt idx="22">
                  <c:v>710094093.09054446</c:v>
                </c:pt>
                <c:pt idx="23">
                  <c:v>712628703.7490201</c:v>
                </c:pt>
                <c:pt idx="24">
                  <c:v>715463438.24879932</c:v>
                </c:pt>
                <c:pt idx="25">
                  <c:v>718593313.17986083</c:v>
                </c:pt>
              </c:numCache>
            </c:numRef>
          </c:val>
        </c:ser>
        <c:dLbls/>
        <c:marker val="1"/>
        <c:axId val="245883264"/>
        <c:axId val="245884800"/>
      </c:lineChart>
      <c:lineChart>
        <c:grouping val="standard"/>
        <c:ser>
          <c:idx val="0"/>
          <c:order val="28"/>
          <c:tx>
            <c:v>VMT</c:v>
          </c:tx>
          <c:spPr>
            <a:ln>
              <a:solidFill>
                <a:srgbClr val="808000"/>
              </a:solidFill>
              <a:prstDash val="sysDash"/>
            </a:ln>
          </c:spPr>
          <c:marker>
            <c:symbol val="none"/>
          </c:marker>
          <c:val>
            <c:numRef>
              <c:f>EconomicInputs!$AD$4:$AD$29</c:f>
              <c:numCache>
                <c:formatCode>_(* #,##0_);_(* \(#,##0\);_(* "-"??_);_(@_)</c:formatCode>
                <c:ptCount val="26"/>
                <c:pt idx="0">
                  <c:v>75687690033.066193</c:v>
                </c:pt>
                <c:pt idx="1">
                  <c:v>75575071759.53244</c:v>
                </c:pt>
                <c:pt idx="2">
                  <c:v>75422436208.021698</c:v>
                </c:pt>
                <c:pt idx="3">
                  <c:v>76349992329.509995</c:v>
                </c:pt>
                <c:pt idx="4">
                  <c:v>77163513173.278061</c:v>
                </c:pt>
                <c:pt idx="5">
                  <c:v>77986282302.322906</c:v>
                </c:pt>
                <c:pt idx="6">
                  <c:v>78818414969.698029</c:v>
                </c:pt>
                <c:pt idx="7">
                  <c:v>79660028035.121628</c:v>
                </c:pt>
                <c:pt idx="8">
                  <c:v>80511239990.026138</c:v>
                </c:pt>
                <c:pt idx="9">
                  <c:v>81372170983.035889</c:v>
                </c:pt>
                <c:pt idx="10">
                  <c:v>82242942845.88002</c:v>
                </c:pt>
                <c:pt idx="11">
                  <c:v>83123679119.748932</c:v>
                </c:pt>
                <c:pt idx="12">
                  <c:v>84014505082.101959</c:v>
                </c:pt>
                <c:pt idx="13">
                  <c:v>84915547773.935013</c:v>
                </c:pt>
                <c:pt idx="14">
                  <c:v>85826936027.516083</c:v>
                </c:pt>
                <c:pt idx="15">
                  <c:v>86748800494.597412</c:v>
                </c:pt>
                <c:pt idx="16">
                  <c:v>87681273675.112823</c:v>
                </c:pt>
                <c:pt idx="17">
                  <c:v>88624489946.369385</c:v>
                </c:pt>
                <c:pt idx="18">
                  <c:v>89578585592.741928</c:v>
                </c:pt>
                <c:pt idx="19">
                  <c:v>90543698835.88028</c:v>
                </c:pt>
                <c:pt idx="20">
                  <c:v>91519969865.438034</c:v>
                </c:pt>
                <c:pt idx="21">
                  <c:v>92507540870.332275</c:v>
                </c:pt>
                <c:pt idx="22">
                  <c:v>93506556070.544907</c:v>
                </c:pt>
                <c:pt idx="23">
                  <c:v>94517161749.474518</c:v>
                </c:pt>
                <c:pt idx="24">
                  <c:v>95539506286.849167</c:v>
                </c:pt>
                <c:pt idx="25">
                  <c:v>96573740192.210693</c:v>
                </c:pt>
              </c:numCache>
            </c:numRef>
          </c:val>
        </c:ser>
        <c:dLbls/>
        <c:marker val="1"/>
        <c:axId val="245897472"/>
        <c:axId val="245895168"/>
      </c:lineChart>
      <c:catAx>
        <c:axId val="245883264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5884800"/>
        <c:crosses val="autoZero"/>
        <c:auto val="1"/>
        <c:lblAlgn val="ctr"/>
        <c:lblOffset val="100"/>
        <c:tickLblSkip val="5"/>
      </c:catAx>
      <c:valAx>
        <c:axId val="245884800"/>
        <c:scaling>
          <c:orientation val="minMax"/>
        </c:scaling>
        <c:axPos val="l"/>
        <c:majorGridlines/>
        <c:numFmt formatCode="&quot;$&quot;#,##0" sourceLinked="0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5883264"/>
        <c:crosses val="autoZero"/>
        <c:crossBetween val="between"/>
        <c:dispUnits>
          <c:builtInUnit val="millions"/>
          <c:dispUnitsLbl>
            <c:txPr>
              <a:bodyPr/>
              <a:lstStyle/>
              <a:p>
                <a:pPr>
                  <a:defRPr sz="1600" b="0"/>
                </a:pPr>
                <a:endParaRPr lang="en-US"/>
              </a:p>
            </c:txPr>
          </c:dispUnitsLbl>
        </c:dispUnits>
      </c:valAx>
      <c:valAx>
        <c:axId val="245895168"/>
        <c:scaling>
          <c:orientation val="minMax"/>
          <c:max val="100000000000"/>
          <c:min val="0"/>
        </c:scaling>
        <c:axPos val="r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VMT</a:t>
                </a:r>
              </a:p>
            </c:rich>
          </c:tx>
        </c:title>
        <c:numFmt formatCode="_(* #,##0_);_(* \(#,##0\);_(* &quot;-&quot;??_);_(@_)" sourceLinked="1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5897472"/>
        <c:crosses val="max"/>
        <c:crossBetween val="between"/>
        <c:dispUnits>
          <c:builtInUnit val="billions"/>
          <c:dispUnitsLbl>
            <c:txPr>
              <a:bodyPr/>
              <a:lstStyle/>
              <a:p>
                <a:pPr>
                  <a:defRPr sz="1600" b="0"/>
                </a:pPr>
                <a:endParaRPr lang="en-US"/>
              </a:p>
            </c:txPr>
          </c:dispUnitsLbl>
        </c:dispUnits>
      </c:valAx>
      <c:catAx>
        <c:axId val="245897472"/>
        <c:scaling>
          <c:orientation val="minMax"/>
        </c:scaling>
        <c:delete val="1"/>
        <c:axPos val="b"/>
        <c:tickLblPos val="none"/>
        <c:crossAx val="245895168"/>
        <c:crosses val="autoZero"/>
        <c:auto val="1"/>
        <c:lblAlgn val="ctr"/>
        <c:lblOffset val="100"/>
      </c:catAx>
    </c:plotArea>
    <c:legend>
      <c:legendPos val="r"/>
      <c:layout>
        <c:manualLayout>
          <c:xMode val="edge"/>
          <c:yMode val="edge"/>
          <c:x val="0.83319789790881627"/>
          <c:y val="1.8387320980580501E-2"/>
          <c:w val="0.15831751450732712"/>
          <c:h val="0.94707129750258046"/>
        </c:manualLayout>
      </c:layout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zero"/>
  </c:chart>
  <c:printSettings>
    <c:headerFooter/>
    <c:pageMargins b="1" l="0.75000000000000022" r="0.75000000000000022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Net revenue in 2015 dollars</a:t>
            </a:r>
          </a:p>
        </c:rich>
      </c:tx>
      <c:layout>
        <c:manualLayout>
          <c:xMode val="edge"/>
          <c:yMode val="edge"/>
          <c:x val="0.34618898973171613"/>
          <c:y val="2.0496063893113307E-2"/>
        </c:manualLayout>
      </c:layout>
    </c:title>
    <c:plotArea>
      <c:layout>
        <c:manualLayout>
          <c:layoutTarget val="inner"/>
          <c:xMode val="edge"/>
          <c:yMode val="edge"/>
          <c:x val="0.10136681781672501"/>
          <c:y val="2.2155551757136197E-2"/>
          <c:w val="0.66786110563796897"/>
          <c:h val="0.89486907836035801"/>
        </c:manualLayout>
      </c:layout>
      <c:barChart>
        <c:barDir val="col"/>
        <c:grouping val="stacked"/>
        <c:ser>
          <c:idx val="1"/>
          <c:order val="0"/>
          <c:tx>
            <c:v>Gas Tax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TabularOutputs!$B$260:$B$285</c:f>
              <c:numCache>
                <c:formatCode>_-"$"* #,##0_-;\-"$"* #,##0_-;_-"$"* "-"??_-;_-@_-</c:formatCode>
                <c:ptCount val="26"/>
                <c:pt idx="0">
                  <c:v>365803467.59657729</c:v>
                </c:pt>
                <c:pt idx="1">
                  <c:v>335403177.91679531</c:v>
                </c:pt>
                <c:pt idx="2">
                  <c:v>322655774.64838481</c:v>
                </c:pt>
                <c:pt idx="3">
                  <c:v>313125288.50929922</c:v>
                </c:pt>
                <c:pt idx="4">
                  <c:v>301794431.19822389</c:v>
                </c:pt>
                <c:pt idx="5">
                  <c:v>283015760.14993852</c:v>
                </c:pt>
                <c:pt idx="6">
                  <c:v>273921397.2899701</c:v>
                </c:pt>
                <c:pt idx="7">
                  <c:v>413809844.41349518</c:v>
                </c:pt>
                <c:pt idx="8">
                  <c:v>398617525.65197557</c:v>
                </c:pt>
                <c:pt idx="9">
                  <c:v>383735031.67644382</c:v>
                </c:pt>
                <c:pt idx="10">
                  <c:v>369056787.32715261</c:v>
                </c:pt>
                <c:pt idx="11">
                  <c:v>354244728.18989784</c:v>
                </c:pt>
                <c:pt idx="12">
                  <c:v>339403319.02528483</c:v>
                </c:pt>
                <c:pt idx="13">
                  <c:v>324623704.39443821</c:v>
                </c:pt>
                <c:pt idx="14">
                  <c:v>309922715.83831507</c:v>
                </c:pt>
                <c:pt idx="15">
                  <c:v>295415063.07089376</c:v>
                </c:pt>
                <c:pt idx="16">
                  <c:v>281503489.28037769</c:v>
                </c:pt>
                <c:pt idx="17">
                  <c:v>268283744.6895037</c:v>
                </c:pt>
                <c:pt idx="18">
                  <c:v>255730938.78643706</c:v>
                </c:pt>
                <c:pt idx="19">
                  <c:v>243819182.31712708</c:v>
                </c:pt>
                <c:pt idx="20">
                  <c:v>232518750.97856602</c:v>
                </c:pt>
                <c:pt idx="21">
                  <c:v>221803656.08843958</c:v>
                </c:pt>
                <c:pt idx="22">
                  <c:v>211646155.3185311</c:v>
                </c:pt>
                <c:pt idx="23">
                  <c:v>201975672.14573333</c:v>
                </c:pt>
                <c:pt idx="24">
                  <c:v>192765217.19171318</c:v>
                </c:pt>
                <c:pt idx="25">
                  <c:v>183995216.57260644</c:v>
                </c:pt>
              </c:numCache>
            </c:numRef>
          </c:val>
        </c:ser>
        <c:ser>
          <c:idx val="2"/>
          <c:order val="1"/>
          <c:tx>
            <c:v>Diesel Tax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TabularOutputs!$C$260:$C$285</c:f>
              <c:numCache>
                <c:formatCode>_-"$"* #,##0_-;\-"$"* #,##0_-;_-"$"* "-"??_-;_-@_-</c:formatCode>
                <c:ptCount val="26"/>
                <c:pt idx="0">
                  <c:v>100737488.28787829</c:v>
                </c:pt>
                <c:pt idx="1">
                  <c:v>98101675.674368665</c:v>
                </c:pt>
                <c:pt idx="2">
                  <c:v>95905345.566980749</c:v>
                </c:pt>
                <c:pt idx="3">
                  <c:v>95366628.611567661</c:v>
                </c:pt>
                <c:pt idx="4">
                  <c:v>93792438.507498935</c:v>
                </c:pt>
                <c:pt idx="5">
                  <c:v>92214265.278445289</c:v>
                </c:pt>
                <c:pt idx="6">
                  <c:v>90688631.181361422</c:v>
                </c:pt>
                <c:pt idx="7">
                  <c:v>88885358.579119235</c:v>
                </c:pt>
                <c:pt idx="8">
                  <c:v>87209968.827009276</c:v>
                </c:pt>
                <c:pt idx="9">
                  <c:v>85753104.265235215</c:v>
                </c:pt>
                <c:pt idx="10">
                  <c:v>84390694.657915965</c:v>
                </c:pt>
                <c:pt idx="11">
                  <c:v>83117290.123371482</c:v>
                </c:pt>
                <c:pt idx="12">
                  <c:v>81940282.467740268</c:v>
                </c:pt>
                <c:pt idx="13">
                  <c:v>80860935.87646766</c:v>
                </c:pt>
                <c:pt idx="14">
                  <c:v>79862209.016461208</c:v>
                </c:pt>
                <c:pt idx="15">
                  <c:v>78921052.081067905</c:v>
                </c:pt>
                <c:pt idx="16">
                  <c:v>78016969.924565196</c:v>
                </c:pt>
                <c:pt idx="17">
                  <c:v>77144464.670003414</c:v>
                </c:pt>
                <c:pt idx="18">
                  <c:v>76303032.186839104</c:v>
                </c:pt>
                <c:pt idx="19">
                  <c:v>75486146.122426525</c:v>
                </c:pt>
                <c:pt idx="20">
                  <c:v>74705598.037965029</c:v>
                </c:pt>
                <c:pt idx="21">
                  <c:v>73951149.148228601</c:v>
                </c:pt>
                <c:pt idx="22">
                  <c:v>73220748.687684089</c:v>
                </c:pt>
                <c:pt idx="23">
                  <c:v>72505825.056031868</c:v>
                </c:pt>
                <c:pt idx="24">
                  <c:v>71816344.195002705</c:v>
                </c:pt>
                <c:pt idx="25">
                  <c:v>71148298.363485217</c:v>
                </c:pt>
              </c:numCache>
            </c:numRef>
          </c:val>
        </c:ser>
        <c:ser>
          <c:idx val="3"/>
          <c:order val="2"/>
          <c:tx>
            <c:v>Diesel Surtax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TabularOutputs!$D$260:$D$285</c:f>
              <c:numCache>
                <c:formatCode>_-"$"* #,##0_-;\-"$"* #,##0_-;_-"$"* "-"??_-;_-@_-</c:formatCode>
                <c:ptCount val="26"/>
                <c:pt idx="0">
                  <c:v>84480722.937810645</c:v>
                </c:pt>
                <c:pt idx="1">
                  <c:v>82269898.533167288</c:v>
                </c:pt>
                <c:pt idx="2">
                  <c:v>80423106.070782036</c:v>
                </c:pt>
                <c:pt idx="3">
                  <c:v>79971084.115885571</c:v>
                </c:pt>
                <c:pt idx="4">
                  <c:v>78653218.191496909</c:v>
                </c:pt>
                <c:pt idx="5">
                  <c:v>77330111.804722652</c:v>
                </c:pt>
                <c:pt idx="6">
                  <c:v>76050982.185698628</c:v>
                </c:pt>
                <c:pt idx="7">
                  <c:v>74539053.567862779</c:v>
                </c:pt>
                <c:pt idx="8">
                  <c:v>73134364.676351979</c:v>
                </c:pt>
                <c:pt idx="9">
                  <c:v>71912908.303645998</c:v>
                </c:pt>
                <c:pt idx="10">
                  <c:v>70770652.171323791</c:v>
                </c:pt>
                <c:pt idx="11">
                  <c:v>69703026.421172708</c:v>
                </c:pt>
                <c:pt idx="12">
                  <c:v>68716228.3973414</c:v>
                </c:pt>
                <c:pt idx="13">
                  <c:v>67811317.793281853</c:v>
                </c:pt>
                <c:pt idx="14">
                  <c:v>66974005.70916906</c:v>
                </c:pt>
                <c:pt idx="15">
                  <c:v>66184965.324656859</c:v>
                </c:pt>
                <c:pt idx="16">
                  <c:v>65427011.837193005</c:v>
                </c:pt>
                <c:pt idx="17">
                  <c:v>64695535.263918981</c:v>
                </c:pt>
                <c:pt idx="18">
                  <c:v>63990112.771401055</c:v>
                </c:pt>
                <c:pt idx="19">
                  <c:v>63305272.069897801</c:v>
                </c:pt>
                <c:pt idx="20">
                  <c:v>62650899.989544824</c:v>
                </c:pt>
                <c:pt idx="21">
                  <c:v>62018411.492640771</c:v>
                </c:pt>
                <c:pt idx="22">
                  <c:v>61406086.994077474</c:v>
                </c:pt>
                <c:pt idx="23">
                  <c:v>60806725.533918917</c:v>
                </c:pt>
                <c:pt idx="24">
                  <c:v>60228696.370725885</c:v>
                </c:pt>
                <c:pt idx="25">
                  <c:v>59668639.129834682</c:v>
                </c:pt>
              </c:numCache>
            </c:numRef>
          </c:val>
        </c:ser>
        <c:ser>
          <c:idx val="5"/>
          <c:order val="3"/>
          <c:tx>
            <c:v>Driver License Fee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TabularOutputs!$F$260:$F$285</c:f>
              <c:numCache>
                <c:formatCode>_-"$"* #,##0_-;\-"$"* #,##0_-;_-"$"* "-"??_-;_-@_-</c:formatCode>
                <c:ptCount val="26"/>
                <c:pt idx="0">
                  <c:v>7238563.8405962838</c:v>
                </c:pt>
                <c:pt idx="1">
                  <c:v>7009331.9714451144</c:v>
                </c:pt>
                <c:pt idx="2">
                  <c:v>6703612.3135492848</c:v>
                </c:pt>
                <c:pt idx="3">
                  <c:v>6461679.7718100483</c:v>
                </c:pt>
                <c:pt idx="4">
                  <c:v>6281670.7726561464</c:v>
                </c:pt>
                <c:pt idx="5">
                  <c:v>6169471.9621516159</c:v>
                </c:pt>
                <c:pt idx="6">
                  <c:v>5999346.7870182712</c:v>
                </c:pt>
                <c:pt idx="7">
                  <c:v>5832017.5096842358</c:v>
                </c:pt>
                <c:pt idx="8">
                  <c:v>5667430.4991919165</c:v>
                </c:pt>
                <c:pt idx="9">
                  <c:v>5505533.1007509837</c:v>
                </c:pt>
                <c:pt idx="10">
                  <c:v>5346273.6176622408</c:v>
                </c:pt>
                <c:pt idx="11">
                  <c:v>5188659.8777358215</c:v>
                </c:pt>
                <c:pt idx="12">
                  <c:v>5033639.261886647</c:v>
                </c:pt>
                <c:pt idx="13">
                  <c:v>4881161.4804368876</c:v>
                </c:pt>
                <c:pt idx="14">
                  <c:v>4731177.1679212246</c:v>
                </c:pt>
                <c:pt idx="15">
                  <c:v>4583637.8658116404</c:v>
                </c:pt>
                <c:pt idx="16">
                  <c:v>4437744.6537430426</c:v>
                </c:pt>
                <c:pt idx="17">
                  <c:v>4294250.3635575976</c:v>
                </c:pt>
                <c:pt idx="18">
                  <c:v>4153107.9816270443</c:v>
                </c:pt>
                <c:pt idx="19">
                  <c:v>4014271.3659839798</c:v>
                </c:pt>
                <c:pt idx="20">
                  <c:v>3877695.2298868704</c:v>
                </c:pt>
                <c:pt idx="21">
                  <c:v>3742953.3054073714</c:v>
                </c:pt>
                <c:pt idx="22">
                  <c:v>3610410.6000042511</c:v>
                </c:pt>
                <c:pt idx="23">
                  <c:v>3480023.6460386794</c:v>
                </c:pt>
                <c:pt idx="24">
                  <c:v>3351749.7855359018</c:v>
                </c:pt>
                <c:pt idx="25">
                  <c:v>3225547.154836826</c:v>
                </c:pt>
              </c:numCache>
            </c:numRef>
          </c:val>
        </c:ser>
        <c:ser>
          <c:idx val="6"/>
          <c:order val="4"/>
          <c:tx>
            <c:v>Vehicle Reg Fee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TabularOutputs!$G$260:$G$285</c:f>
              <c:numCache>
                <c:formatCode>_-"$"* #,##0_-;\-"$"* #,##0_-;_-"$"* "-"??_-;_-@_-</c:formatCode>
                <c:ptCount val="26"/>
                <c:pt idx="0">
                  <c:v>93398984.344571903</c:v>
                </c:pt>
                <c:pt idx="1">
                  <c:v>92044582.200356245</c:v>
                </c:pt>
                <c:pt idx="2">
                  <c:v>90653665.423103571</c:v>
                </c:pt>
                <c:pt idx="3">
                  <c:v>89503447.438712791</c:v>
                </c:pt>
                <c:pt idx="4">
                  <c:v>88199634.277451947</c:v>
                </c:pt>
                <c:pt idx="5">
                  <c:v>86799065.999111965</c:v>
                </c:pt>
                <c:pt idx="6">
                  <c:v>85419788.630059823</c:v>
                </c:pt>
                <c:pt idx="7">
                  <c:v>84060384.98623994</c:v>
                </c:pt>
                <c:pt idx="8">
                  <c:v>82719109.037401736</c:v>
                </c:pt>
                <c:pt idx="9">
                  <c:v>81397361.180409238</c:v>
                </c:pt>
                <c:pt idx="10">
                  <c:v>80094532.922005937</c:v>
                </c:pt>
                <c:pt idx="11">
                  <c:v>78810041.125139058</c:v>
                </c:pt>
                <c:pt idx="12">
                  <c:v>77543185.144319102</c:v>
                </c:pt>
                <c:pt idx="13">
                  <c:v>76293771.757295594</c:v>
                </c:pt>
                <c:pt idx="14">
                  <c:v>75061137.271774173</c:v>
                </c:pt>
                <c:pt idx="15">
                  <c:v>73844637.988089472</c:v>
                </c:pt>
                <c:pt idx="16">
                  <c:v>72643859.432723984</c:v>
                </c:pt>
                <c:pt idx="17">
                  <c:v>71458776.74355121</c:v>
                </c:pt>
                <c:pt idx="18">
                  <c:v>70289032.369194046</c:v>
                </c:pt>
                <c:pt idx="19">
                  <c:v>69134768.462743029</c:v>
                </c:pt>
                <c:pt idx="20">
                  <c:v>67996071.92877014</c:v>
                </c:pt>
                <c:pt idx="21">
                  <c:v>66872480.739580929</c:v>
                </c:pt>
                <c:pt idx="22">
                  <c:v>65764274.601427794</c:v>
                </c:pt>
                <c:pt idx="23">
                  <c:v>64671132.504322253</c:v>
                </c:pt>
                <c:pt idx="24">
                  <c:v>63593358.188755184</c:v>
                </c:pt>
                <c:pt idx="25">
                  <c:v>62530799.158751495</c:v>
                </c:pt>
              </c:numCache>
            </c:numRef>
          </c:val>
        </c:ser>
        <c:ser>
          <c:idx val="28"/>
          <c:order val="5"/>
          <c:tx>
            <c:v>IRP</c:v>
          </c:tx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TabularOutputs!$H$260:$H$285</c:f>
              <c:numCache>
                <c:formatCode>_-"$"* #,##0_-;\-"$"* #,##0_-;_-"$"* "-"??_-;_-@_-</c:formatCode>
                <c:ptCount val="26"/>
                <c:pt idx="0">
                  <c:v>48964330.275995463</c:v>
                </c:pt>
                <c:pt idx="1">
                  <c:v>51356839.239626184</c:v>
                </c:pt>
                <c:pt idx="2">
                  <c:v>51306154.152910255</c:v>
                </c:pt>
                <c:pt idx="3">
                  <c:v>51111582.582078725</c:v>
                </c:pt>
                <c:pt idx="4">
                  <c:v>51550705.354324766</c:v>
                </c:pt>
                <c:pt idx="5">
                  <c:v>49573166.94640509</c:v>
                </c:pt>
                <c:pt idx="6">
                  <c:v>48695609.332964383</c:v>
                </c:pt>
                <c:pt idx="7">
                  <c:v>47869320.46973142</c:v>
                </c:pt>
                <c:pt idx="8">
                  <c:v>46884114.546195984</c:v>
                </c:pt>
                <c:pt idx="9">
                  <c:v>45896750.927475102</c:v>
                </c:pt>
                <c:pt idx="10">
                  <c:v>44912573.780350976</c:v>
                </c:pt>
                <c:pt idx="11">
                  <c:v>43935623.828188039</c:v>
                </c:pt>
                <c:pt idx="12">
                  <c:v>42968845.828482978</c:v>
                </c:pt>
                <c:pt idx="13">
                  <c:v>42014345.547310248</c:v>
                </c:pt>
                <c:pt idx="14">
                  <c:v>41073559.807692096</c:v>
                </c:pt>
                <c:pt idx="15">
                  <c:v>40147477.107091337</c:v>
                </c:pt>
                <c:pt idx="16">
                  <c:v>39236791.392332561</c:v>
                </c:pt>
                <c:pt idx="17">
                  <c:v>38342046.850271955</c:v>
                </c:pt>
                <c:pt idx="18">
                  <c:v>37463638.148703203</c:v>
                </c:pt>
                <c:pt idx="19">
                  <c:v>36601788.924984679</c:v>
                </c:pt>
                <c:pt idx="20">
                  <c:v>35756717.228579499</c:v>
                </c:pt>
                <c:pt idx="21">
                  <c:v>34928432.569781639</c:v>
                </c:pt>
                <c:pt idx="22">
                  <c:v>34116921.761418015</c:v>
                </c:pt>
                <c:pt idx="23">
                  <c:v>33344378.797493763</c:v>
                </c:pt>
                <c:pt idx="24">
                  <c:v>32589370.679061145</c:v>
                </c:pt>
                <c:pt idx="25">
                  <c:v>31851483.126268916</c:v>
                </c:pt>
              </c:numCache>
            </c:numRef>
          </c:val>
        </c:ser>
        <c:ser>
          <c:idx val="12"/>
          <c:order val="6"/>
          <c:tx>
            <c:v>Dedicated Sales Tax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TabularOutputs!$N$260:$N$285</c:f>
              <c:numCache>
                <c:formatCode>_-"$"* #,##0_-;\-"$"* #,##0_-;_-"$"* "-"??_-;_-@_-</c:formatCode>
                <c:ptCount val="26"/>
                <c:pt idx="0">
                  <c:v>31126844.808676284</c:v>
                </c:pt>
                <c:pt idx="1">
                  <c:v>32641127.148562901</c:v>
                </c:pt>
                <c:pt idx="2">
                  <c:v>33850812.650405012</c:v>
                </c:pt>
                <c:pt idx="3">
                  <c:v>34365432.976334594</c:v>
                </c:pt>
                <c:pt idx="4">
                  <c:v>34352434.178241543</c:v>
                </c:pt>
                <c:pt idx="5">
                  <c:v>34709004.588758908</c:v>
                </c:pt>
                <c:pt idx="6">
                  <c:v>35210101.189897597</c:v>
                </c:pt>
                <c:pt idx="7">
                  <c:v>35581391.78453362</c:v>
                </c:pt>
                <c:pt idx="8">
                  <c:v>35963581.580995478</c:v>
                </c:pt>
                <c:pt idx="9">
                  <c:v>36419260.802863568</c:v>
                </c:pt>
                <c:pt idx="10">
                  <c:v>36823762.690444477</c:v>
                </c:pt>
                <c:pt idx="11">
                  <c:v>37150843.888132237</c:v>
                </c:pt>
                <c:pt idx="12">
                  <c:v>37514094.300172925</c:v>
                </c:pt>
                <c:pt idx="13">
                  <c:v>37957959.888468824</c:v>
                </c:pt>
                <c:pt idx="14">
                  <c:v>38423603.460281096</c:v>
                </c:pt>
                <c:pt idx="15">
                  <c:v>38895597.976946004</c:v>
                </c:pt>
                <c:pt idx="16">
                  <c:v>39398972.485234104</c:v>
                </c:pt>
                <c:pt idx="17">
                  <c:v>39936382.665828049</c:v>
                </c:pt>
                <c:pt idx="18">
                  <c:v>40444892.561698519</c:v>
                </c:pt>
                <c:pt idx="19">
                  <c:v>40967223.937948152</c:v>
                </c:pt>
                <c:pt idx="20">
                  <c:v>41524666.050641969</c:v>
                </c:pt>
                <c:pt idx="21">
                  <c:v>42062698.342134409</c:v>
                </c:pt>
                <c:pt idx="22">
                  <c:v>42632651.185661264</c:v>
                </c:pt>
                <c:pt idx="23">
                  <c:v>42873449.295424789</c:v>
                </c:pt>
                <c:pt idx="24">
                  <c:v>43115607.483157977</c:v>
                </c:pt>
                <c:pt idx="25">
                  <c:v>43359133.430864997</c:v>
                </c:pt>
              </c:numCache>
            </c:numRef>
          </c:val>
        </c:ser>
        <c:ser>
          <c:idx val="18"/>
          <c:order val="7"/>
          <c:tx>
            <c:v>OS/OW</c:v>
          </c:tx>
          <c:spPr>
            <a:solidFill>
              <a:schemeClr val="accent5">
                <a:lumMod val="40000"/>
                <a:lumOff val="60000"/>
              </a:schemeClr>
            </a:solidFill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TabularOutputs!$T$260:$T$285</c:f>
              <c:numCache>
                <c:formatCode>_-"$"* #,##0_-;\-"$"* #,##0_-;_-"$"* "-"??_-;_-@_-</c:formatCode>
                <c:ptCount val="26"/>
                <c:pt idx="0">
                  <c:v>13792753.803852499</c:v>
                </c:pt>
                <c:pt idx="1">
                  <c:v>14702584.451802773</c:v>
                </c:pt>
                <c:pt idx="2">
                  <c:v>17137076.564450279</c:v>
                </c:pt>
                <c:pt idx="3">
                  <c:v>16756776.055170078</c:v>
                </c:pt>
                <c:pt idx="4">
                  <c:v>18594417.253932945</c:v>
                </c:pt>
                <c:pt idx="5">
                  <c:v>18999667.9639608</c:v>
                </c:pt>
                <c:pt idx="6">
                  <c:v>19164292.938195944</c:v>
                </c:pt>
                <c:pt idx="7">
                  <c:v>19410173.64861162</c:v>
                </c:pt>
                <c:pt idx="8">
                  <c:v>19604103.908549532</c:v>
                </c:pt>
                <c:pt idx="9">
                  <c:v>19657795.414871223</c:v>
                </c:pt>
                <c:pt idx="10">
                  <c:v>19649272.162901744</c:v>
                </c:pt>
                <c:pt idx="11">
                  <c:v>19585506.974662323</c:v>
                </c:pt>
                <c:pt idx="12">
                  <c:v>19478202.830256339</c:v>
                </c:pt>
                <c:pt idx="13">
                  <c:v>19335660.09454586</c:v>
                </c:pt>
                <c:pt idx="14">
                  <c:v>19164438.033015609</c:v>
                </c:pt>
                <c:pt idx="15">
                  <c:v>18969748.516481265</c:v>
                </c:pt>
                <c:pt idx="16">
                  <c:v>18755809.865296174</c:v>
                </c:pt>
                <c:pt idx="17">
                  <c:v>18526110.345549215</c:v>
                </c:pt>
                <c:pt idx="18">
                  <c:v>18283551.376978189</c:v>
                </c:pt>
                <c:pt idx="19">
                  <c:v>18030541.945135836</c:v>
                </c:pt>
                <c:pt idx="20">
                  <c:v>17769158.767066512</c:v>
                </c:pt>
                <c:pt idx="21">
                  <c:v>17501107.053656258</c:v>
                </c:pt>
                <c:pt idx="22">
                  <c:v>17227858.628977824</c:v>
                </c:pt>
                <c:pt idx="23">
                  <c:v>17155268.50193426</c:v>
                </c:pt>
                <c:pt idx="24">
                  <c:v>17083005.93528875</c:v>
                </c:pt>
                <c:pt idx="25">
                  <c:v>17011061.169892378</c:v>
                </c:pt>
              </c:numCache>
            </c:numRef>
          </c:val>
        </c:ser>
        <c:ser>
          <c:idx val="4"/>
          <c:order val="8"/>
          <c:tx>
            <c:v>Fuel Sales Tax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TabularOutputs!$E$260:$E$285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7"/>
          <c:order val="9"/>
          <c:tx>
            <c:v>Vehicle Excise Tax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TabularOutputs!$I$260:$I$285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2"/>
          <c:order val="10"/>
          <c:tx>
            <c:v>Rental Car Tax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TabularOutputs!$X$260:$X$285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9"/>
          <c:order val="11"/>
          <c:tx>
            <c:v>Vehicle Sales Tax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TabularOutputs!$K$260:$K$285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0"/>
          <c:order val="12"/>
          <c:tx>
            <c:v>Tire Tax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TabularOutputs!$L$260:$L$285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8"/>
          <c:order val="13"/>
          <c:tx>
            <c:v>EV Fee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TabularOutputs!$J$260:$J$285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1"/>
          <c:order val="14"/>
          <c:tx>
            <c:v>Veh Law Enf Fee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TabularOutputs!$M$260:$M$285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3"/>
          <c:order val="15"/>
          <c:tx>
            <c:v>Sales Tax Increase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TabularOutputs!$O$260:$O$285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4"/>
          <c:order val="16"/>
          <c:tx>
            <c:v>LDV RUC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TabularOutputs!$P$260:$P$285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5"/>
          <c:order val="17"/>
          <c:tx>
            <c:v>HDV WMT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TabularOutputs!$Q$260:$Q$285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6"/>
          <c:order val="18"/>
          <c:tx>
            <c:v>HDV Distance Size Fee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TabularOutputs!$R$260:$R$285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7"/>
          <c:order val="19"/>
          <c:tx>
            <c:v>HDV Distance Damage Fee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TabularOutputs!$S$260:$S$285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19"/>
          <c:order val="20"/>
          <c:tx>
            <c:v>Toll New Roads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TabularOutputs!$U$260:$U$285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0"/>
          <c:order val="21"/>
          <c:tx>
            <c:v>Toll Existing Roads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TabularOutputs!$V$260:$V$285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1"/>
          <c:order val="22"/>
          <c:tx>
            <c:v>HOT Lanes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TabularOutputs!$W$260:$W$285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3"/>
          <c:order val="23"/>
          <c:tx>
            <c:v>General Fund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TabularOutputs!$Y$260:$Y$285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4"/>
          <c:order val="24"/>
          <c:tx>
            <c:v>TIF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TabularOutputs!$Z$260:$Z$285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5"/>
          <c:order val="25"/>
          <c:tx>
            <c:v>Developer Fees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TabularOutputs!$AA$260:$AA$285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6"/>
          <c:order val="26"/>
          <c:tx>
            <c:v>Assessment Districts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TabularOutputs!$AB$260:$AB$285</c:f>
              <c:numCache>
                <c:formatCode>_-"$"* #,##0_-;\-"$"* #,##0_-;_-"$"* "-"??_-;_-@_-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ser>
          <c:idx val="27"/>
          <c:order val="27"/>
          <c:tx>
            <c:v>Miscellaneous</c:v>
          </c:tx>
          <c:spPr>
            <a:ln w="25400">
              <a:noFill/>
            </a:ln>
          </c:spPr>
          <c:cat>
            <c:numRef>
              <c:f>TabularOutputs!$A$260:$A$285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TabularOutputs!$AC$260:$AC$285</c:f>
              <c:numCache>
                <c:formatCode>_-"$"* #,##0_-;\-"$"* #,##0_-;_-"$"* "-"??_-;_-@_-</c:formatCode>
                <c:ptCount val="26"/>
                <c:pt idx="0">
                  <c:v>43446075.374999993</c:v>
                </c:pt>
                <c:pt idx="1">
                  <c:v>42386414.999999985</c:v>
                </c:pt>
                <c:pt idx="2">
                  <c:v>41352599.999999993</c:v>
                </c:pt>
                <c:pt idx="3">
                  <c:v>40344000</c:v>
                </c:pt>
                <c:pt idx="4">
                  <c:v>39360000</c:v>
                </c:pt>
                <c:pt idx="5">
                  <c:v>38784000</c:v>
                </c:pt>
                <c:pt idx="6">
                  <c:v>38216429.268292688</c:v>
                </c:pt>
                <c:pt idx="7">
                  <c:v>37657164.449732304</c:v>
                </c:pt>
                <c:pt idx="8">
                  <c:v>37106083.994370371</c:v>
                </c:pt>
                <c:pt idx="9">
                  <c:v>36563068.131038129</c:v>
                </c:pt>
                <c:pt idx="10">
                  <c:v>36027998.84131562</c:v>
                </c:pt>
                <c:pt idx="11">
                  <c:v>35500759.833881743</c:v>
                </c:pt>
                <c:pt idx="12">
                  <c:v>34981236.519239567</c:v>
                </c:pt>
                <c:pt idx="13">
                  <c:v>34469315.984811679</c:v>
                </c:pt>
                <c:pt idx="14">
                  <c:v>33964886.970399804</c:v>
                </c:pt>
                <c:pt idx="15">
                  <c:v>33467839.844003711</c:v>
                </c:pt>
                <c:pt idx="16">
                  <c:v>32978066.5779939</c:v>
                </c:pt>
                <c:pt idx="17">
                  <c:v>32495460.725633014</c:v>
                </c:pt>
                <c:pt idx="18">
                  <c:v>32019917.397940826</c:v>
                </c:pt>
                <c:pt idx="19">
                  <c:v>31551333.240897793</c:v>
                </c:pt>
                <c:pt idx="20">
                  <c:v>31089606.412982211</c:v>
                </c:pt>
                <c:pt idx="21">
                  <c:v>30634636.563036129</c:v>
                </c:pt>
                <c:pt idx="22">
                  <c:v>30186324.808455117</c:v>
                </c:pt>
                <c:pt idx="23">
                  <c:v>29744573.713697236</c:v>
                </c:pt>
                <c:pt idx="24">
                  <c:v>29309287.269106545</c:v>
                </c:pt>
                <c:pt idx="25">
                  <c:v>28880370.870046452</c:v>
                </c:pt>
              </c:numCache>
            </c:numRef>
          </c:val>
        </c:ser>
        <c:dLbls/>
        <c:overlap val="100"/>
        <c:axId val="246157696"/>
        <c:axId val="246159232"/>
      </c:barChart>
      <c:lineChart>
        <c:grouping val="standard"/>
        <c:ser>
          <c:idx val="29"/>
          <c:order val="28"/>
          <c:tx>
            <c:v>Status Quo Revenue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TabularOutputs!$AG$260:$AG$285</c:f>
              <c:numCache>
                <c:formatCode>_-"$"* #,##0_-;\-"$"* #,##0_-;_-"$"* "-"??_-;_-@_-</c:formatCode>
                <c:ptCount val="26"/>
                <c:pt idx="0">
                  <c:v>792955674.44068778</c:v>
                </c:pt>
                <c:pt idx="1">
                  <c:v>759825704.77037764</c:v>
                </c:pt>
                <c:pt idx="2">
                  <c:v>743823957.77056468</c:v>
                </c:pt>
                <c:pt idx="3">
                  <c:v>730785860.77409852</c:v>
                </c:pt>
                <c:pt idx="4">
                  <c:v>716322812.2519083</c:v>
                </c:pt>
                <c:pt idx="5">
                  <c:v>691380044.08221364</c:v>
                </c:pt>
                <c:pt idx="6">
                  <c:v>677190736.27779222</c:v>
                </c:pt>
                <c:pt idx="7">
                  <c:v>661698895.57368517</c:v>
                </c:pt>
                <c:pt idx="8">
                  <c:v>646426167.38669121</c:v>
                </c:pt>
                <c:pt idx="9">
                  <c:v>631715259.03926468</c:v>
                </c:pt>
                <c:pt idx="10">
                  <c:v>617228615.28099585</c:v>
                </c:pt>
                <c:pt idx="11">
                  <c:v>602721956.09623563</c:v>
                </c:pt>
                <c:pt idx="12">
                  <c:v>588404471.98085296</c:v>
                </c:pt>
                <c:pt idx="13">
                  <c:v>574391606.82775128</c:v>
                </c:pt>
                <c:pt idx="14">
                  <c:v>560611229.76799297</c:v>
                </c:pt>
                <c:pt idx="15">
                  <c:v>547084725.09259486</c:v>
                </c:pt>
                <c:pt idx="16">
                  <c:v>534061947.46692705</c:v>
                </c:pt>
                <c:pt idx="17">
                  <c:v>521601710.14931238</c:v>
                </c:pt>
                <c:pt idx="18">
                  <c:v>509626952.104442</c:v>
                </c:pt>
                <c:pt idx="19">
                  <c:v>498154399.98053485</c:v>
                </c:pt>
                <c:pt idx="20">
                  <c:v>487210146.37094623</c:v>
                </c:pt>
                <c:pt idx="21">
                  <c:v>476704867.79343814</c:v>
                </c:pt>
                <c:pt idx="22">
                  <c:v>466670328.03696609</c:v>
                </c:pt>
                <c:pt idx="23">
                  <c:v>456913230.86178029</c:v>
                </c:pt>
                <c:pt idx="24">
                  <c:v>447542210.71714312</c:v>
                </c:pt>
                <c:pt idx="25">
                  <c:v>438536618.76632446</c:v>
                </c:pt>
              </c:numCache>
            </c:numRef>
          </c:val>
        </c:ser>
        <c:dLbls/>
        <c:marker val="1"/>
        <c:axId val="246157696"/>
        <c:axId val="246159232"/>
      </c:lineChart>
      <c:catAx>
        <c:axId val="24615769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159232"/>
        <c:crosses val="autoZero"/>
        <c:auto val="1"/>
        <c:lblAlgn val="ctr"/>
        <c:lblOffset val="100"/>
        <c:tickLblSkip val="5"/>
      </c:catAx>
      <c:valAx>
        <c:axId val="246159232"/>
        <c:scaling>
          <c:orientation val="minMax"/>
          <c:max val="2000000000"/>
          <c:min val="0"/>
        </c:scaling>
        <c:axPos val="l"/>
        <c:majorGridlines/>
        <c:numFmt formatCode="&quot;$&quot;#,##0" sourceLinked="0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157696"/>
        <c:crosses val="autoZero"/>
        <c:crossBetween val="between"/>
        <c:dispUnits>
          <c:builtInUnit val="millions"/>
          <c:dispUnitsLbl>
            <c:txPr>
              <a:bodyPr/>
              <a:lstStyle/>
              <a:p>
                <a:pPr>
                  <a:defRPr sz="1600" b="0"/>
                </a:pPr>
                <a:endParaRPr lang="en-US"/>
              </a:p>
            </c:txPr>
          </c:dispUnitsLbl>
        </c:dispUnits>
      </c:valAx>
    </c:plotArea>
    <c:legend>
      <c:legendPos val="r"/>
      <c:layout>
        <c:manualLayout>
          <c:xMode val="edge"/>
          <c:yMode val="edge"/>
          <c:x val="0.77867354610898942"/>
          <c:y val="1.1500022867001403E-2"/>
          <c:w val="0.21284188143686011"/>
          <c:h val="0.98161276170288758"/>
        </c:manualLayout>
      </c:layout>
      <c:txPr>
        <a:bodyPr/>
        <a:lstStyle/>
        <a:p>
          <a:pPr>
            <a:defRPr sz="1300"/>
          </a:pPr>
          <a:endParaRPr lang="en-US"/>
        </a:p>
      </c:txPr>
    </c:legend>
    <c:plotVisOnly val="1"/>
    <c:dispBlanksAs val="zero"/>
  </c:chart>
  <c:printSettings>
    <c:headerFooter/>
    <c:pageMargins b="1" l="0.75000000000000022" r="0.75000000000000022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autoTitleDeleted val="1"/>
    <c:plotArea>
      <c:layout>
        <c:manualLayout>
          <c:layoutTarget val="inner"/>
          <c:xMode val="edge"/>
          <c:yMode val="edge"/>
          <c:x val="0.15443520336467806"/>
          <c:y val="3.0455933252990699E-2"/>
          <c:w val="0.79793937916557323"/>
          <c:h val="0.89253290590748857"/>
        </c:manualLayout>
      </c:layout>
      <c:areaChart>
        <c:grouping val="percentStacked"/>
        <c:ser>
          <c:idx val="1"/>
          <c:order val="0"/>
          <c:tx>
            <c:v>Cost of Collection</c:v>
          </c:tx>
          <c:spPr>
            <a:ln w="25400">
              <a:noFill/>
            </a:ln>
          </c:spPr>
          <c:cat>
            <c:numRef>
              <c:f>TabularOutputs!$A$66:$A$91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TabularOutputs!$AD$98:$AD$123</c:f>
              <c:numCache>
                <c:formatCode>_-"$"* #,##0_-;\-"$"* #,##0_-;_-"$"* "-"??_-;_-@_-</c:formatCode>
                <c:ptCount val="26"/>
                <c:pt idx="0">
                  <c:v>37862977.302309453</c:v>
                </c:pt>
                <c:pt idx="1">
                  <c:v>37354386.782984719</c:v>
                </c:pt>
                <c:pt idx="2">
                  <c:v>33625619.597703286</c:v>
                </c:pt>
                <c:pt idx="3">
                  <c:v>33671337.896674275</c:v>
                </c:pt>
                <c:pt idx="4">
                  <c:v>36756848.485070691</c:v>
                </c:pt>
                <c:pt idx="5">
                  <c:v>37197136.157799996</c:v>
                </c:pt>
                <c:pt idx="6">
                  <c:v>37895358.737785928</c:v>
                </c:pt>
                <c:pt idx="7">
                  <c:v>43059967.144869782</c:v>
                </c:pt>
                <c:pt idx="8">
                  <c:v>43700275.431899458</c:v>
                </c:pt>
                <c:pt idx="9">
                  <c:v>44364913.299570866</c:v>
                </c:pt>
                <c:pt idx="10">
                  <c:v>45045375.661754474</c:v>
                </c:pt>
                <c:pt idx="11">
                  <c:v>45729732.71656879</c:v>
                </c:pt>
                <c:pt idx="12">
                  <c:v>46424177.724956855</c:v>
                </c:pt>
                <c:pt idx="13">
                  <c:v>47132873.509982191</c:v>
                </c:pt>
                <c:pt idx="14">
                  <c:v>47855205.415328369</c:v>
                </c:pt>
                <c:pt idx="15">
                  <c:v>48594584.53356801</c:v>
                </c:pt>
                <c:pt idx="16">
                  <c:v>49365558.198157348</c:v>
                </c:pt>
                <c:pt idx="17">
                  <c:v>50174181.366574176</c:v>
                </c:pt>
                <c:pt idx="18">
                  <c:v>51020377.969153501</c:v>
                </c:pt>
                <c:pt idx="19">
                  <c:v>51905746.882959299</c:v>
                </c:pt>
                <c:pt idx="20">
                  <c:v>52832175.18068175</c:v>
                </c:pt>
                <c:pt idx="21">
                  <c:v>53798601.713898629</c:v>
                </c:pt>
                <c:pt idx="22">
                  <c:v>54807485.454890706</c:v>
                </c:pt>
                <c:pt idx="23">
                  <c:v>55849495.610375695</c:v>
                </c:pt>
                <c:pt idx="24">
                  <c:v>56932834.022981219</c:v>
                </c:pt>
                <c:pt idx="25">
                  <c:v>58058393.321898296</c:v>
                </c:pt>
              </c:numCache>
            </c:numRef>
          </c:val>
        </c:ser>
        <c:ser>
          <c:idx val="2"/>
          <c:order val="1"/>
          <c:tx>
            <c:v>Leakage</c:v>
          </c:tx>
          <c:spPr>
            <a:ln w="25400">
              <a:noFill/>
            </a:ln>
          </c:spPr>
          <c:val>
            <c:numRef>
              <c:f>TabularOutputs!$AG$66:$AG$91</c:f>
              <c:numCache>
                <c:formatCode>_-"$"* #,##0_-;\-"$"* #,##0_-;_-"$"* "-"??_-;_-@_-</c:formatCode>
                <c:ptCount val="26"/>
                <c:pt idx="0">
                  <c:v>63411844.090324402</c:v>
                </c:pt>
                <c:pt idx="1">
                  <c:v>65443204.677645206</c:v>
                </c:pt>
                <c:pt idx="2">
                  <c:v>71308793.485198736</c:v>
                </c:pt>
                <c:pt idx="3">
                  <c:v>71701459.286775351</c:v>
                </c:pt>
                <c:pt idx="4">
                  <c:v>77088808.398973465</c:v>
                </c:pt>
                <c:pt idx="5">
                  <c:v>78942626.568559647</c:v>
                </c:pt>
                <c:pt idx="6">
                  <c:v>80622980.688181877</c:v>
                </c:pt>
                <c:pt idx="7">
                  <c:v>88189315.542523861</c:v>
                </c:pt>
                <c:pt idx="8">
                  <c:v>89899545.21311307</c:v>
                </c:pt>
                <c:pt idx="9">
                  <c:v>91328336.944190502</c:v>
                </c:pt>
                <c:pt idx="10">
                  <c:v>92632255.860833645</c:v>
                </c:pt>
                <c:pt idx="11">
                  <c:v>93803611.951860905</c:v>
                </c:pt>
                <c:pt idx="12">
                  <c:v>94872729.994343758</c:v>
                </c:pt>
                <c:pt idx="13">
                  <c:v>95860282.282632828</c:v>
                </c:pt>
                <c:pt idx="14">
                  <c:v>96774884.957995892</c:v>
                </c:pt>
                <c:pt idx="15">
                  <c:v>97626743.730648518</c:v>
                </c:pt>
                <c:pt idx="16">
                  <c:v>98439514.477223635</c:v>
                </c:pt>
                <c:pt idx="17">
                  <c:v>99224968.905779839</c:v>
                </c:pt>
                <c:pt idx="18">
                  <c:v>99987416.709272146</c:v>
                </c:pt>
                <c:pt idx="19">
                  <c:v>100731638.65692854</c:v>
                </c:pt>
                <c:pt idx="20">
                  <c:v>101465129.8618331</c:v>
                </c:pt>
                <c:pt idx="21">
                  <c:v>102187788.33297396</c:v>
                </c:pt>
                <c:pt idx="22">
                  <c:v>102903872.04800296</c:v>
                </c:pt>
                <c:pt idx="23">
                  <c:v>104356918.88120794</c:v>
                </c:pt>
                <c:pt idx="24">
                  <c:v>105854945.08310914</c:v>
                </c:pt>
                <c:pt idx="25">
                  <c:v>107397960.17012119</c:v>
                </c:pt>
              </c:numCache>
            </c:numRef>
          </c:val>
        </c:ser>
        <c:ser>
          <c:idx val="0"/>
          <c:order val="2"/>
          <c:tx>
            <c:v>Net Revenue</c:v>
          </c:tx>
          <c:cat>
            <c:numRef>
              <c:f>TabularOutputs!$A$66:$A$91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TabularOutputs!$AD$35:$AD$60</c:f>
              <c:numCache>
                <c:formatCode>_-"$"* #,##0_-;\-"$"* #,##0_-;_-"$"* "-"??_-;_-@_-</c:formatCode>
                <c:ptCount val="26"/>
                <c:pt idx="0">
                  <c:v>1254378007.5375218</c:v>
                </c:pt>
                <c:pt idx="1">
                  <c:v>1233619085.4331138</c:v>
                </c:pt>
                <c:pt idx="2">
                  <c:v>1238082815.552995</c:v>
                </c:pt>
                <c:pt idx="3">
                  <c:v>1246642876.2774582</c:v>
                </c:pt>
                <c:pt idx="4">
                  <c:v>1259075659.5710304</c:v>
                </c:pt>
                <c:pt idx="5">
                  <c:v>1246802988.9763548</c:v>
                </c:pt>
                <c:pt idx="6">
                  <c:v>1252858731.280524</c:v>
                </c:pt>
                <c:pt idx="7">
                  <c:v>1542449388.1198883</c:v>
                </c:pt>
                <c:pt idx="8">
                  <c:v>1541901459.1021688</c:v>
                </c:pt>
                <c:pt idx="9">
                  <c:v>1541432468.4637218</c:v>
                </c:pt>
                <c:pt idx="10">
                  <c:v>1540445043.9274466</c:v>
                </c:pt>
                <c:pt idx="11">
                  <c:v>1538165515.3719783</c:v>
                </c:pt>
                <c:pt idx="12">
                  <c:v>1535090457.5101504</c:v>
                </c:pt>
                <c:pt idx="13">
                  <c:v>1531537609.7935772</c:v>
                </c:pt>
                <c:pt idx="14">
                  <c:v>1527359634.6310143</c:v>
                </c:pt>
                <c:pt idx="15">
                  <c:v>1522698800.0782568</c:v>
                </c:pt>
                <c:pt idx="16">
                  <c:v>1518506237.9314721</c:v>
                </c:pt>
                <c:pt idx="17">
                  <c:v>1515086686.7428844</c:v>
                </c:pt>
                <c:pt idx="18">
                  <c:v>1512311981.4557517</c:v>
                </c:pt>
                <c:pt idx="19">
                  <c:v>1510292721.926019</c:v>
                </c:pt>
                <c:pt idx="20">
                  <c:v>1509160332.4596279</c:v>
                </c:pt>
                <c:pt idx="21">
                  <c:v>1508740450.1446683</c:v>
                </c:pt>
                <c:pt idx="22">
                  <c:v>1509184983.6867816</c:v>
                </c:pt>
                <c:pt idx="23">
                  <c:v>1510404988.3223648</c:v>
                </c:pt>
                <c:pt idx="24">
                  <c:v>1512325229.5377846</c:v>
                </c:pt>
                <c:pt idx="25">
                  <c:v>1514938292.0916381</c:v>
                </c:pt>
              </c:numCache>
            </c:numRef>
          </c:val>
        </c:ser>
        <c:dLbls/>
        <c:axId val="246195328"/>
        <c:axId val="246196864"/>
      </c:areaChart>
      <c:catAx>
        <c:axId val="24619532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196864"/>
        <c:crosses val="autoZero"/>
        <c:auto val="1"/>
        <c:lblAlgn val="ctr"/>
        <c:lblOffset val="100"/>
        <c:tickLblSkip val="5"/>
      </c:catAx>
      <c:valAx>
        <c:axId val="246196864"/>
        <c:scaling>
          <c:orientation val="minMax"/>
        </c:scaling>
        <c:axPos val="l"/>
        <c:majorGridlines/>
        <c:numFmt formatCode="0%" sourceLinked="1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195328"/>
        <c:crosses val="autoZero"/>
        <c:crossBetween val="midCat"/>
        <c:dispUnits>
          <c:builtInUnit val="millions"/>
          <c:dispUnitsLbl>
            <c:txPr>
              <a:bodyPr/>
              <a:lstStyle/>
              <a:p>
                <a:pPr>
                  <a:defRPr sz="1600" b="0"/>
                </a:pPr>
                <a:endParaRPr lang="en-US"/>
              </a:p>
            </c:txPr>
          </c:dispUnitsLbl>
        </c:dispUnits>
      </c:valAx>
    </c:plotArea>
    <c:legend>
      <c:legendPos val="r"/>
      <c:layout>
        <c:manualLayout>
          <c:xMode val="edge"/>
          <c:yMode val="edge"/>
          <c:x val="0.64993512788867924"/>
          <c:y val="0.12421791860767498"/>
          <c:w val="0.28750894055258802"/>
          <c:h val="0.29561091492849711"/>
        </c:manualLayout>
      </c:layout>
      <c:txPr>
        <a:bodyPr/>
        <a:lstStyle/>
        <a:p>
          <a:pPr>
            <a:defRPr sz="1600">
              <a:solidFill>
                <a:schemeClr val="bg1"/>
              </a:solidFill>
            </a:defRPr>
          </a:pPr>
          <a:endParaRPr lang="en-US"/>
        </a:p>
      </c:txPr>
    </c:legend>
    <c:plotVisOnly val="1"/>
    <c:dispBlanksAs val="zero"/>
  </c:chart>
  <c:printSettings>
    <c:headerFooter/>
    <c:pageMargins b="1" l="0.75000000000000022" r="0.75000000000000022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Revenue split in 2035</a:t>
            </a:r>
          </a:p>
        </c:rich>
      </c:tx>
    </c:title>
    <c:view3D>
      <c:rotX val="30"/>
      <c:perspective val="30"/>
    </c:view3D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en-US"/>
              </a:p>
            </c:txPr>
            <c:showCatNam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TabularOutputs!$B$224:$AC$224</c:f>
              <c:strCache>
                <c:ptCount val="28"/>
                <c:pt idx="0">
                  <c:v>Gas Tax</c:v>
                </c:pt>
                <c:pt idx="1">
                  <c:v>Diesel Tax</c:v>
                </c:pt>
                <c:pt idx="2">
                  <c:v>Surtax</c:v>
                </c:pt>
                <c:pt idx="4">
                  <c:v>Driver License</c:v>
                </c:pt>
                <c:pt idx="5">
                  <c:v>Veh Reg Fee</c:v>
                </c:pt>
                <c:pt idx="6">
                  <c:v>IRP</c:v>
                </c:pt>
                <c:pt idx="12">
                  <c:v>Dedicated Sales Tax</c:v>
                </c:pt>
                <c:pt idx="18">
                  <c:v>OS/OW</c:v>
                </c:pt>
                <c:pt idx="27">
                  <c:v>Miscellaneous</c:v>
                </c:pt>
              </c:strCache>
            </c:strRef>
          </c:cat>
          <c:val>
            <c:numRef>
              <c:f>TabularOutputs!$B$156:$AC$156</c:f>
              <c:numCache>
                <c:formatCode>_-"$"* #,##0_-;\-"$"* #,##0_-;_-"$"* "-"??_-;_-@_-</c:formatCode>
                <c:ptCount val="28"/>
                <c:pt idx="0">
                  <c:v>301497586.81066477</c:v>
                </c:pt>
                <c:pt idx="1">
                  <c:v>116584771.39709313</c:v>
                </c:pt>
                <c:pt idx="2">
                  <c:v>97774013.047901914</c:v>
                </c:pt>
                <c:pt idx="3">
                  <c:v>0</c:v>
                </c:pt>
                <c:pt idx="4">
                  <c:v>5285434.5968475332</c:v>
                </c:pt>
                <c:pt idx="5">
                  <c:v>102463995.52602704</c:v>
                </c:pt>
                <c:pt idx="6">
                  <c:v>52192363.898336373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71048988.876560286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27874604.499771222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47323850.509341948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  <c:dispBlanksAs val="zero"/>
  </c:chart>
  <c:printSettings>
    <c:headerFooter/>
    <c:pageMargins b="1" l="0.75000000000000022" r="0.75000000000000022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Nominal</a:t>
            </a:r>
            <a:r>
              <a:rPr lang="en-US" baseline="0"/>
              <a:t> t</a:t>
            </a:r>
            <a:r>
              <a:rPr lang="en-US"/>
              <a:t>axes/fees paid per licensed driver</a:t>
            </a:r>
          </a:p>
        </c:rich>
      </c:tx>
    </c:title>
    <c:plotArea>
      <c:layout/>
      <c:lineChart>
        <c:grouping val="standard"/>
        <c:ser>
          <c:idx val="0"/>
          <c:order val="0"/>
          <c:marker>
            <c:symbol val="none"/>
          </c:marker>
          <c:cat>
            <c:numRef>
              <c:f>TabularOutputs!$A$291:$A$316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TabularOutputs!$B$291:$B$316</c:f>
              <c:numCache>
                <c:formatCode>_-"$"* #,##0.00_-;\-"$"* #,##0.00_-;_-"$"* "-"??_-;_-@_-</c:formatCode>
                <c:ptCount val="26"/>
                <c:pt idx="0">
                  <c:v>164.47681425494486</c:v>
                </c:pt>
                <c:pt idx="1">
                  <c:v>159.4556060889193</c:v>
                </c:pt>
                <c:pt idx="2">
                  <c:v>161.50281331800485</c:v>
                </c:pt>
                <c:pt idx="3">
                  <c:v>163.68241407680739</c:v>
                </c:pt>
                <c:pt idx="4">
                  <c:v>163.99391309695849</c:v>
                </c:pt>
                <c:pt idx="5">
                  <c:v>158.17553167472008</c:v>
                </c:pt>
                <c:pt idx="6">
                  <c:v>157.28672377526226</c:v>
                </c:pt>
                <c:pt idx="7">
                  <c:v>215.83091382431371</c:v>
                </c:pt>
                <c:pt idx="8">
                  <c:v>213.35846211243162</c:v>
                </c:pt>
                <c:pt idx="9">
                  <c:v>210.88605244550592</c:v>
                </c:pt>
                <c:pt idx="10">
                  <c:v>208.31666547025702</c:v>
                </c:pt>
                <c:pt idx="11">
                  <c:v>205.5275570827159</c:v>
                </c:pt>
                <c:pt idx="12">
                  <c:v>202.56944516709444</c:v>
                </c:pt>
                <c:pt idx="13">
                  <c:v>199.49902158172054</c:v>
                </c:pt>
                <c:pt idx="14">
                  <c:v>196.29329560832753</c:v>
                </c:pt>
                <c:pt idx="15">
                  <c:v>192.99463090827282</c:v>
                </c:pt>
                <c:pt idx="16">
                  <c:v>189.83708371342888</c:v>
                </c:pt>
                <c:pt idx="17">
                  <c:v>186.84681841714558</c:v>
                </c:pt>
                <c:pt idx="18">
                  <c:v>183.99287092006392</c:v>
                </c:pt>
                <c:pt idx="19">
                  <c:v>181.29757867309129</c:v>
                </c:pt>
                <c:pt idx="20">
                  <c:v>178.77093019779093</c:v>
                </c:pt>
                <c:pt idx="21">
                  <c:v>176.40044824241374</c:v>
                </c:pt>
                <c:pt idx="22">
                  <c:v>174.19452574599981</c:v>
                </c:pt>
                <c:pt idx="23">
                  <c:v>171.9201016003658</c:v>
                </c:pt>
                <c:pt idx="24">
                  <c:v>169.75637264636492</c:v>
                </c:pt>
                <c:pt idx="25">
                  <c:v>167.70241667125131</c:v>
                </c:pt>
              </c:numCache>
            </c:numRef>
          </c:val>
        </c:ser>
        <c:dLbls/>
        <c:marker val="1"/>
        <c:axId val="246234496"/>
        <c:axId val="246248576"/>
      </c:lineChart>
      <c:catAx>
        <c:axId val="246234496"/>
        <c:scaling>
          <c:orientation val="minMax"/>
        </c:scaling>
        <c:axPos val="b"/>
        <c:numFmt formatCode="General" sourceLinked="1"/>
        <c:tickLblPos val="nextTo"/>
        <c:crossAx val="246248576"/>
        <c:crosses val="autoZero"/>
        <c:auto val="1"/>
        <c:lblAlgn val="ctr"/>
        <c:lblOffset val="100"/>
        <c:tickLblSkip val="5"/>
      </c:catAx>
      <c:valAx>
        <c:axId val="246248576"/>
        <c:scaling>
          <c:orientation val="minMax"/>
        </c:scaling>
        <c:axPos val="l"/>
        <c:majorGridlines/>
        <c:numFmt formatCode="_-&quot;$&quot;* #,##0.00_-;\-&quot;$&quot;* #,##0.00_-;_-&quot;$&quot;* &quot;-&quot;??_-;_-@_-" sourceLinked="1"/>
        <c:tickLblPos val="nextTo"/>
        <c:crossAx val="246234496"/>
        <c:crosses val="autoZero"/>
        <c:crossBetween val="between"/>
      </c:valAx>
    </c:plotArea>
    <c:plotVisOnly val="1"/>
    <c:dispBlanksAs val="gap"/>
  </c:chart>
  <c:printSettings>
    <c:headerFooter/>
    <c:pageMargins b="1" l="0.75000000000000022" r="0.75000000000000022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Nominal taxes/fees paid per household</a:t>
            </a:r>
          </a:p>
        </c:rich>
      </c:tx>
    </c:title>
    <c:plotArea>
      <c:layout/>
      <c:lineChart>
        <c:grouping val="standard"/>
        <c:ser>
          <c:idx val="0"/>
          <c:order val="0"/>
          <c:marker>
            <c:symbol val="none"/>
          </c:marker>
          <c:cat>
            <c:numRef>
              <c:f>TabularOutputs!$A$291:$A$316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TabularOutputs!$C$291:$C$316</c:f>
              <c:numCache>
                <c:formatCode>_-"$"* #,##0.00_-;\-"$"* #,##0.00_-;_-"$"* "-"??_-;_-@_-</c:formatCode>
                <c:ptCount val="26"/>
                <c:pt idx="0">
                  <c:v>308.09986577709481</c:v>
                </c:pt>
                <c:pt idx="1">
                  <c:v>294.9682247163276</c:v>
                </c:pt>
                <c:pt idx="2">
                  <c:v>291.97749511586454</c:v>
                </c:pt>
                <c:pt idx="3">
                  <c:v>290.89883519879436</c:v>
                </c:pt>
                <c:pt idx="4">
                  <c:v>289.27001965953997</c:v>
                </c:pt>
                <c:pt idx="5">
                  <c:v>279.11654319321104</c:v>
                </c:pt>
                <c:pt idx="6">
                  <c:v>277.54815277382772</c:v>
                </c:pt>
                <c:pt idx="7">
                  <c:v>380.85523053438391</c:v>
                </c:pt>
                <c:pt idx="8">
                  <c:v>376.4923422435968</c:v>
                </c:pt>
                <c:pt idx="9">
                  <c:v>372.12952814533975</c:v>
                </c:pt>
                <c:pt idx="10">
                  <c:v>367.59558788881549</c:v>
                </c:pt>
                <c:pt idx="11">
                  <c:v>362.67392722816044</c:v>
                </c:pt>
                <c:pt idx="12">
                  <c:v>357.45404294185482</c:v>
                </c:pt>
                <c:pt idx="13">
                  <c:v>352.03597348310404</c:v>
                </c:pt>
                <c:pt idx="14">
                  <c:v>346.37914943045467</c:v>
                </c:pt>
                <c:pt idx="15">
                  <c:v>340.55832570073824</c:v>
                </c:pt>
                <c:pt idx="16">
                  <c:v>334.98651792071655</c:v>
                </c:pt>
                <c:pt idx="17">
                  <c:v>329.70989577889503</c:v>
                </c:pt>
                <c:pt idx="18">
                  <c:v>324.67382002554473</c:v>
                </c:pt>
                <c:pt idx="19">
                  <c:v>319.91770732653686</c:v>
                </c:pt>
                <c:pt idx="20">
                  <c:v>315.45918342702186</c:v>
                </c:pt>
                <c:pt idx="21">
                  <c:v>311.27623096856325</c:v>
                </c:pt>
                <c:pt idx="22">
                  <c:v>307.38366013139125</c:v>
                </c:pt>
                <c:pt idx="23">
                  <c:v>303.37021128400545</c:v>
                </c:pt>
                <c:pt idx="24">
                  <c:v>299.55209517177548</c:v>
                </c:pt>
                <c:pt idx="25">
                  <c:v>295.92768445809003</c:v>
                </c:pt>
              </c:numCache>
            </c:numRef>
          </c:val>
        </c:ser>
        <c:dLbls/>
        <c:marker val="1"/>
        <c:axId val="246281728"/>
        <c:axId val="246283264"/>
      </c:lineChart>
      <c:catAx>
        <c:axId val="24628172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46283264"/>
        <c:crosses val="autoZero"/>
        <c:auto val="1"/>
        <c:lblAlgn val="ctr"/>
        <c:lblOffset val="100"/>
        <c:tickLblSkip val="5"/>
      </c:catAx>
      <c:valAx>
        <c:axId val="246283264"/>
        <c:scaling>
          <c:orientation val="minMax"/>
        </c:scaling>
        <c:axPos val="l"/>
        <c:majorGridlines/>
        <c:numFmt formatCode="_-&quot;$&quot;* #,##0_-;\-&quot;$&quot;* #,##0_-;_-&quot;$&quot;* &quot;-&quot;_-;_-@_-" sourceLinked="0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281728"/>
        <c:crosses val="autoZero"/>
        <c:crossBetween val="between"/>
      </c:valAx>
    </c:plotArea>
    <c:plotVisOnly val="1"/>
    <c:dispBlanksAs val="gap"/>
  </c:chart>
  <c:printSettings>
    <c:headerFooter/>
    <c:pageMargins b="1" l="0.75000000000000022" r="0.75000000000000022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Nominal</a:t>
            </a:r>
            <a:r>
              <a:rPr lang="en-US" baseline="0"/>
              <a:t> t</a:t>
            </a:r>
            <a:r>
              <a:rPr lang="en-US"/>
              <a:t>axes/fees paid per registered truck</a:t>
            </a:r>
          </a:p>
        </c:rich>
      </c:tx>
    </c:title>
    <c:plotArea>
      <c:layout/>
      <c:lineChart>
        <c:grouping val="standard"/>
        <c:ser>
          <c:idx val="0"/>
          <c:order val="0"/>
          <c:marker>
            <c:symbol val="none"/>
          </c:marker>
          <c:cat>
            <c:numRef>
              <c:f>TabularOutputs!$A$291:$A$316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TabularOutputs!$D$291:$D$316</c:f>
              <c:numCache>
                <c:formatCode>_-"$"* #,##0_-;\-"$"* #,##0_-;_-"$"* "-"??_-;_-@_-</c:formatCode>
                <c:ptCount val="26"/>
                <c:pt idx="0">
                  <c:v>1722.407330834413</c:v>
                </c:pt>
                <c:pt idx="1">
                  <c:v>1733.7229493008747</c:v>
                </c:pt>
                <c:pt idx="2">
                  <c:v>1732.7289401982512</c:v>
                </c:pt>
                <c:pt idx="3">
                  <c:v>1744.7409358644568</c:v>
                </c:pt>
                <c:pt idx="4">
                  <c:v>1760.9665004508809</c:v>
                </c:pt>
                <c:pt idx="5">
                  <c:v>1752.0424269252223</c:v>
                </c:pt>
                <c:pt idx="6">
                  <c:v>1750.5839182484531</c:v>
                </c:pt>
                <c:pt idx="7">
                  <c:v>1745.9363256663783</c:v>
                </c:pt>
                <c:pt idx="8">
                  <c:v>1740.9026905622479</c:v>
                </c:pt>
                <c:pt idx="9">
                  <c:v>1737.5309434747692</c:v>
                </c:pt>
                <c:pt idx="10">
                  <c:v>1734.6604879624615</c:v>
                </c:pt>
                <c:pt idx="11">
                  <c:v>1732.3143931996224</c:v>
                </c:pt>
                <c:pt idx="12">
                  <c:v>1730.7011199025578</c:v>
                </c:pt>
                <c:pt idx="13">
                  <c:v>1729.9339508071116</c:v>
                </c:pt>
                <c:pt idx="14">
                  <c:v>1729.8637385070783</c:v>
                </c:pt>
                <c:pt idx="15">
                  <c:v>1730.2365850141446</c:v>
                </c:pt>
                <c:pt idx="16">
                  <c:v>1730.8120015572993</c:v>
                </c:pt>
                <c:pt idx="17">
                  <c:v>1731.5472826817665</c:v>
                </c:pt>
                <c:pt idx="18">
                  <c:v>1732.4660110808622</c:v>
                </c:pt>
                <c:pt idx="19">
                  <c:v>1733.4990329856651</c:v>
                </c:pt>
                <c:pt idx="20">
                  <c:v>1734.8479936371909</c:v>
                </c:pt>
                <c:pt idx="21">
                  <c:v>1736.3842016186004</c:v>
                </c:pt>
                <c:pt idx="22">
                  <c:v>1738.0969718218385</c:v>
                </c:pt>
                <c:pt idx="23">
                  <c:v>1741.153176632414</c:v>
                </c:pt>
                <c:pt idx="24">
                  <c:v>1744.5041935442566</c:v>
                </c:pt>
                <c:pt idx="25">
                  <c:v>1748.0978132271741</c:v>
                </c:pt>
              </c:numCache>
            </c:numRef>
          </c:val>
        </c:ser>
        <c:dLbls/>
        <c:marker val="1"/>
        <c:axId val="246315648"/>
        <c:axId val="246321536"/>
      </c:lineChart>
      <c:catAx>
        <c:axId val="24631564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321536"/>
        <c:crosses val="autoZero"/>
        <c:auto val="1"/>
        <c:lblAlgn val="ctr"/>
        <c:lblOffset val="100"/>
        <c:tickLblSkip val="5"/>
      </c:catAx>
      <c:valAx>
        <c:axId val="246321536"/>
        <c:scaling>
          <c:orientation val="minMax"/>
          <c:min val="0"/>
        </c:scaling>
        <c:axPos val="l"/>
        <c:majorGridlines/>
        <c:numFmt formatCode="_-&quot;$&quot;* #,##0_-;\-&quot;$&quot;* #,##0_-;_-&quot;$&quot;* &quot;-&quot;??_-;_-@_-" sourceLinked="1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315648"/>
        <c:crosses val="autoZero"/>
        <c:crossBetween val="between"/>
      </c:valAx>
    </c:plotArea>
    <c:plotVisOnly val="1"/>
    <c:dispBlanksAs val="gap"/>
  </c:chart>
  <c:printSettings>
    <c:headerFooter/>
    <c:pageMargins b="1" l="0.75000000000000022" r="0.75000000000000022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Net INDOT revenue from state sources</a:t>
            </a:r>
          </a:p>
        </c:rich>
      </c:tx>
      <c:layout>
        <c:manualLayout>
          <c:xMode val="edge"/>
          <c:yMode val="edge"/>
          <c:x val="0.34618898973171613"/>
          <c:y val="2.0496063893113307E-2"/>
        </c:manualLayout>
      </c:layout>
    </c:title>
    <c:plotArea>
      <c:layout>
        <c:manualLayout>
          <c:layoutTarget val="inner"/>
          <c:xMode val="edge"/>
          <c:yMode val="edge"/>
          <c:x val="0.10136681781672501"/>
          <c:y val="2.2155551757136197E-2"/>
          <c:w val="0.87697525429129741"/>
          <c:h val="0.89486907836035801"/>
        </c:manualLayout>
      </c:layout>
      <c:barChart>
        <c:barDir val="col"/>
        <c:grouping val="stacked"/>
        <c:ser>
          <c:idx val="0"/>
          <c:order val="1"/>
          <c:tx>
            <c:v>Fuel Taxes</c:v>
          </c:tx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TabularOutputs!$AO$131:$AO$156</c:f>
              <c:numCache>
                <c:formatCode>_-"$"* #,##0_-;\-"$"* #,##0_-;_-"$"* "-"??_-;_-@_-</c:formatCode>
                <c:ptCount val="26"/>
                <c:pt idx="0">
                  <c:v>487022873.39285427</c:v>
                </c:pt>
                <c:pt idx="1">
                  <c:v>467266469.25847173</c:v>
                </c:pt>
                <c:pt idx="2">
                  <c:v>463356458.58756328</c:v>
                </c:pt>
                <c:pt idx="3">
                  <c:v>464926116.58465433</c:v>
                </c:pt>
                <c:pt idx="4">
                  <c:v>462673256.48509252</c:v>
                </c:pt>
                <c:pt idx="5">
                  <c:v>452560137.23310649</c:v>
                </c:pt>
                <c:pt idx="6">
                  <c:v>451677535.92345583</c:v>
                </c:pt>
                <c:pt idx="7">
                  <c:v>606456740.79885137</c:v>
                </c:pt>
                <c:pt idx="8">
                  <c:v>601940785.85695255</c:v>
                </c:pt>
                <c:pt idx="9">
                  <c:v>597605451.63582563</c:v>
                </c:pt>
                <c:pt idx="10">
                  <c:v>593104702.33074164</c:v>
                </c:pt>
                <c:pt idx="11">
                  <c:v>588039994.98435712</c:v>
                </c:pt>
                <c:pt idx="12">
                  <c:v>582527138.23574638</c:v>
                </c:pt>
                <c:pt idx="13">
                  <c:v>576665166.68513882</c:v>
                </c:pt>
                <c:pt idx="14">
                  <c:v>570429314.57420826</c:v>
                </c:pt>
                <c:pt idx="15">
                  <c:v>563904226.51079893</c:v>
                </c:pt>
                <c:pt idx="16">
                  <c:v>557567907.02077639</c:v>
                </c:pt>
                <c:pt idx="17">
                  <c:v>551570840.70208836</c:v>
                </c:pt>
                <c:pt idx="18">
                  <c:v>545923573.46961105</c:v>
                </c:pt>
                <c:pt idx="19">
                  <c:v>540618762.14690673</c:v>
                </c:pt>
                <c:pt idx="20">
                  <c:v>535689644.96853173</c:v>
                </c:pt>
                <c:pt idx="21">
                  <c:v>531116351.15646893</c:v>
                </c:pt>
                <c:pt idx="22">
                  <c:v>526895306.45845091</c:v>
                </c:pt>
                <c:pt idx="23">
                  <c:v>522935199.53402978</c:v>
                </c:pt>
                <c:pt idx="24">
                  <c:v>519257978.86468792</c:v>
                </c:pt>
                <c:pt idx="25">
                  <c:v>515856371.25565982</c:v>
                </c:pt>
              </c:numCache>
            </c:numRef>
          </c:val>
        </c:ser>
        <c:ser>
          <c:idx val="1"/>
          <c:order val="2"/>
          <c:tx>
            <c:v>Vehicle &amp; Driver Taxes</c:v>
          </c:tx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TabularOutputs!$AP$131:$AP$156</c:f>
              <c:numCache>
                <c:formatCode>_-"$"* #,##0_-;\-"$"* #,##0_-;_-"$"* "-"??_-;_-@_-</c:formatCode>
                <c:ptCount val="26"/>
                <c:pt idx="0">
                  <c:v>132226261.71233736</c:v>
                </c:pt>
                <c:pt idx="1">
                  <c:v>136264719.03789973</c:v>
                </c:pt>
                <c:pt idx="2">
                  <c:v>138048775.27795652</c:v>
                </c:pt>
                <c:pt idx="3">
                  <c:v>139989729.72526026</c:v>
                </c:pt>
                <c:pt idx="4">
                  <c:v>142470254.05310524</c:v>
                </c:pt>
                <c:pt idx="5">
                  <c:v>142541704.90766868</c:v>
                </c:pt>
                <c:pt idx="6">
                  <c:v>143617613.36879352</c:v>
                </c:pt>
                <c:pt idx="7">
                  <c:v>144735910.1907919</c:v>
                </c:pt>
                <c:pt idx="8">
                  <c:v>145671699.21937412</c:v>
                </c:pt>
                <c:pt idx="9">
                  <c:v>146585960.25171816</c:v>
                </c:pt>
                <c:pt idx="10">
                  <c:v>147482885.07212478</c:v>
                </c:pt>
                <c:pt idx="11">
                  <c:v>148364594.47009361</c:v>
                </c:pt>
                <c:pt idx="12">
                  <c:v>149234349.64270183</c:v>
                </c:pt>
                <c:pt idx="13">
                  <c:v>150094174.21385309</c:v>
                </c:pt>
                <c:pt idx="14">
                  <c:v>150944914.6779134</c:v>
                </c:pt>
                <c:pt idx="15">
                  <c:v>151786988.68181187</c:v>
                </c:pt>
                <c:pt idx="16">
                  <c:v>152619814.76458403</c:v>
                </c:pt>
                <c:pt idx="17">
                  <c:v>153445189.86683616</c:v>
                </c:pt>
                <c:pt idx="18">
                  <c:v>154263351.64440662</c:v>
                </c:pt>
                <c:pt idx="19">
                  <c:v>155075047.85916948</c:v>
                </c:pt>
                <c:pt idx="20">
                  <c:v>155881033.19733816</c:v>
                </c:pt>
                <c:pt idx="21">
                  <c:v>156680463.21587473</c:v>
                </c:pt>
                <c:pt idx="22">
                  <c:v>157474719.0332334</c:v>
                </c:pt>
                <c:pt idx="23">
                  <c:v>158298395.88970673</c:v>
                </c:pt>
                <c:pt idx="24">
                  <c:v>159120812.77767456</c:v>
                </c:pt>
                <c:pt idx="25">
                  <c:v>159941794.02121094</c:v>
                </c:pt>
              </c:numCache>
            </c:numRef>
          </c:val>
        </c:ser>
        <c:ser>
          <c:idx val="2"/>
          <c:order val="3"/>
          <c:tx>
            <c:v>General Sales Taxes</c:v>
          </c:tx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TabularOutputs!$AQ$131:$AQ$156</c:f>
              <c:numCache>
                <c:formatCode>_-"$"* #,##0_-;\-"$"* #,##0_-;_-"$"* "-"??_-;_-@_-</c:formatCode>
                <c:ptCount val="26"/>
                <c:pt idx="0">
                  <c:v>27511595.243904572</c:v>
                </c:pt>
                <c:pt idx="1">
                  <c:v>29571250.187231351</c:v>
                </c:pt>
                <c:pt idx="2">
                  <c:v>31433844.686320879</c:v>
                </c:pt>
                <c:pt idx="3">
                  <c:v>32709513.838272069</c:v>
                </c:pt>
                <c:pt idx="4">
                  <c:v>33514569.929991752</c:v>
                </c:pt>
                <c:pt idx="5">
                  <c:v>34709004.588758908</c:v>
                </c:pt>
                <c:pt idx="6">
                  <c:v>36090353.719645031</c:v>
                </c:pt>
                <c:pt idx="7">
                  <c:v>37382699.743625633</c:v>
                </c:pt>
                <c:pt idx="8">
                  <c:v>38728843.845996708</c:v>
                </c:pt>
                <c:pt idx="9">
                  <c:v>40200049.541234583</c:v>
                </c:pt>
                <c:pt idx="10">
                  <c:v>41662707.537504248</c:v>
                </c:pt>
                <c:pt idx="11">
                  <c:v>43083589.13812153</c:v>
                </c:pt>
                <c:pt idx="12">
                  <c:v>44592469.456381448</c:v>
                </c:pt>
                <c:pt idx="13">
                  <c:v>46248088.311675645</c:v>
                </c:pt>
                <c:pt idx="14">
                  <c:v>47985815.533498041</c:v>
                </c:pt>
                <c:pt idx="15">
                  <c:v>49789653.80756367</c:v>
                </c:pt>
                <c:pt idx="16">
                  <c:v>51694866.12895485</c:v>
                </c:pt>
                <c:pt idx="17">
                  <c:v>53709994.728095703</c:v>
                </c:pt>
                <c:pt idx="18">
                  <c:v>55753731.104172304</c:v>
                </c:pt>
                <c:pt idx="19">
                  <c:v>57885614.942290537</c:v>
                </c:pt>
                <c:pt idx="20">
                  <c:v>60140097.705591097</c:v>
                </c:pt>
                <c:pt idx="21">
                  <c:v>62442312.109048277</c:v>
                </c:pt>
                <c:pt idx="22">
                  <c:v>64870620.566494741</c:v>
                </c:pt>
                <c:pt idx="23">
                  <c:v>66867948.951757044</c:v>
                </c:pt>
                <c:pt idx="24">
                  <c:v>68926773.907327101</c:v>
                </c:pt>
                <c:pt idx="25">
                  <c:v>71048988.876560286</c:v>
                </c:pt>
              </c:numCache>
            </c:numRef>
          </c:val>
        </c:ser>
        <c:ser>
          <c:idx val="3"/>
          <c:order val="4"/>
          <c:tx>
            <c:v>Road Use Charges</c:v>
          </c:tx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TabularOutputs!$AR$131:$AR$156</c:f>
              <c:numCache>
                <c:formatCode>_-"$"* #,##0_-;\-"$"* #,##0_-;_-"$"* "-"??_-;_-@_-</c:formatCode>
                <c:ptCount val="26"/>
                <c:pt idx="0">
                  <c:v>12190784.587477507</c:v>
                </c:pt>
                <c:pt idx="1">
                  <c:v>13319815.864333576</c:v>
                </c:pt>
                <c:pt idx="2">
                  <c:v>15913479.202635162</c:v>
                </c:pt>
                <c:pt idx="3">
                  <c:v>15949340.683088712</c:v>
                </c:pt>
                <c:pt idx="4">
                  <c:v>18140894.881885801</c:v>
                </c:pt>
                <c:pt idx="5">
                  <c:v>18999667.9639608</c:v>
                </c:pt>
                <c:pt idx="6">
                  <c:v>19643400.261650842</c:v>
                </c:pt>
                <c:pt idx="7">
                  <c:v>20392813.68957258</c:v>
                </c:pt>
                <c:pt idx="8">
                  <c:v>21111475.710642848</c:v>
                </c:pt>
                <c:pt idx="9">
                  <c:v>21698527.980203871</c:v>
                </c:pt>
                <c:pt idx="10">
                  <c:v>22231347.902430162</c:v>
                </c:pt>
                <c:pt idx="11">
                  <c:v>22713183.530878551</c:v>
                </c:pt>
                <c:pt idx="12">
                  <c:v>23153462.211385567</c:v>
                </c:pt>
                <c:pt idx="13">
                  <c:v>23558624.284461565</c:v>
                </c:pt>
                <c:pt idx="14">
                  <c:v>23933756.999289867</c:v>
                </c:pt>
                <c:pt idx="15">
                  <c:v>24282881.883239441</c:v>
                </c:pt>
                <c:pt idx="16">
                  <c:v>24609247.880512469</c:v>
                </c:pt>
                <c:pt idx="17">
                  <c:v>24915558.760482851</c:v>
                </c:pt>
                <c:pt idx="18">
                  <c:v>25204077.512291744</c:v>
                </c:pt>
                <c:pt idx="19">
                  <c:v>25476683.746446341</c:v>
                </c:pt>
                <c:pt idx="20">
                  <c:v>25735040.062556256</c:v>
                </c:pt>
                <c:pt idx="21">
                  <c:v>25980491.788934942</c:v>
                </c:pt>
                <c:pt idx="22">
                  <c:v>26214224.29082974</c:v>
                </c:pt>
                <c:pt idx="23">
                  <c:v>26756364.073637567</c:v>
                </c:pt>
                <c:pt idx="24">
                  <c:v>27309750.609895177</c:v>
                </c:pt>
                <c:pt idx="25">
                  <c:v>27874604.499771222</c:v>
                </c:pt>
              </c:numCache>
            </c:numRef>
          </c:val>
        </c:ser>
        <c:ser>
          <c:idx val="4"/>
          <c:order val="5"/>
          <c:tx>
            <c:v>Other</c:v>
          </c:tx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TabularOutputs!$AS$131:$AS$156</c:f>
              <c:numCache>
                <c:formatCode>_-"$"* #,##0_-;\-"$"* #,##0_-;_-"$"* "-"??_-;_-@_-</c:formatCode>
                <c:ptCount val="26"/>
                <c:pt idx="0">
                  <c:v>38400000</c:v>
                </c:pt>
                <c:pt idx="1">
                  <c:v>38400000</c:v>
                </c:pt>
                <c:pt idx="2">
                  <c:v>38400000</c:v>
                </c:pt>
                <c:pt idx="3">
                  <c:v>38400000</c:v>
                </c:pt>
                <c:pt idx="4">
                  <c:v>38400000</c:v>
                </c:pt>
                <c:pt idx="5">
                  <c:v>38784000</c:v>
                </c:pt>
                <c:pt idx="6">
                  <c:v>39171840</c:v>
                </c:pt>
                <c:pt idx="7">
                  <c:v>39563558.399999999</c:v>
                </c:pt>
                <c:pt idx="8">
                  <c:v>39959193.983999997</c:v>
                </c:pt>
                <c:pt idx="9">
                  <c:v>40358785.923840001</c:v>
                </c:pt>
                <c:pt idx="10">
                  <c:v>40762373.783078402</c:v>
                </c:pt>
                <c:pt idx="11">
                  <c:v>41169997.52090919</c:v>
                </c:pt>
                <c:pt idx="12">
                  <c:v>41581697.496118285</c:v>
                </c:pt>
                <c:pt idx="13">
                  <c:v>41997514.471079469</c:v>
                </c:pt>
                <c:pt idx="14">
                  <c:v>42417489.615790263</c:v>
                </c:pt>
                <c:pt idx="15">
                  <c:v>42841664.511948168</c:v>
                </c:pt>
                <c:pt idx="16">
                  <c:v>43270081.157067649</c:v>
                </c:pt>
                <c:pt idx="17">
                  <c:v>43702781.968638323</c:v>
                </c:pt>
                <c:pt idx="18">
                  <c:v>44139809.788324706</c:v>
                </c:pt>
                <c:pt idx="19">
                  <c:v>44581207.886207953</c:v>
                </c:pt>
                <c:pt idx="20">
                  <c:v>45027019.965070032</c:v>
                </c:pt>
                <c:pt idx="21">
                  <c:v>45477290.164720729</c:v>
                </c:pt>
                <c:pt idx="22">
                  <c:v>45932063.066367939</c:v>
                </c:pt>
                <c:pt idx="23">
                  <c:v>46391383.697031617</c:v>
                </c:pt>
                <c:pt idx="24">
                  <c:v>46855297.534001932</c:v>
                </c:pt>
                <c:pt idx="25">
                  <c:v>47323850.509341948</c:v>
                </c:pt>
              </c:numCache>
            </c:numRef>
          </c:val>
        </c:ser>
        <c:dLbls/>
        <c:overlap val="100"/>
        <c:axId val="246364416"/>
        <c:axId val="246390784"/>
      </c:barChart>
      <c:lineChart>
        <c:grouping val="standard"/>
        <c:ser>
          <c:idx val="29"/>
          <c:order val="0"/>
          <c:tx>
            <c:v>Status Quo Revenue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TabularOutputs!$AG$131:$AG$156</c:f>
              <c:numCache>
                <c:formatCode>_-"$"* #,##0_-;\-"$"* #,##0_-;_-"$"* "-"??_-;_-@_-</c:formatCode>
                <c:ptCount val="26"/>
                <c:pt idx="0">
                  <c:v>700857272.73869848</c:v>
                </c:pt>
                <c:pt idx="1">
                  <c:v>688364587.1721518</c:v>
                </c:pt>
                <c:pt idx="2">
                  <c:v>690714489.01374245</c:v>
                </c:pt>
                <c:pt idx="3">
                  <c:v>695572502.81889212</c:v>
                </c:pt>
                <c:pt idx="4">
                  <c:v>698851524.14820337</c:v>
                </c:pt>
                <c:pt idx="5">
                  <c:v>691380044.08221364</c:v>
                </c:pt>
                <c:pt idx="6">
                  <c:v>694120504.68473709</c:v>
                </c:pt>
                <c:pt idx="7">
                  <c:v>695197402.16210294</c:v>
                </c:pt>
                <c:pt idx="8">
                  <c:v>696130279.41340852</c:v>
                </c:pt>
                <c:pt idx="9">
                  <c:v>697295446.13205123</c:v>
                </c:pt>
                <c:pt idx="10">
                  <c:v>698337524.56002641</c:v>
                </c:pt>
                <c:pt idx="11">
                  <c:v>698972685.49720287</c:v>
                </c:pt>
                <c:pt idx="12">
                  <c:v>699428013.23830688</c:v>
                </c:pt>
                <c:pt idx="13">
                  <c:v>699840398.06430972</c:v>
                </c:pt>
                <c:pt idx="14">
                  <c:v>700126605.3940686</c:v>
                </c:pt>
                <c:pt idx="15">
                  <c:v>700314700.95694351</c:v>
                </c:pt>
                <c:pt idx="16">
                  <c:v>700735555.71071565</c:v>
                </c:pt>
                <c:pt idx="17">
                  <c:v>701496310.68756664</c:v>
                </c:pt>
                <c:pt idx="18">
                  <c:v>702526382.23046637</c:v>
                </c:pt>
                <c:pt idx="19">
                  <c:v>703879125.97539008</c:v>
                </c:pt>
                <c:pt idx="20">
                  <c:v>705625561.68831742</c:v>
                </c:pt>
                <c:pt idx="21">
                  <c:v>707671055.63560963</c:v>
                </c:pt>
                <c:pt idx="22">
                  <c:v>710094093.09054446</c:v>
                </c:pt>
                <c:pt idx="23">
                  <c:v>712628703.7490201</c:v>
                </c:pt>
                <c:pt idx="24">
                  <c:v>715463438.24879932</c:v>
                </c:pt>
                <c:pt idx="25">
                  <c:v>718593313.17986083</c:v>
                </c:pt>
              </c:numCache>
            </c:numRef>
          </c:val>
        </c:ser>
        <c:dLbls/>
        <c:marker val="1"/>
        <c:axId val="246364416"/>
        <c:axId val="246390784"/>
      </c:lineChart>
      <c:catAx>
        <c:axId val="24636441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390784"/>
        <c:crosses val="autoZero"/>
        <c:auto val="1"/>
        <c:lblAlgn val="ctr"/>
        <c:lblOffset val="100"/>
        <c:tickLblSkip val="5"/>
      </c:catAx>
      <c:valAx>
        <c:axId val="246390784"/>
        <c:scaling>
          <c:orientation val="minMax"/>
          <c:max val="1500000000"/>
          <c:min val="0"/>
        </c:scaling>
        <c:axPos val="l"/>
        <c:majorGridlines/>
        <c:numFmt formatCode="&quot;$&quot;#,##0" sourceLinked="0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364416"/>
        <c:crosses val="autoZero"/>
        <c:crossBetween val="between"/>
        <c:majorUnit val="300000000"/>
        <c:dispUnits>
          <c:builtInUnit val="millions"/>
          <c:dispUnitsLbl>
            <c:txPr>
              <a:bodyPr/>
              <a:lstStyle/>
              <a:p>
                <a:pPr>
                  <a:defRPr sz="1600" b="0"/>
                </a:pPr>
                <a:endParaRPr lang="en-US"/>
              </a:p>
            </c:txPr>
          </c:dispUnitsLbl>
        </c:dispUnits>
      </c:valAx>
    </c:plotArea>
    <c:legend>
      <c:legendPos val="r"/>
      <c:layout>
        <c:manualLayout>
          <c:xMode val="edge"/>
          <c:yMode val="edge"/>
          <c:x val="0.11648846876373999"/>
          <c:y val="8.2118060060572096E-2"/>
          <c:w val="0.85986869978816105"/>
          <c:h val="0.11354865973954698"/>
        </c:manualLayout>
      </c:layout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zero"/>
  </c:chart>
  <c:printSettings>
    <c:headerFooter/>
    <c:pageMargins b="1" l="0.75000000000000022" r="0.75000000000000022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8"/>
  <c:chart>
    <c:title>
      <c:tx>
        <c:rich>
          <a:bodyPr/>
          <a:lstStyle/>
          <a:p>
            <a:pPr>
              <a:defRPr/>
            </a:pPr>
            <a:r>
              <a:rPr lang="en-US"/>
              <a:t>Net INDOT revenue from state sources (2015 dollars)</a:t>
            </a:r>
          </a:p>
        </c:rich>
      </c:tx>
      <c:layout>
        <c:manualLayout>
          <c:xMode val="edge"/>
          <c:yMode val="edge"/>
          <c:x val="0.28400625524601297"/>
          <c:y val="2.0496105812181899E-2"/>
        </c:manualLayout>
      </c:layout>
    </c:title>
    <c:plotArea>
      <c:layout>
        <c:manualLayout>
          <c:layoutTarget val="inner"/>
          <c:xMode val="edge"/>
          <c:yMode val="edge"/>
          <c:x val="0.10136681781672501"/>
          <c:y val="2.2155551757136197E-2"/>
          <c:w val="0.87697525429129741"/>
          <c:h val="0.89486907836035801"/>
        </c:manualLayout>
      </c:layout>
      <c:barChart>
        <c:barDir val="col"/>
        <c:grouping val="stacked"/>
        <c:ser>
          <c:idx val="0"/>
          <c:order val="1"/>
          <c:tx>
            <c:v>Fuel Taxes</c:v>
          </c:tx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TabularOutputs!$AO$260:$AO$285</c:f>
              <c:numCache>
                <c:formatCode>_-"$"* #,##0_-;\-"$"* #,##0_-;_-"$"* "-"??_-;_-@_-</c:formatCode>
                <c:ptCount val="26"/>
                <c:pt idx="0">
                  <c:v>551021678.82226622</c:v>
                </c:pt>
                <c:pt idx="1">
                  <c:v>515774752.1243313</c:v>
                </c:pt>
                <c:pt idx="2">
                  <c:v>498984226.28614759</c:v>
                </c:pt>
                <c:pt idx="3">
                  <c:v>488463001.23675245</c:v>
                </c:pt>
                <c:pt idx="4">
                  <c:v>474240087.89721972</c:v>
                </c:pt>
                <c:pt idx="5">
                  <c:v>452560137.23310649</c:v>
                </c:pt>
                <c:pt idx="6">
                  <c:v>440661010.65703017</c:v>
                </c:pt>
                <c:pt idx="7">
                  <c:v>577234256.56047714</c:v>
                </c:pt>
                <c:pt idx="8">
                  <c:v>558961859.15533686</c:v>
                </c:pt>
                <c:pt idx="9">
                  <c:v>541401044.24532497</c:v>
                </c:pt>
                <c:pt idx="10">
                  <c:v>524218134.15639234</c:v>
                </c:pt>
                <c:pt idx="11">
                  <c:v>507065044.734442</c:v>
                </c:pt>
                <c:pt idx="12">
                  <c:v>490059829.89036644</c:v>
                </c:pt>
                <c:pt idx="13">
                  <c:v>473295958.06418771</c:v>
                </c:pt>
                <c:pt idx="14">
                  <c:v>456758930.56394529</c:v>
                </c:pt>
                <c:pt idx="15">
                  <c:v>440521080.47661853</c:v>
                </c:pt>
                <c:pt idx="16">
                  <c:v>424947471.04213589</c:v>
                </c:pt>
                <c:pt idx="17">
                  <c:v>410123744.62342608</c:v>
                </c:pt>
                <c:pt idx="18">
                  <c:v>396024083.74467719</c:v>
                </c:pt>
                <c:pt idx="19">
                  <c:v>382610600.50945139</c:v>
                </c:pt>
                <c:pt idx="20">
                  <c:v>369875249.00607586</c:v>
                </c:pt>
                <c:pt idx="21">
                  <c:v>357773216.72930896</c:v>
                </c:pt>
                <c:pt idx="22">
                  <c:v>346272991.00029266</c:v>
                </c:pt>
                <c:pt idx="23">
                  <c:v>335288222.7356841</c:v>
                </c:pt>
                <c:pt idx="24">
                  <c:v>324810257.75744176</c:v>
                </c:pt>
                <c:pt idx="25">
                  <c:v>314812154.06592631</c:v>
                </c:pt>
              </c:numCache>
            </c:numRef>
          </c:val>
        </c:ser>
        <c:ser>
          <c:idx val="1"/>
          <c:order val="2"/>
          <c:tx>
            <c:v>Vehicle &amp; Driver Taxes</c:v>
          </c:tx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TabularOutputs!$AP$260:$AP$285</c:f>
              <c:numCache>
                <c:formatCode>_-"$"* #,##0_-;\-"$"* #,##0_-;_-"$"* "-"??_-;_-@_-</c:formatCode>
                <c:ptCount val="26"/>
                <c:pt idx="0">
                  <c:v>149601878.46116364</c:v>
                </c:pt>
                <c:pt idx="1">
                  <c:v>150410753.41142756</c:v>
                </c:pt>
                <c:pt idx="2">
                  <c:v>148663431.88956311</c:v>
                </c:pt>
                <c:pt idx="3">
                  <c:v>147076709.79260159</c:v>
                </c:pt>
                <c:pt idx="4">
                  <c:v>146032010.40443286</c:v>
                </c:pt>
                <c:pt idx="5">
                  <c:v>142541704.90766868</c:v>
                </c:pt>
                <c:pt idx="6">
                  <c:v>140114744.75004247</c:v>
                </c:pt>
                <c:pt idx="7">
                  <c:v>137761722.9656556</c:v>
                </c:pt>
                <c:pt idx="8">
                  <c:v>135270654.08278963</c:v>
                </c:pt>
                <c:pt idx="9">
                  <c:v>132799645.20863533</c:v>
                </c:pt>
                <c:pt idx="10">
                  <c:v>130353380.32001916</c:v>
                </c:pt>
                <c:pt idx="11">
                  <c:v>127934324.83106291</c:v>
                </c:pt>
                <c:pt idx="12">
                  <c:v>125545670.23468873</c:v>
                </c:pt>
                <c:pt idx="13">
                  <c:v>123189278.78504273</c:v>
                </c:pt>
                <c:pt idx="14">
                  <c:v>120865874.2473875</c:v>
                </c:pt>
                <c:pt idx="15">
                  <c:v>118575752.96099246</c:v>
                </c:pt>
                <c:pt idx="16">
                  <c:v>116318395.47879958</c:v>
                </c:pt>
                <c:pt idx="17">
                  <c:v>114095073.95738076</c:v>
                </c:pt>
                <c:pt idx="18">
                  <c:v>111905778.4995243</c:v>
                </c:pt>
                <c:pt idx="19">
                  <c:v>109750828.75371169</c:v>
                </c:pt>
                <c:pt idx="20">
                  <c:v>107630484.38723651</c:v>
                </c:pt>
                <c:pt idx="21">
                  <c:v>105543866.61476994</c:v>
                </c:pt>
                <c:pt idx="22">
                  <c:v>103491606.96285006</c:v>
                </c:pt>
                <c:pt idx="23">
                  <c:v>101495534.9478547</c:v>
                </c:pt>
                <c:pt idx="24">
                  <c:v>99534478.653352231</c:v>
                </c:pt>
                <c:pt idx="25">
                  <c:v>97607829.439857244</c:v>
                </c:pt>
              </c:numCache>
            </c:numRef>
          </c:val>
        </c:ser>
        <c:ser>
          <c:idx val="2"/>
          <c:order val="3"/>
          <c:tx>
            <c:v>General Sales Taxes</c:v>
          </c:tx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TabularOutputs!$AQ$260:$AQ$285</c:f>
              <c:numCache>
                <c:formatCode>_-"$"* #,##0_-;\-"$"* #,##0_-;_-"$"* "-"??_-;_-@_-</c:formatCode>
                <c:ptCount val="26"/>
                <c:pt idx="0">
                  <c:v>31126844.808676284</c:v>
                </c:pt>
                <c:pt idx="1">
                  <c:v>32641127.148562901</c:v>
                </c:pt>
                <c:pt idx="2">
                  <c:v>33850812.650405012</c:v>
                </c:pt>
                <c:pt idx="3">
                  <c:v>34365432.976334594</c:v>
                </c:pt>
                <c:pt idx="4">
                  <c:v>34352434.178241543</c:v>
                </c:pt>
                <c:pt idx="5">
                  <c:v>34709004.588758908</c:v>
                </c:pt>
                <c:pt idx="6">
                  <c:v>35210101.189897597</c:v>
                </c:pt>
                <c:pt idx="7">
                  <c:v>35581391.78453362</c:v>
                </c:pt>
                <c:pt idx="8">
                  <c:v>35963581.580995478</c:v>
                </c:pt>
                <c:pt idx="9">
                  <c:v>36419260.802863568</c:v>
                </c:pt>
                <c:pt idx="10">
                  <c:v>36823762.690444477</c:v>
                </c:pt>
                <c:pt idx="11">
                  <c:v>37150843.888132237</c:v>
                </c:pt>
                <c:pt idx="12">
                  <c:v>37514094.300172925</c:v>
                </c:pt>
                <c:pt idx="13">
                  <c:v>37957959.888468824</c:v>
                </c:pt>
                <c:pt idx="14">
                  <c:v>38423603.460281096</c:v>
                </c:pt>
                <c:pt idx="15">
                  <c:v>38895597.976946004</c:v>
                </c:pt>
                <c:pt idx="16">
                  <c:v>39398972.485234104</c:v>
                </c:pt>
                <c:pt idx="17">
                  <c:v>39936382.665828049</c:v>
                </c:pt>
                <c:pt idx="18">
                  <c:v>40444892.561698519</c:v>
                </c:pt>
                <c:pt idx="19">
                  <c:v>40967223.937948152</c:v>
                </c:pt>
                <c:pt idx="20">
                  <c:v>41524666.050641969</c:v>
                </c:pt>
                <c:pt idx="21">
                  <c:v>42062698.342134409</c:v>
                </c:pt>
                <c:pt idx="22">
                  <c:v>42632651.185661264</c:v>
                </c:pt>
                <c:pt idx="23">
                  <c:v>42873449.295424789</c:v>
                </c:pt>
                <c:pt idx="24">
                  <c:v>43115607.483157977</c:v>
                </c:pt>
                <c:pt idx="25">
                  <c:v>43359133.430864997</c:v>
                </c:pt>
              </c:numCache>
            </c:numRef>
          </c:val>
        </c:ser>
        <c:ser>
          <c:idx val="3"/>
          <c:order val="4"/>
          <c:tx>
            <c:v>Road Use Charges</c:v>
          </c:tx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TabularOutputs!$AR$260:$AR$285</c:f>
              <c:numCache>
                <c:formatCode>_-"$"* #,##0_-;\-"$"* #,##0_-;_-"$"* "-"??_-;_-@_-</c:formatCode>
                <c:ptCount val="26"/>
                <c:pt idx="0">
                  <c:v>13792753.803852499</c:v>
                </c:pt>
                <c:pt idx="1">
                  <c:v>14702584.451802773</c:v>
                </c:pt>
                <c:pt idx="2">
                  <c:v>17137076.564450279</c:v>
                </c:pt>
                <c:pt idx="3">
                  <c:v>16756776.055170078</c:v>
                </c:pt>
                <c:pt idx="4">
                  <c:v>18594417.253932945</c:v>
                </c:pt>
                <c:pt idx="5">
                  <c:v>18999667.9639608</c:v>
                </c:pt>
                <c:pt idx="6">
                  <c:v>19164292.938195944</c:v>
                </c:pt>
                <c:pt idx="7">
                  <c:v>19410173.64861162</c:v>
                </c:pt>
                <c:pt idx="8">
                  <c:v>19604103.908549532</c:v>
                </c:pt>
                <c:pt idx="9">
                  <c:v>19657795.414871223</c:v>
                </c:pt>
                <c:pt idx="10">
                  <c:v>19649272.162901744</c:v>
                </c:pt>
                <c:pt idx="11">
                  <c:v>19585506.974662323</c:v>
                </c:pt>
                <c:pt idx="12">
                  <c:v>19478202.830256339</c:v>
                </c:pt>
                <c:pt idx="13">
                  <c:v>19335660.09454586</c:v>
                </c:pt>
                <c:pt idx="14">
                  <c:v>19164438.033015609</c:v>
                </c:pt>
                <c:pt idx="15">
                  <c:v>18969748.516481265</c:v>
                </c:pt>
                <c:pt idx="16">
                  <c:v>18755809.865296174</c:v>
                </c:pt>
                <c:pt idx="17">
                  <c:v>18526110.345549215</c:v>
                </c:pt>
                <c:pt idx="18">
                  <c:v>18283551.376978189</c:v>
                </c:pt>
                <c:pt idx="19">
                  <c:v>18030541.945135836</c:v>
                </c:pt>
                <c:pt idx="20">
                  <c:v>17769158.767066512</c:v>
                </c:pt>
                <c:pt idx="21">
                  <c:v>17501107.053656258</c:v>
                </c:pt>
                <c:pt idx="22">
                  <c:v>17227858.628977824</c:v>
                </c:pt>
                <c:pt idx="23">
                  <c:v>17155268.50193426</c:v>
                </c:pt>
                <c:pt idx="24">
                  <c:v>17083005.93528875</c:v>
                </c:pt>
                <c:pt idx="25">
                  <c:v>17011061.169892378</c:v>
                </c:pt>
              </c:numCache>
            </c:numRef>
          </c:val>
        </c:ser>
        <c:ser>
          <c:idx val="4"/>
          <c:order val="5"/>
          <c:tx>
            <c:v>Other</c:v>
          </c:tx>
          <c:cat>
            <c:numRef>
              <c:f>TabularOutputs!$A$131:$A$156</c:f>
              <c:numCache>
                <c:formatCode>General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TabularOutputs!$AS$260:$AS$285</c:f>
              <c:numCache>
                <c:formatCode>_-"$"* #,##0_-;\-"$"* #,##0_-;_-"$"* "-"??_-;_-@_-</c:formatCode>
                <c:ptCount val="26"/>
                <c:pt idx="0">
                  <c:v>43446075.374999993</c:v>
                </c:pt>
                <c:pt idx="1">
                  <c:v>42386414.999999985</c:v>
                </c:pt>
                <c:pt idx="2">
                  <c:v>41352599.999999993</c:v>
                </c:pt>
                <c:pt idx="3">
                  <c:v>40344000</c:v>
                </c:pt>
                <c:pt idx="4">
                  <c:v>39360000</c:v>
                </c:pt>
                <c:pt idx="5">
                  <c:v>38784000</c:v>
                </c:pt>
                <c:pt idx="6">
                  <c:v>38216429.268292688</c:v>
                </c:pt>
                <c:pt idx="7">
                  <c:v>37657164.449732304</c:v>
                </c:pt>
                <c:pt idx="8">
                  <c:v>37106083.994370371</c:v>
                </c:pt>
                <c:pt idx="9">
                  <c:v>36563068.131038129</c:v>
                </c:pt>
                <c:pt idx="10">
                  <c:v>36027998.84131562</c:v>
                </c:pt>
                <c:pt idx="11">
                  <c:v>35500759.833881743</c:v>
                </c:pt>
                <c:pt idx="12">
                  <c:v>34981236.519239567</c:v>
                </c:pt>
                <c:pt idx="13">
                  <c:v>34469315.984811679</c:v>
                </c:pt>
                <c:pt idx="14">
                  <c:v>33964886.970399804</c:v>
                </c:pt>
                <c:pt idx="15">
                  <c:v>33467839.844003711</c:v>
                </c:pt>
                <c:pt idx="16">
                  <c:v>32978066.5779939</c:v>
                </c:pt>
                <c:pt idx="17">
                  <c:v>32495460.725633014</c:v>
                </c:pt>
                <c:pt idx="18">
                  <c:v>32019917.397940826</c:v>
                </c:pt>
                <c:pt idx="19">
                  <c:v>31551333.240897793</c:v>
                </c:pt>
                <c:pt idx="20">
                  <c:v>31089606.412982211</c:v>
                </c:pt>
                <c:pt idx="21">
                  <c:v>30634636.563036129</c:v>
                </c:pt>
                <c:pt idx="22">
                  <c:v>30186324.808455117</c:v>
                </c:pt>
                <c:pt idx="23">
                  <c:v>29744573.713697236</c:v>
                </c:pt>
                <c:pt idx="24">
                  <c:v>29309287.269106545</c:v>
                </c:pt>
                <c:pt idx="25">
                  <c:v>28880370.870046452</c:v>
                </c:pt>
              </c:numCache>
            </c:numRef>
          </c:val>
        </c:ser>
        <c:dLbls/>
        <c:overlap val="100"/>
        <c:axId val="246520832"/>
        <c:axId val="246534912"/>
      </c:barChart>
      <c:lineChart>
        <c:grouping val="standard"/>
        <c:ser>
          <c:idx val="29"/>
          <c:order val="0"/>
          <c:tx>
            <c:v>Status Quo Revenue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val>
            <c:numRef>
              <c:f>TabularOutputs!$AG$260:$AG$285</c:f>
              <c:numCache>
                <c:formatCode>_-"$"* #,##0_-;\-"$"* #,##0_-;_-"$"* "-"??_-;_-@_-</c:formatCode>
                <c:ptCount val="26"/>
                <c:pt idx="0">
                  <c:v>792955674.44068778</c:v>
                </c:pt>
                <c:pt idx="1">
                  <c:v>759825704.77037764</c:v>
                </c:pt>
                <c:pt idx="2">
                  <c:v>743823957.77056468</c:v>
                </c:pt>
                <c:pt idx="3">
                  <c:v>730785860.77409852</c:v>
                </c:pt>
                <c:pt idx="4">
                  <c:v>716322812.2519083</c:v>
                </c:pt>
                <c:pt idx="5">
                  <c:v>691380044.08221364</c:v>
                </c:pt>
                <c:pt idx="6">
                  <c:v>677190736.27779222</c:v>
                </c:pt>
                <c:pt idx="7">
                  <c:v>661698895.57368517</c:v>
                </c:pt>
                <c:pt idx="8">
                  <c:v>646426167.38669121</c:v>
                </c:pt>
                <c:pt idx="9">
                  <c:v>631715259.03926468</c:v>
                </c:pt>
                <c:pt idx="10">
                  <c:v>617228615.28099585</c:v>
                </c:pt>
                <c:pt idx="11">
                  <c:v>602721956.09623563</c:v>
                </c:pt>
                <c:pt idx="12">
                  <c:v>588404471.98085296</c:v>
                </c:pt>
                <c:pt idx="13">
                  <c:v>574391606.82775128</c:v>
                </c:pt>
                <c:pt idx="14">
                  <c:v>560611229.76799297</c:v>
                </c:pt>
                <c:pt idx="15">
                  <c:v>547084725.09259486</c:v>
                </c:pt>
                <c:pt idx="16">
                  <c:v>534061947.46692705</c:v>
                </c:pt>
                <c:pt idx="17">
                  <c:v>521601710.14931238</c:v>
                </c:pt>
                <c:pt idx="18">
                  <c:v>509626952.104442</c:v>
                </c:pt>
                <c:pt idx="19">
                  <c:v>498154399.98053485</c:v>
                </c:pt>
                <c:pt idx="20">
                  <c:v>487210146.37094623</c:v>
                </c:pt>
                <c:pt idx="21">
                  <c:v>476704867.79343814</c:v>
                </c:pt>
                <c:pt idx="22">
                  <c:v>466670328.03696609</c:v>
                </c:pt>
                <c:pt idx="23">
                  <c:v>456913230.86178029</c:v>
                </c:pt>
                <c:pt idx="24">
                  <c:v>447542210.71714312</c:v>
                </c:pt>
                <c:pt idx="25">
                  <c:v>438536618.76632446</c:v>
                </c:pt>
              </c:numCache>
            </c:numRef>
          </c:val>
        </c:ser>
        <c:dLbls/>
        <c:marker val="1"/>
        <c:axId val="246520832"/>
        <c:axId val="246534912"/>
      </c:lineChart>
      <c:catAx>
        <c:axId val="246520832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534912"/>
        <c:crosses val="autoZero"/>
        <c:auto val="1"/>
        <c:lblAlgn val="ctr"/>
        <c:lblOffset val="100"/>
        <c:tickLblSkip val="5"/>
      </c:catAx>
      <c:valAx>
        <c:axId val="246534912"/>
        <c:scaling>
          <c:orientation val="minMax"/>
          <c:max val="1500000000"/>
          <c:min val="0"/>
        </c:scaling>
        <c:axPos val="l"/>
        <c:majorGridlines/>
        <c:numFmt formatCode="&quot;$&quot;#,##0" sourceLinked="0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246520832"/>
        <c:crosses val="autoZero"/>
        <c:crossBetween val="between"/>
        <c:majorUnit val="300000000"/>
        <c:dispUnits>
          <c:builtInUnit val="millions"/>
          <c:dispUnitsLbl>
            <c:txPr>
              <a:bodyPr/>
              <a:lstStyle/>
              <a:p>
                <a:pPr>
                  <a:defRPr sz="1600" b="0"/>
                </a:pPr>
                <a:endParaRPr lang="en-US"/>
              </a:p>
            </c:txPr>
          </c:dispUnitsLbl>
        </c:dispUnits>
      </c:valAx>
    </c:plotArea>
    <c:legend>
      <c:legendPos val="r"/>
      <c:layout>
        <c:manualLayout>
          <c:xMode val="edge"/>
          <c:yMode val="edge"/>
          <c:x val="0.10887425556577003"/>
          <c:y val="8.2118060060572096E-2"/>
          <c:w val="0.86875194851912541"/>
          <c:h val="8.7655369011829076E-2"/>
        </c:manualLayout>
      </c:layout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zero"/>
  </c:chart>
  <c:printSettings>
    <c:headerFooter/>
    <c:pageMargins b="1" l="0.75000000000000022" r="0.750000000000000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677921</xdr:colOff>
      <xdr:row>56</xdr:row>
      <xdr:rowOff>78480</xdr:rowOff>
    </xdr:from>
    <xdr:to>
      <xdr:col>12</xdr:col>
      <xdr:colOff>1011116</xdr:colOff>
      <xdr:row>84</xdr:row>
      <xdr:rowOff>85969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179755</xdr:colOff>
      <xdr:row>56</xdr:row>
      <xdr:rowOff>75549</xdr:rowOff>
    </xdr:from>
    <xdr:to>
      <xdr:col>7</xdr:col>
      <xdr:colOff>547077</xdr:colOff>
      <xdr:row>84</xdr:row>
      <xdr:rowOff>136769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7</xdr:col>
      <xdr:colOff>680915</xdr:colOff>
      <xdr:row>85</xdr:row>
      <xdr:rowOff>178450</xdr:rowOff>
    </xdr:from>
    <xdr:to>
      <xdr:col>13</xdr:col>
      <xdr:colOff>12700</xdr:colOff>
      <xdr:row>113</xdr:row>
      <xdr:rowOff>152400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0</xdr:col>
      <xdr:colOff>211993</xdr:colOff>
      <xdr:row>114</xdr:row>
      <xdr:rowOff>113322</xdr:rowOff>
    </xdr:from>
    <xdr:to>
      <xdr:col>7</xdr:col>
      <xdr:colOff>508000</xdr:colOff>
      <xdr:row>144</xdr:row>
      <xdr:rowOff>25400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0</xdr:col>
      <xdr:colOff>190500</xdr:colOff>
      <xdr:row>85</xdr:row>
      <xdr:rowOff>152400</xdr:rowOff>
    </xdr:from>
    <xdr:to>
      <xdr:col>7</xdr:col>
      <xdr:colOff>557822</xdr:colOff>
      <xdr:row>114</xdr:row>
      <xdr:rowOff>23120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13</xdr:col>
      <xdr:colOff>238369</xdr:colOff>
      <xdr:row>56</xdr:row>
      <xdr:rowOff>129929</xdr:rowOff>
    </xdr:from>
    <xdr:to>
      <xdr:col>19</xdr:col>
      <xdr:colOff>635000</xdr:colOff>
      <xdr:row>84</xdr:row>
      <xdr:rowOff>88900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xdr:twoCellAnchor>
    <xdr:from>
      <xdr:col>13</xdr:col>
      <xdr:colOff>434729</xdr:colOff>
      <xdr:row>86</xdr:row>
      <xdr:rowOff>39077</xdr:rowOff>
    </xdr:from>
    <xdr:to>
      <xdr:col>19</xdr:col>
      <xdr:colOff>558800</xdr:colOff>
      <xdr:row>111</xdr:row>
      <xdr:rowOff>165100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twoCellAnchor>
  <xdr:twoCellAnchor>
    <xdr:from>
      <xdr:col>7</xdr:col>
      <xdr:colOff>770467</xdr:colOff>
      <xdr:row>114</xdr:row>
      <xdr:rowOff>182033</xdr:rowOff>
    </xdr:from>
    <xdr:to>
      <xdr:col>10</xdr:col>
      <xdr:colOff>207434</xdr:colOff>
      <xdr:row>129</xdr:row>
      <xdr:rowOff>110065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twoCellAnchor>
  <xdr:twoCellAnchor>
    <xdr:from>
      <xdr:col>10</xdr:col>
      <xdr:colOff>448734</xdr:colOff>
      <xdr:row>115</xdr:row>
      <xdr:rowOff>21166</xdr:rowOff>
    </xdr:from>
    <xdr:to>
      <xdr:col>14</xdr:col>
      <xdr:colOff>740834</xdr:colOff>
      <xdr:row>129</xdr:row>
      <xdr:rowOff>101599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twoCellAnchor>
  <xdr:twoCellAnchor>
    <xdr:from>
      <xdr:col>14</xdr:col>
      <xdr:colOff>1003300</xdr:colOff>
      <xdr:row>115</xdr:row>
      <xdr:rowOff>12700</xdr:rowOff>
    </xdr:from>
    <xdr:to>
      <xdr:col>18</xdr:col>
      <xdr:colOff>567267</xdr:colOff>
      <xdr:row>129</xdr:row>
      <xdr:rowOff>131232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 fLocksWithSheet="0"/>
  </xdr:twoCellAnchor>
  <xdr:twoCellAnchor>
    <xdr:from>
      <xdr:col>19</xdr:col>
      <xdr:colOff>1041400</xdr:colOff>
      <xdr:row>56</xdr:row>
      <xdr:rowOff>165100</xdr:rowOff>
    </xdr:from>
    <xdr:to>
      <xdr:col>28</xdr:col>
      <xdr:colOff>647700</xdr:colOff>
      <xdr:row>85</xdr:row>
      <xdr:rowOff>35820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 fLocksWithSheet="0"/>
  </xdr:twoCellAnchor>
  <xdr:twoCellAnchor>
    <xdr:from>
      <xdr:col>19</xdr:col>
      <xdr:colOff>1117600</xdr:colOff>
      <xdr:row>86</xdr:row>
      <xdr:rowOff>25400</xdr:rowOff>
    </xdr:from>
    <xdr:to>
      <xdr:col>28</xdr:col>
      <xdr:colOff>723900</xdr:colOff>
      <xdr:row>114</xdr:row>
      <xdr:rowOff>86620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J57"/>
  <sheetViews>
    <sheetView tabSelected="1" topLeftCell="B1" zoomScale="70" zoomScaleNormal="70" workbookViewId="0">
      <selection activeCell="H2" sqref="H2"/>
    </sheetView>
  </sheetViews>
  <sheetFormatPr defaultColWidth="11" defaultRowHeight="15.75"/>
  <cols>
    <col min="1" max="1" width="15.625" customWidth="1"/>
    <col min="2" max="2" width="26.125" customWidth="1"/>
    <col min="3" max="3" width="33.125" customWidth="1"/>
    <col min="4" max="4" width="60" customWidth="1"/>
    <col min="5" max="5" width="20.5" customWidth="1"/>
    <col min="6" max="6" width="42.5" bestFit="1" customWidth="1"/>
    <col min="7" max="7" width="15.625" customWidth="1"/>
    <col min="8" max="8" width="30.125" customWidth="1"/>
    <col min="9" max="9" width="17.625" customWidth="1"/>
    <col min="10" max="10" width="15.375" bestFit="1" customWidth="1"/>
    <col min="11" max="11" width="15.125" bestFit="1" customWidth="1"/>
    <col min="12" max="14" width="13.625" customWidth="1"/>
    <col min="15" max="15" width="13.625" style="8" customWidth="1"/>
    <col min="16" max="17" width="16.375" bestFit="1" customWidth="1"/>
    <col min="18" max="36" width="15.125" bestFit="1" customWidth="1"/>
  </cols>
  <sheetData>
    <row r="1" spans="1:36">
      <c r="A1" s="10" t="s">
        <v>0</v>
      </c>
      <c r="B1" s="127">
        <v>1</v>
      </c>
      <c r="C1" s="230" t="s">
        <v>344</v>
      </c>
      <c r="D1" s="230"/>
      <c r="E1" s="111"/>
      <c r="F1" s="111"/>
    </row>
    <row r="4" spans="1:36" ht="15" customHeight="1">
      <c r="A4" s="223" t="s">
        <v>147</v>
      </c>
      <c r="B4" s="223"/>
      <c r="C4" s="223"/>
      <c r="D4" s="223"/>
      <c r="E4" s="226" t="s">
        <v>368</v>
      </c>
      <c r="F4" s="226" t="s">
        <v>369</v>
      </c>
      <c r="G4" s="226" t="s">
        <v>54</v>
      </c>
      <c r="H4" s="225" t="s">
        <v>402</v>
      </c>
      <c r="I4" s="225" t="s">
        <v>48</v>
      </c>
      <c r="J4" s="225" t="s">
        <v>55</v>
      </c>
      <c r="K4" s="228" t="s">
        <v>148</v>
      </c>
      <c r="L4" s="229"/>
      <c r="M4" s="225" t="s">
        <v>43</v>
      </c>
      <c r="N4" s="225" t="s">
        <v>367</v>
      </c>
      <c r="O4" s="7"/>
      <c r="P4" s="223" t="s">
        <v>143</v>
      </c>
      <c r="Q4" s="223"/>
      <c r="R4" s="223"/>
      <c r="S4" s="223"/>
      <c r="T4" s="223"/>
      <c r="U4" s="223"/>
      <c r="V4" s="223"/>
      <c r="W4" s="223"/>
      <c r="X4" s="223"/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</row>
    <row r="5" spans="1:36" s="12" customFormat="1" ht="31.5">
      <c r="A5" s="15" t="s">
        <v>90</v>
      </c>
      <c r="B5" s="15" t="s">
        <v>91</v>
      </c>
      <c r="C5" s="15" t="s">
        <v>86</v>
      </c>
      <c r="D5" s="15" t="s">
        <v>47</v>
      </c>
      <c r="E5" s="226"/>
      <c r="F5" s="226"/>
      <c r="G5" s="226"/>
      <c r="H5" s="225"/>
      <c r="I5" s="225"/>
      <c r="J5" s="225"/>
      <c r="K5" s="30" t="s">
        <v>149</v>
      </c>
      <c r="L5" s="30" t="s">
        <v>150</v>
      </c>
      <c r="M5" s="225"/>
      <c r="N5" s="225"/>
      <c r="O5" s="7"/>
      <c r="P5" s="11">
        <v>2015</v>
      </c>
      <c r="Q5" s="11">
        <f>P5+1</f>
        <v>2016</v>
      </c>
      <c r="R5" s="11">
        <f t="shared" ref="R5:AJ5" si="0">Q5+1</f>
        <v>2017</v>
      </c>
      <c r="S5" s="11">
        <f t="shared" si="0"/>
        <v>2018</v>
      </c>
      <c r="T5" s="11">
        <f t="shared" si="0"/>
        <v>2019</v>
      </c>
      <c r="U5" s="11">
        <f t="shared" si="0"/>
        <v>2020</v>
      </c>
      <c r="V5" s="11">
        <f t="shared" si="0"/>
        <v>2021</v>
      </c>
      <c r="W5" s="11">
        <f t="shared" si="0"/>
        <v>2022</v>
      </c>
      <c r="X5" s="11">
        <f t="shared" si="0"/>
        <v>2023</v>
      </c>
      <c r="Y5" s="11">
        <f t="shared" si="0"/>
        <v>2024</v>
      </c>
      <c r="Z5" s="11">
        <f t="shared" si="0"/>
        <v>2025</v>
      </c>
      <c r="AA5" s="11">
        <f t="shared" si="0"/>
        <v>2026</v>
      </c>
      <c r="AB5" s="11">
        <f t="shared" si="0"/>
        <v>2027</v>
      </c>
      <c r="AC5" s="11">
        <f t="shared" si="0"/>
        <v>2028</v>
      </c>
      <c r="AD5" s="11">
        <f t="shared" si="0"/>
        <v>2029</v>
      </c>
      <c r="AE5" s="11">
        <f t="shared" si="0"/>
        <v>2030</v>
      </c>
      <c r="AF5" s="11">
        <f t="shared" si="0"/>
        <v>2031</v>
      </c>
      <c r="AG5" s="11">
        <f t="shared" si="0"/>
        <v>2032</v>
      </c>
      <c r="AH5" s="11">
        <f t="shared" si="0"/>
        <v>2033</v>
      </c>
      <c r="AI5" s="11">
        <f t="shared" si="0"/>
        <v>2034</v>
      </c>
      <c r="AJ5" s="11">
        <f t="shared" si="0"/>
        <v>2035</v>
      </c>
    </row>
    <row r="6" spans="1:36">
      <c r="A6" s="223" t="s">
        <v>39</v>
      </c>
      <c r="B6" s="224" t="s">
        <v>44</v>
      </c>
      <c r="C6" s="3" t="s">
        <v>40</v>
      </c>
      <c r="D6" s="227" t="s">
        <v>115</v>
      </c>
      <c r="E6" s="112">
        <v>0.56999999999999995</v>
      </c>
      <c r="F6" s="119">
        <v>0.56999999999999995</v>
      </c>
      <c r="G6" s="45">
        <v>0.18</v>
      </c>
      <c r="H6" s="121">
        <v>0.28000000000000003</v>
      </c>
      <c r="I6" s="126">
        <v>0</v>
      </c>
      <c r="J6" s="127" t="s">
        <v>119</v>
      </c>
      <c r="K6" s="127">
        <v>2036</v>
      </c>
      <c r="L6" s="127">
        <v>2036</v>
      </c>
      <c r="M6" s="127">
        <v>2036</v>
      </c>
      <c r="N6" s="38"/>
      <c r="P6" s="38">
        <f>G6</f>
        <v>0.18</v>
      </c>
      <c r="Q6" s="43">
        <f>P6</f>
        <v>0.18</v>
      </c>
      <c r="R6" s="43">
        <f>H6</f>
        <v>0.28000000000000003</v>
      </c>
      <c r="S6" s="43">
        <f>IF($M6-S$5&lt;=0,0,IF($L6-S$5&lt;=0,0,IF(AND($I6&gt;0,MOD(S5-2017,3)=0),R6+$I6,R6)*IF($J6="cpi",(1+TechnicalInputs!$D$2),IF($J6="cci",(1+TechnicalInputs!$D$3),IF($J6="none",1,"error")))))</f>
        <v>0.28000000000000003</v>
      </c>
      <c r="T6" s="43">
        <f>IF($M6-T$5&lt;=0,0,IF($L6-T$5&lt;=0,0,IF(AND($I6&gt;0,MOD(T5-2017,3)=0),S6+$I6,S6)*IF($J6="cpi",(1+TechnicalInputs!$D$2),IF($J6="cci",(1+TechnicalInputs!$D$3),IF($J6="none",1,"error")))))</f>
        <v>0.28000000000000003</v>
      </c>
      <c r="U6" s="43">
        <f>IF($M6-U$5&lt;=0,0,IF($L6-U$5&lt;=0,0,IF(AND($I6&gt;0,MOD(U5-2017,3)=0),T6+$I6,T6)*IF($J6="cpi",(1+TechnicalInputs!$D$2),IF($J6="cci",(1+TechnicalInputs!$D$3),IF($J6="none",1,"error")))))</f>
        <v>0.28000000000000003</v>
      </c>
      <c r="V6" s="43">
        <f>IF($M6-V$5&lt;=0,0,IF($L6-V$5&lt;=0,0,IF(AND($I6&gt;0,MOD(V5-2017,3)=0),U6+$I6,U6)*IF($J6="cpi",(1+TechnicalInputs!$D$2),IF($J6="cci",(1+TechnicalInputs!$D$3),IF($J6="none",1,"error")))))</f>
        <v>0.28000000000000003</v>
      </c>
      <c r="W6" s="43">
        <f>IF($M6-W$5&lt;=0,0,IF($L6-W$5&lt;=0,0,IF(AND($I6&gt;0,MOD(W5-2017,3)=0),V6+$I6,V6)*IF($J6="cpi",(1+TechnicalInputs!$D$2),IF($J6="cci",(1+TechnicalInputs!$D$3),IF($J6="none",1,"error")))))</f>
        <v>0.28000000000000003</v>
      </c>
      <c r="X6" s="43">
        <f>IF($M6-X$5&lt;=0,0,IF($L6-X$5&lt;=0,0,IF(AND($I6&gt;0,MOD(X5-2017,3)=0),W6+$I6,W6)*IF($J6="cpi",(1+TechnicalInputs!$D$2),IF($J6="cci",(1+TechnicalInputs!$D$3),IF($J6="none",1,"error")))))</f>
        <v>0.28000000000000003</v>
      </c>
      <c r="Y6" s="43">
        <f>IF($M6-Y$5&lt;=0,0,IF($L6-Y$5&lt;=0,0,IF(AND($I6&gt;0,MOD(Y5-2017,3)=0),X6+$I6,X6)*IF($J6="cpi",(1+TechnicalInputs!$D$2),IF($J6="cci",(1+TechnicalInputs!$D$3),IF($J6="none",1,"error")))))</f>
        <v>0.28000000000000003</v>
      </c>
      <c r="Z6" s="43">
        <f>IF($M6-Z$5&lt;=0,0,IF($L6-Z$5&lt;=0,0,IF(AND($I6&gt;0,MOD(Z5-2017,3)=0),Y6+$I6,Y6)*IF($J6="cpi",(1+TechnicalInputs!$D$2),IF($J6="cci",(1+TechnicalInputs!$D$3),IF($J6="none",1,"error")))))</f>
        <v>0.28000000000000003</v>
      </c>
      <c r="AA6" s="43">
        <f>IF($M6-AA$5&lt;=0,0,IF($L6-AA$5&lt;=0,0,IF(AND($I6&gt;0,MOD(AA5-2017,3)=0),Z6+$I6,Z6)*IF($J6="cpi",(1+TechnicalInputs!$D$2),IF($J6="cci",(1+TechnicalInputs!$D$3),IF($J6="none",1,"error")))))</f>
        <v>0.28000000000000003</v>
      </c>
      <c r="AB6" s="43">
        <f>IF($M6-AB$5&lt;=0,0,IF($L6-AB$5&lt;=0,0,IF(AND($I6&gt;0,MOD(AB5-2017,3)=0),AA6+$I6,AA6)*IF($J6="cpi",(1+TechnicalInputs!$D$2),IF($J6="cci",(1+TechnicalInputs!$D$3),IF($J6="none",1,"error")))))</f>
        <v>0.28000000000000003</v>
      </c>
      <c r="AC6" s="43">
        <f>IF($M6-AC$5&lt;=0,0,IF($L6-AC$5&lt;=0,0,IF(AND($I6&gt;0,MOD(AC5-2017,3)=0),AB6+$I6,AB6)*IF($J6="cpi",(1+TechnicalInputs!$D$2),IF($J6="cci",(1+TechnicalInputs!$D$3),IF($J6="none",1,"error")))))</f>
        <v>0.28000000000000003</v>
      </c>
      <c r="AD6" s="43">
        <f>IF($M6-AD$5&lt;=0,0,IF($L6-AD$5&lt;=0,0,IF(AND($I6&gt;0,MOD(AD5-2017,3)=0),AC6+$I6,AC6)*IF($J6="cpi",(1+TechnicalInputs!$D$2),IF($J6="cci",(1+TechnicalInputs!$D$3),IF($J6="none",1,"error")))))</f>
        <v>0.28000000000000003</v>
      </c>
      <c r="AE6" s="43">
        <f>IF($M6-AE$5&lt;=0,0,IF($L6-AE$5&lt;=0,0,IF(AND($I6&gt;0,MOD(AE5-2017,3)=0),AD6+$I6,AD6)*IF($J6="cpi",(1+TechnicalInputs!$D$2),IF($J6="cci",(1+TechnicalInputs!$D$3),IF($J6="none",1,"error")))))</f>
        <v>0.28000000000000003</v>
      </c>
      <c r="AF6" s="43">
        <f>IF($M6-AF$5&lt;=0,0,IF($L6-AF$5&lt;=0,0,IF(AND($I6&gt;0,MOD(AF5-2017,3)=0),AE6+$I6,AE6)*IF($J6="cpi",(1+TechnicalInputs!$D$2),IF($J6="cci",(1+TechnicalInputs!$D$3),IF($J6="none",1,"error")))))</f>
        <v>0.28000000000000003</v>
      </c>
      <c r="AG6" s="43">
        <f>IF($M6-AG$5&lt;=0,0,IF($L6-AG$5&lt;=0,0,IF(AND($I6&gt;0,MOD(AG5-2017,3)=0),AF6+$I6,AF6)*IF($J6="cpi",(1+TechnicalInputs!$D$2),IF($J6="cci",(1+TechnicalInputs!$D$3),IF($J6="none",1,"error")))))</f>
        <v>0.28000000000000003</v>
      </c>
      <c r="AH6" s="43">
        <f>IF($M6-AH$5&lt;=0,0,IF($L6-AH$5&lt;=0,0,IF(AND($I6&gt;0,MOD(AH5-2017,3)=0),AG6+$I6,AG6)*IF($J6="cpi",(1+TechnicalInputs!$D$2),IF($J6="cci",(1+TechnicalInputs!$D$3),IF($J6="none",1,"error")))))</f>
        <v>0.28000000000000003</v>
      </c>
      <c r="AI6" s="43">
        <f>IF($M6-AI$5&lt;=0,0,IF($L6-AI$5&lt;=0,0,IF(AND($I6&gt;0,MOD(AI5-2017,3)=0),AH6+$I6,AH6)*IF($J6="cpi",(1+TechnicalInputs!$D$2),IF($J6="cci",(1+TechnicalInputs!$D$3),IF($J6="none",1,"error")))))</f>
        <v>0.28000000000000003</v>
      </c>
      <c r="AJ6" s="43">
        <f>IF($M6-AJ$5&lt;=0,0,IF($L6-AJ$5&lt;=0,0,IF(AND($I6&gt;0,MOD(AJ5-2017,3)=0),AI6+$I6,AI6)*IF($J6="cpi",(1+TechnicalInputs!$D$2),IF($J6="cci",(1+TechnicalInputs!$D$3),IF($J6="none",1,"error")))))</f>
        <v>0.28000000000000003</v>
      </c>
    </row>
    <row r="7" spans="1:36">
      <c r="A7" s="223"/>
      <c r="B7" s="224"/>
      <c r="C7" s="3" t="s">
        <v>41</v>
      </c>
      <c r="D7" s="227"/>
      <c r="E7" s="112">
        <v>0.52</v>
      </c>
      <c r="F7" s="119">
        <v>0.52</v>
      </c>
      <c r="G7" s="45">
        <v>0.16</v>
      </c>
      <c r="H7" s="121">
        <v>0.16</v>
      </c>
      <c r="I7" s="126">
        <v>0</v>
      </c>
      <c r="J7" s="127" t="s">
        <v>119</v>
      </c>
      <c r="K7" s="127">
        <v>2036</v>
      </c>
      <c r="L7" s="127">
        <v>2036</v>
      </c>
      <c r="M7" s="127">
        <v>2036</v>
      </c>
      <c r="N7" s="38"/>
      <c r="P7" s="38">
        <f t="shared" ref="P7:P8" si="1">G7</f>
        <v>0.16</v>
      </c>
      <c r="Q7" s="43">
        <f t="shared" ref="Q7:Q8" si="2">P7</f>
        <v>0.16</v>
      </c>
      <c r="R7" s="43">
        <f t="shared" ref="R7:R24" si="3">H7</f>
        <v>0.16</v>
      </c>
      <c r="S7" s="43">
        <f>IF($M7-S$5&lt;=0,0,IF($L7-S$5&lt;=0,0,IF(AND($I7&gt;0,MOD(S5-2017,3)=0),R7+$I7,R7)*IF($J7="cpi",(1+TechnicalInputs!$D$2),IF($J7="cci",(1+TechnicalInputs!$D$3),IF($J7="none",1,"error")))))</f>
        <v>0.16</v>
      </c>
      <c r="T7" s="43">
        <f>IF($M7-T$5&lt;=0,0,IF($L7-T$5&lt;=0,0,IF(AND($I7&gt;0,MOD(T5-2017,3)=0),S7+$I7,S7)*IF($J7="cpi",(1+TechnicalInputs!$D$2),IF($J7="cci",(1+TechnicalInputs!$D$3),IF($J7="none",1,"error")))))</f>
        <v>0.16</v>
      </c>
      <c r="U7" s="43">
        <f>IF($M7-U$5&lt;=0,0,IF($L7-U$5&lt;=0,0,IF(AND($I7&gt;0,MOD(U5-2017,3)=0),T7+$I7,T7)*IF($J7="cpi",(1+TechnicalInputs!$D$2),IF($J7="cci",(1+TechnicalInputs!$D$3),IF($J7="none",1,"error")))))</f>
        <v>0.16</v>
      </c>
      <c r="V7" s="43">
        <f>IF($M7-V$5&lt;=0,0,IF($L7-V$5&lt;=0,0,IF(AND($I7&gt;0,MOD(V5-2017,3)=0),U7+$I7,U7)*IF($J7="cpi",(1+TechnicalInputs!$D$2),IF($J7="cci",(1+TechnicalInputs!$D$3),IF($J7="none",1,"error")))))</f>
        <v>0.16</v>
      </c>
      <c r="W7" s="43">
        <f>IF($M7-W$5&lt;=0,0,IF($L7-W$5&lt;=0,0,IF(AND($I7&gt;0,MOD(W5-2017,3)=0),V7+$I7,V7)*IF($J7="cpi",(1+TechnicalInputs!$D$2),IF($J7="cci",(1+TechnicalInputs!$D$3),IF($J7="none",1,"error")))))</f>
        <v>0.16</v>
      </c>
      <c r="X7" s="43">
        <f>IF($M7-X$5&lt;=0,0,IF($L7-X$5&lt;=0,0,IF(AND($I7&gt;0,MOD(X5-2017,3)=0),W7+$I7,W7)*IF($J7="cpi",(1+TechnicalInputs!$D$2),IF($J7="cci",(1+TechnicalInputs!$D$3),IF($J7="none",1,"error")))))</f>
        <v>0.16</v>
      </c>
      <c r="Y7" s="43">
        <f>IF($M7-Y$5&lt;=0,0,IF($L7-Y$5&lt;=0,0,IF(AND($I7&gt;0,MOD(Y5-2017,3)=0),X7+$I7,X7)*IF($J7="cpi",(1+TechnicalInputs!$D$2),IF($J7="cci",(1+TechnicalInputs!$D$3),IF($J7="none",1,"error")))))</f>
        <v>0.16</v>
      </c>
      <c r="Z7" s="43">
        <f>IF($M7-Z$5&lt;=0,0,IF($L7-Z$5&lt;=0,0,IF(AND($I7&gt;0,MOD(Z5-2017,3)=0),Y7+$I7,Y7)*IF($J7="cpi",(1+TechnicalInputs!$D$2),IF($J7="cci",(1+TechnicalInputs!$D$3),IF($J7="none",1,"error")))))</f>
        <v>0.16</v>
      </c>
      <c r="AA7" s="43">
        <f>IF($M7-AA$5&lt;=0,0,IF($L7-AA$5&lt;=0,0,IF(AND($I7&gt;0,MOD(AA5-2017,3)=0),Z7+$I7,Z7)*IF($J7="cpi",(1+TechnicalInputs!$D$2),IF($J7="cci",(1+TechnicalInputs!$D$3),IF($J7="none",1,"error")))))</f>
        <v>0.16</v>
      </c>
      <c r="AB7" s="43">
        <f>IF($M7-AB$5&lt;=0,0,IF($L7-AB$5&lt;=0,0,IF(AND($I7&gt;0,MOD(AB5-2017,3)=0),AA7+$I7,AA7)*IF($J7="cpi",(1+TechnicalInputs!$D$2),IF($J7="cci",(1+TechnicalInputs!$D$3),IF($J7="none",1,"error")))))</f>
        <v>0.16</v>
      </c>
      <c r="AC7" s="43">
        <f>IF($M7-AC$5&lt;=0,0,IF($L7-AC$5&lt;=0,0,IF(AND($I7&gt;0,MOD(AC5-2017,3)=0),AB7+$I7,AB7)*IF($J7="cpi",(1+TechnicalInputs!$D$2),IF($J7="cci",(1+TechnicalInputs!$D$3),IF($J7="none",1,"error")))))</f>
        <v>0.16</v>
      </c>
      <c r="AD7" s="43">
        <f>IF($M7-AD$5&lt;=0,0,IF($L7-AD$5&lt;=0,0,IF(AND($I7&gt;0,MOD(AD5-2017,3)=0),AC7+$I7,AC7)*IF($J7="cpi",(1+TechnicalInputs!$D$2),IF($J7="cci",(1+TechnicalInputs!$D$3),IF($J7="none",1,"error")))))</f>
        <v>0.16</v>
      </c>
      <c r="AE7" s="43">
        <f>IF($M7-AE$5&lt;=0,0,IF($L7-AE$5&lt;=0,0,IF(AND($I7&gt;0,MOD(AE5-2017,3)=0),AD7+$I7,AD7)*IF($J7="cpi",(1+TechnicalInputs!$D$2),IF($J7="cci",(1+TechnicalInputs!$D$3),IF($J7="none",1,"error")))))</f>
        <v>0.16</v>
      </c>
      <c r="AF7" s="43">
        <f>IF($M7-AF$5&lt;=0,0,IF($L7-AF$5&lt;=0,0,IF(AND($I7&gt;0,MOD(AF5-2017,3)=0),AE7+$I7,AE7)*IF($J7="cpi",(1+TechnicalInputs!$D$2),IF($J7="cci",(1+TechnicalInputs!$D$3),IF($J7="none",1,"error")))))</f>
        <v>0.16</v>
      </c>
      <c r="AG7" s="43">
        <f>IF($M7-AG$5&lt;=0,0,IF($L7-AG$5&lt;=0,0,IF(AND($I7&gt;0,MOD(AG5-2017,3)=0),AF7+$I7,AF7)*IF($J7="cpi",(1+TechnicalInputs!$D$2),IF($J7="cci",(1+TechnicalInputs!$D$3),IF($J7="none",1,"error")))))</f>
        <v>0.16</v>
      </c>
      <c r="AH7" s="43">
        <f>IF($M7-AH$5&lt;=0,0,IF($L7-AH$5&lt;=0,0,IF(AND($I7&gt;0,MOD(AH5-2017,3)=0),AG7+$I7,AG7)*IF($J7="cpi",(1+TechnicalInputs!$D$2),IF($J7="cci",(1+TechnicalInputs!$D$3),IF($J7="none",1,"error")))))</f>
        <v>0.16</v>
      </c>
      <c r="AI7" s="43">
        <f>IF($M7-AI$5&lt;=0,0,IF($L7-AI$5&lt;=0,0,IF(AND($I7&gt;0,MOD(AI5-2017,3)=0),AH7+$I7,AH7)*IF($J7="cpi",(1+TechnicalInputs!$D$2),IF($J7="cci",(1+TechnicalInputs!$D$3),IF($J7="none",1,"error")))))</f>
        <v>0.16</v>
      </c>
      <c r="AJ7" s="43">
        <f>IF($M7-AJ$5&lt;=0,0,IF($L7-AJ$5&lt;=0,0,IF(AND($I7&gt;0,MOD(AJ5-2017,3)=0),AI7+$I7,AI7)*IF($J7="cpi",(1+TechnicalInputs!$D$2),IF($J7="cci",(1+TechnicalInputs!$D$3),IF($J7="none",1,"error")))))</f>
        <v>0.16</v>
      </c>
    </row>
    <row r="8" spans="1:36">
      <c r="A8" s="223"/>
      <c r="B8" s="224"/>
      <c r="C8" s="3" t="s">
        <v>42</v>
      </c>
      <c r="D8" s="227"/>
      <c r="E8" s="112">
        <v>0.78</v>
      </c>
      <c r="F8" s="119">
        <v>0.78</v>
      </c>
      <c r="G8" s="45">
        <v>0.11</v>
      </c>
      <c r="H8" s="121">
        <v>0.11</v>
      </c>
      <c r="I8" s="126">
        <v>0</v>
      </c>
      <c r="J8" s="127" t="s">
        <v>119</v>
      </c>
      <c r="K8" s="127">
        <v>2036</v>
      </c>
      <c r="L8" s="127">
        <v>2036</v>
      </c>
      <c r="M8" s="127">
        <v>2036</v>
      </c>
      <c r="N8" s="38"/>
      <c r="P8" s="38">
        <f t="shared" si="1"/>
        <v>0.11</v>
      </c>
      <c r="Q8" s="43">
        <f t="shared" si="2"/>
        <v>0.11</v>
      </c>
      <c r="R8" s="43">
        <f t="shared" si="3"/>
        <v>0.11</v>
      </c>
      <c r="S8" s="43">
        <f>IF($M8-S$5&lt;=0,0,IF($L8-S$5&lt;=0,0,IF(AND($I8&gt;0,MOD(S5-2017,3)=0),R8+$I8,R8)*IF($J8="cpi",(1+TechnicalInputs!$D$2),IF($J8="cci",(1+TechnicalInputs!$D$3),IF($J8="none",1,"error")))))</f>
        <v>0.11</v>
      </c>
      <c r="T8" s="43">
        <f>IF($M8-T$5&lt;=0,0,IF($L8-T$5&lt;=0,0,IF(AND($I8&gt;0,MOD(T5-2017,3)=0),S8+$I8,S8)*IF($J8="cpi",(1+TechnicalInputs!$D$2),IF($J8="cci",(1+TechnicalInputs!$D$3),IF($J8="none",1,"error")))))</f>
        <v>0.11</v>
      </c>
      <c r="U8" s="43">
        <f>IF($M8-U$5&lt;=0,0,IF($L8-U$5&lt;=0,0,IF(AND($I8&gt;0,MOD(U5-2017,3)=0),T8+$I8,T8)*IF($J8="cpi",(1+TechnicalInputs!$D$2),IF($J8="cci",(1+TechnicalInputs!$D$3),IF($J8="none",1,"error")))))</f>
        <v>0.11</v>
      </c>
      <c r="V8" s="43">
        <f>IF($M8-V$5&lt;=0,0,IF($L8-V$5&lt;=0,0,IF(AND($I8&gt;0,MOD(V5-2017,3)=0),U8+$I8,U8)*IF($J8="cpi",(1+TechnicalInputs!$D$2),IF($J8="cci",(1+TechnicalInputs!$D$3),IF($J8="none",1,"error")))))</f>
        <v>0.11</v>
      </c>
      <c r="W8" s="43">
        <f>IF($M8-W$5&lt;=0,0,IF($L8-W$5&lt;=0,0,IF(AND($I8&gt;0,MOD(W5-2017,3)=0),V8+$I8,V8)*IF($J8="cpi",(1+TechnicalInputs!$D$2),IF($J8="cci",(1+TechnicalInputs!$D$3),IF($J8="none",1,"error")))))</f>
        <v>0.11</v>
      </c>
      <c r="X8" s="43">
        <f>IF($M8-X$5&lt;=0,0,IF($L8-X$5&lt;=0,0,IF(AND($I8&gt;0,MOD(X5-2017,3)=0),W8+$I8,W8)*IF($J8="cpi",(1+TechnicalInputs!$D$2),IF($J8="cci",(1+TechnicalInputs!$D$3),IF($J8="none",1,"error")))))</f>
        <v>0.11</v>
      </c>
      <c r="Y8" s="43">
        <f>IF($M8-Y$5&lt;=0,0,IF($L8-Y$5&lt;=0,0,IF(AND($I8&gt;0,MOD(Y5-2017,3)=0),X8+$I8,X8)*IF($J8="cpi",(1+TechnicalInputs!$D$2),IF($J8="cci",(1+TechnicalInputs!$D$3),IF($J8="none",1,"error")))))</f>
        <v>0.11</v>
      </c>
      <c r="Z8" s="43">
        <f>IF($M8-Z$5&lt;=0,0,IF($L8-Z$5&lt;=0,0,IF(AND($I8&gt;0,MOD(Z5-2017,3)=0),Y8+$I8,Y8)*IF($J8="cpi",(1+TechnicalInputs!$D$2),IF($J8="cci",(1+TechnicalInputs!$D$3),IF($J8="none",1,"error")))))</f>
        <v>0.11</v>
      </c>
      <c r="AA8" s="43">
        <f>IF($M8-AA$5&lt;=0,0,IF($L8-AA$5&lt;=0,0,IF(AND($I8&gt;0,MOD(AA5-2017,3)=0),Z8+$I8,Z8)*IF($J8="cpi",(1+TechnicalInputs!$D$2),IF($J8="cci",(1+TechnicalInputs!$D$3),IF($J8="none",1,"error")))))</f>
        <v>0.11</v>
      </c>
      <c r="AB8" s="43">
        <f>IF($M8-AB$5&lt;=0,0,IF($L8-AB$5&lt;=0,0,IF(AND($I8&gt;0,MOD(AB5-2017,3)=0),AA8+$I8,AA8)*IF($J8="cpi",(1+TechnicalInputs!$D$2),IF($J8="cci",(1+TechnicalInputs!$D$3),IF($J8="none",1,"error")))))</f>
        <v>0.11</v>
      </c>
      <c r="AC8" s="43">
        <f>IF($M8-AC$5&lt;=0,0,IF($L8-AC$5&lt;=0,0,IF(AND($I8&gt;0,MOD(AC5-2017,3)=0),AB8+$I8,AB8)*IF($J8="cpi",(1+TechnicalInputs!$D$2),IF($J8="cci",(1+TechnicalInputs!$D$3),IF($J8="none",1,"error")))))</f>
        <v>0.11</v>
      </c>
      <c r="AD8" s="43">
        <f>IF($M8-AD$5&lt;=0,0,IF($L8-AD$5&lt;=0,0,IF(AND($I8&gt;0,MOD(AD5-2017,3)=0),AC8+$I8,AC8)*IF($J8="cpi",(1+TechnicalInputs!$D$2),IF($J8="cci",(1+TechnicalInputs!$D$3),IF($J8="none",1,"error")))))</f>
        <v>0.11</v>
      </c>
      <c r="AE8" s="43">
        <f>IF($M8-AE$5&lt;=0,0,IF($L8-AE$5&lt;=0,0,IF(AND($I8&gt;0,MOD(AE5-2017,3)=0),AD8+$I8,AD8)*IF($J8="cpi",(1+TechnicalInputs!$D$2),IF($J8="cci",(1+TechnicalInputs!$D$3),IF($J8="none",1,"error")))))</f>
        <v>0.11</v>
      </c>
      <c r="AF8" s="43">
        <f>IF($M8-AF$5&lt;=0,0,IF($L8-AF$5&lt;=0,0,IF(AND($I8&gt;0,MOD(AF5-2017,3)=0),AE8+$I8,AE8)*IF($J8="cpi",(1+TechnicalInputs!$D$2),IF($J8="cci",(1+TechnicalInputs!$D$3),IF($J8="none",1,"error")))))</f>
        <v>0.11</v>
      </c>
      <c r="AG8" s="43">
        <f>IF($M8-AG$5&lt;=0,0,IF($L8-AG$5&lt;=0,0,IF(AND($I8&gt;0,MOD(AG5-2017,3)=0),AF8+$I8,AF8)*IF($J8="cpi",(1+TechnicalInputs!$D$2),IF($J8="cci",(1+TechnicalInputs!$D$3),IF($J8="none",1,"error")))))</f>
        <v>0.11</v>
      </c>
      <c r="AH8" s="43">
        <f>IF($M8-AH$5&lt;=0,0,IF($L8-AH$5&lt;=0,0,IF(AND($I8&gt;0,MOD(AH5-2017,3)=0),AG8+$I8,AG8)*IF($J8="cpi",(1+TechnicalInputs!$D$2),IF($J8="cci",(1+TechnicalInputs!$D$3),IF($J8="none",1,"error")))))</f>
        <v>0.11</v>
      </c>
      <c r="AI8" s="43">
        <f>IF($M8-AI$5&lt;=0,0,IF($L8-AI$5&lt;=0,0,IF(AND($I8&gt;0,MOD(AI5-2017,3)=0),AH8+$I8,AH8)*IF($J8="cpi",(1+TechnicalInputs!$D$2),IF($J8="cci",(1+TechnicalInputs!$D$3),IF($J8="none",1,"error")))))</f>
        <v>0.11</v>
      </c>
      <c r="AJ8" s="43">
        <f>IF($M8-AJ$5&lt;=0,0,IF($L8-AJ$5&lt;=0,0,IF(AND($I8&gt;0,MOD(AJ5-2017,3)=0),AI8+$I8,AI8)*IF($J8="cpi",(1+TechnicalInputs!$D$2),IF($J8="cci",(1+TechnicalInputs!$D$3),IF($J8="none",1,"error")))))</f>
        <v>0.11</v>
      </c>
    </row>
    <row r="9" spans="1:36">
      <c r="A9" s="223"/>
      <c r="B9" s="17" t="s">
        <v>1</v>
      </c>
      <c r="C9" s="3" t="s">
        <v>2</v>
      </c>
      <c r="D9" s="3" t="s">
        <v>135</v>
      </c>
      <c r="E9" s="113" t="s">
        <v>62</v>
      </c>
      <c r="F9" s="120">
        <v>1</v>
      </c>
      <c r="G9" s="46">
        <v>7.0000000000000007E-2</v>
      </c>
      <c r="H9" s="122">
        <v>7.0000000000000007E-2</v>
      </c>
      <c r="I9" s="13"/>
      <c r="J9" s="13"/>
      <c r="K9" s="127">
        <v>2036</v>
      </c>
      <c r="L9" s="127">
        <v>2036</v>
      </c>
      <c r="M9" s="127">
        <v>2036</v>
      </c>
      <c r="N9" s="41"/>
      <c r="P9" s="41">
        <v>0</v>
      </c>
      <c r="Q9" s="42">
        <v>0</v>
      </c>
      <c r="R9" s="41">
        <f>MAX(0,H9-0.07)</f>
        <v>0</v>
      </c>
      <c r="S9" s="42">
        <f t="shared" ref="S9:AJ9" si="4">IF($M9-S$5&lt;=0,0,IF($L9-S$5&lt;=0,0,R9))</f>
        <v>0</v>
      </c>
      <c r="T9" s="42">
        <f t="shared" si="4"/>
        <v>0</v>
      </c>
      <c r="U9" s="42">
        <f t="shared" si="4"/>
        <v>0</v>
      </c>
      <c r="V9" s="42">
        <f t="shared" si="4"/>
        <v>0</v>
      </c>
      <c r="W9" s="42">
        <f t="shared" si="4"/>
        <v>0</v>
      </c>
      <c r="X9" s="42">
        <f t="shared" si="4"/>
        <v>0</v>
      </c>
      <c r="Y9" s="42">
        <f t="shared" si="4"/>
        <v>0</v>
      </c>
      <c r="Z9" s="42">
        <f t="shared" si="4"/>
        <v>0</v>
      </c>
      <c r="AA9" s="42">
        <f t="shared" si="4"/>
        <v>0</v>
      </c>
      <c r="AB9" s="42">
        <f t="shared" si="4"/>
        <v>0</v>
      </c>
      <c r="AC9" s="42">
        <f t="shared" si="4"/>
        <v>0</v>
      </c>
      <c r="AD9" s="42">
        <f t="shared" si="4"/>
        <v>0</v>
      </c>
      <c r="AE9" s="42">
        <f t="shared" si="4"/>
        <v>0</v>
      </c>
      <c r="AF9" s="42">
        <f t="shared" si="4"/>
        <v>0</v>
      </c>
      <c r="AG9" s="42">
        <f t="shared" si="4"/>
        <v>0</v>
      </c>
      <c r="AH9" s="42">
        <f t="shared" si="4"/>
        <v>0</v>
      </c>
      <c r="AI9" s="42">
        <f t="shared" si="4"/>
        <v>0</v>
      </c>
      <c r="AJ9" s="42">
        <f t="shared" si="4"/>
        <v>0</v>
      </c>
    </row>
    <row r="10" spans="1:36">
      <c r="A10" s="233" t="s">
        <v>52</v>
      </c>
      <c r="B10" s="2" t="s">
        <v>31</v>
      </c>
      <c r="C10" s="4" t="s">
        <v>53</v>
      </c>
      <c r="D10" s="3" t="s">
        <v>123</v>
      </c>
      <c r="E10" s="113">
        <v>0.66</v>
      </c>
      <c r="F10" s="120">
        <v>0.66</v>
      </c>
      <c r="G10" s="45">
        <v>2.92</v>
      </c>
      <c r="H10" s="121">
        <v>2.92</v>
      </c>
      <c r="I10" s="109"/>
      <c r="J10" s="127" t="s">
        <v>119</v>
      </c>
      <c r="K10" s="13"/>
      <c r="L10" s="13"/>
      <c r="M10" s="127">
        <v>2036</v>
      </c>
      <c r="N10" s="38"/>
      <c r="P10" s="38">
        <f>G10</f>
        <v>2.92</v>
      </c>
      <c r="Q10" s="38">
        <f t="shared" ref="Q10:Q21" si="5">P10</f>
        <v>2.92</v>
      </c>
      <c r="R10" s="43">
        <f t="shared" si="3"/>
        <v>2.92</v>
      </c>
      <c r="S10" s="38">
        <f>IF($M10-S$5&lt;=0,0,IF($J10="cpi",R10*(1+TechnicalInputs!$D$2),IF($J10="cci",R10(1+TechnicalInputs!$D$3),IF($J10="none",R10,"error"))))</f>
        <v>2.92</v>
      </c>
      <c r="T10" s="38">
        <f>IF($M10-T$5&lt;=0,0,IF($J10="cpi",S10*(1+TechnicalInputs!$D$2),IF($J10="cci",S10(1+TechnicalInputs!$D$3),IF($J10="none",S10,"error"))))</f>
        <v>2.92</v>
      </c>
      <c r="U10" s="38">
        <f>IF($M10-U$5&lt;=0,0,IF($J10="cpi",T10*(1+TechnicalInputs!$D$2),IF($J10="cci",T10(1+TechnicalInputs!$D$3),IF($J10="none",T10,"error"))))</f>
        <v>2.92</v>
      </c>
      <c r="V10" s="38">
        <f>IF($M10-V$5&lt;=0,0,IF($J10="cpi",U10*(1+TechnicalInputs!$D$2),IF($J10="cci",U10(1+TechnicalInputs!$D$3),IF($J10="none",U10,"error"))))</f>
        <v>2.92</v>
      </c>
      <c r="W10" s="38">
        <f>IF($M10-W$5&lt;=0,0,IF($J10="cpi",V10*(1+TechnicalInputs!$D$2),IF($J10="cci",V10(1+TechnicalInputs!$D$3),IF($J10="none",V10,"error"))))</f>
        <v>2.92</v>
      </c>
      <c r="X10" s="38">
        <f>IF($M10-X$5&lt;=0,0,IF($J10="cpi",W10*(1+TechnicalInputs!$D$2),IF($J10="cci",W10(1+TechnicalInputs!$D$3),IF($J10="none",W10,"error"))))</f>
        <v>2.92</v>
      </c>
      <c r="Y10" s="38">
        <f>IF($M10-Y$5&lt;=0,0,IF($J10="cpi",X10*(1+TechnicalInputs!$D$2),IF($J10="cci",X10(1+TechnicalInputs!$D$3),IF($J10="none",X10,"error"))))</f>
        <v>2.92</v>
      </c>
      <c r="Z10" s="38">
        <f>IF($M10-Z$5&lt;=0,0,IF($J10="cpi",Y10*(1+TechnicalInputs!$D$2),IF($J10="cci",Y10(1+TechnicalInputs!$D$3),IF($J10="none",Y10,"error"))))</f>
        <v>2.92</v>
      </c>
      <c r="AA10" s="38">
        <f>IF($M10-AA$5&lt;=0,0,IF($J10="cpi",Z10*(1+TechnicalInputs!$D$2),IF($J10="cci",Z10(1+TechnicalInputs!$D$3),IF($J10="none",Z10,"error"))))</f>
        <v>2.92</v>
      </c>
      <c r="AB10" s="38">
        <f>IF($M10-AB$5&lt;=0,0,IF($J10="cpi",AA10*(1+TechnicalInputs!$D$2),IF($J10="cci",AA10(1+TechnicalInputs!$D$3),IF($J10="none",AA10,"error"))))</f>
        <v>2.92</v>
      </c>
      <c r="AC10" s="38">
        <f>IF($M10-AC$5&lt;=0,0,IF($J10="cpi",AB10*(1+TechnicalInputs!$D$2),IF($J10="cci",AB10(1+TechnicalInputs!$D$3),IF($J10="none",AB10,"error"))))</f>
        <v>2.92</v>
      </c>
      <c r="AD10" s="38">
        <f>IF($M10-AD$5&lt;=0,0,IF($J10="cpi",AC10*(1+TechnicalInputs!$D$2),IF($J10="cci",AC10(1+TechnicalInputs!$D$3),IF($J10="none",AC10,"error"))))</f>
        <v>2.92</v>
      </c>
      <c r="AE10" s="38">
        <f>IF($M10-AE$5&lt;=0,0,IF($J10="cpi",AD10*(1+TechnicalInputs!$D$2),IF($J10="cci",AD10(1+TechnicalInputs!$D$3),IF($J10="none",AD10,"error"))))</f>
        <v>2.92</v>
      </c>
      <c r="AF10" s="38">
        <f>IF($M10-AF$5&lt;=0,0,IF($J10="cpi",AE10*(1+TechnicalInputs!$D$2),IF($J10="cci",AE10(1+TechnicalInputs!$D$3),IF($J10="none",AE10,"error"))))</f>
        <v>2.92</v>
      </c>
      <c r="AG10" s="38">
        <f>IF($M10-AG$5&lt;=0,0,IF($J10="cpi",AF10*(1+TechnicalInputs!$D$2),IF($J10="cci",AF10(1+TechnicalInputs!$D$3),IF($J10="none",AF10,"error"))))</f>
        <v>2.92</v>
      </c>
      <c r="AH10" s="38">
        <f>IF($M10-AH$5&lt;=0,0,IF($J10="cpi",AG10*(1+TechnicalInputs!$D$2),IF($J10="cci",AG10(1+TechnicalInputs!$D$3),IF($J10="none",AG10,"error"))))</f>
        <v>2.92</v>
      </c>
      <c r="AI10" s="38">
        <f>IF($M10-AI$5&lt;=0,0,IF($J10="cpi",AH10*(1+TechnicalInputs!$D$2),IF($J10="cci",AH10(1+TechnicalInputs!$D$3),IF($J10="none",AH10,"error"))))</f>
        <v>2.92</v>
      </c>
      <c r="AJ10" s="38">
        <f>IF($M10-AJ$5&lt;=0,0,IF($J10="cpi",AI10*(1+TechnicalInputs!$D$2),IF($J10="cci",AI10(1+TechnicalInputs!$D$3),IF($J10="none",AI10,"error"))))</f>
        <v>2.92</v>
      </c>
    </row>
    <row r="11" spans="1:36">
      <c r="A11" s="233"/>
      <c r="B11" s="234" t="s">
        <v>11</v>
      </c>
      <c r="C11" s="6" t="s">
        <v>151</v>
      </c>
      <c r="D11" s="3" t="s">
        <v>124</v>
      </c>
      <c r="E11" s="113">
        <v>0.66</v>
      </c>
      <c r="F11" s="120">
        <v>0.66</v>
      </c>
      <c r="G11" s="45">
        <v>21.05</v>
      </c>
      <c r="H11" s="121">
        <v>21.05</v>
      </c>
      <c r="I11" s="13"/>
      <c r="J11" s="127" t="s">
        <v>119</v>
      </c>
      <c r="K11" s="13"/>
      <c r="L11" s="13"/>
      <c r="M11" s="127">
        <v>2036</v>
      </c>
      <c r="N11" s="38"/>
      <c r="P11" s="38">
        <f>G11*TechnicalInputs!D35</f>
        <v>28.207000000000004</v>
      </c>
      <c r="Q11" s="38">
        <f t="shared" si="5"/>
        <v>28.207000000000004</v>
      </c>
      <c r="R11" s="38">
        <f>H11*TechnicalInputs!D35</f>
        <v>28.207000000000004</v>
      </c>
      <c r="S11" s="38">
        <f>IF($M11-S$5&lt;=0,0,IF($J11="cpi",R11*(1+TechnicalInputs!$D$2),IF($J11="cci",R11(1+TechnicalInputs!$D$3),IF($J11="none",R11,"error"))))</f>
        <v>28.207000000000004</v>
      </c>
      <c r="T11" s="38">
        <f>IF($M11-T$5&lt;=0,0,IF($J11="cpi",S11*(1+TechnicalInputs!$D$2),IF($J11="cci",S11(1+TechnicalInputs!$D$3),IF($J11="none",S11,"error"))))</f>
        <v>28.207000000000004</v>
      </c>
      <c r="U11" s="38">
        <f>IF($M11-U$5&lt;=0,0,IF($J11="cpi",T11*(1+TechnicalInputs!$D$2),IF($J11="cci",T11(1+TechnicalInputs!$D$3),IF($J11="none",T11,"error"))))</f>
        <v>28.207000000000004</v>
      </c>
      <c r="V11" s="38">
        <f>IF($M11-V$5&lt;=0,0,IF($J11="cpi",U11*(1+TechnicalInputs!$D$2),IF($J11="cci",U11(1+TechnicalInputs!$D$3),IF($J11="none",U11,"error"))))</f>
        <v>28.207000000000004</v>
      </c>
      <c r="W11" s="38">
        <f>IF($M11-W$5&lt;=0,0,IF($J11="cpi",V11*(1+TechnicalInputs!$D$2),IF($J11="cci",V11(1+TechnicalInputs!$D$3),IF($J11="none",V11,"error"))))</f>
        <v>28.207000000000004</v>
      </c>
      <c r="X11" s="38">
        <f>IF($M11-X$5&lt;=0,0,IF($J11="cpi",W11*(1+TechnicalInputs!$D$2),IF($J11="cci",W11(1+TechnicalInputs!$D$3),IF($J11="none",W11,"error"))))</f>
        <v>28.207000000000004</v>
      </c>
      <c r="Y11" s="38">
        <f>IF($M11-Y$5&lt;=0,0,IF($J11="cpi",X11*(1+TechnicalInputs!$D$2),IF($J11="cci",X11(1+TechnicalInputs!$D$3),IF($J11="none",X11,"error"))))</f>
        <v>28.207000000000004</v>
      </c>
      <c r="Z11" s="38">
        <f>IF($M11-Z$5&lt;=0,0,IF($J11="cpi",Y11*(1+TechnicalInputs!$D$2),IF($J11="cci",Y11(1+TechnicalInputs!$D$3),IF($J11="none",Y11,"error"))))</f>
        <v>28.207000000000004</v>
      </c>
      <c r="AA11" s="38">
        <f>IF($M11-AA$5&lt;=0,0,IF($J11="cpi",Z11*(1+TechnicalInputs!$D$2),IF($J11="cci",Z11(1+TechnicalInputs!$D$3),IF($J11="none",Z11,"error"))))</f>
        <v>28.207000000000004</v>
      </c>
      <c r="AB11" s="38">
        <f>IF($M11-AB$5&lt;=0,0,IF($J11="cpi",AA11*(1+TechnicalInputs!$D$2),IF($J11="cci",AA11(1+TechnicalInputs!$D$3),IF($J11="none",AA11,"error"))))</f>
        <v>28.207000000000004</v>
      </c>
      <c r="AC11" s="38">
        <f>IF($M11-AC$5&lt;=0,0,IF($J11="cpi",AB11*(1+TechnicalInputs!$D$2),IF($J11="cci",AB11(1+TechnicalInputs!$D$3),IF($J11="none",AB11,"error"))))</f>
        <v>28.207000000000004</v>
      </c>
      <c r="AD11" s="38">
        <f>IF($M11-AD$5&lt;=0,0,IF($J11="cpi",AC11*(1+TechnicalInputs!$D$2),IF($J11="cci",AC11(1+TechnicalInputs!$D$3),IF($J11="none",AC11,"error"))))</f>
        <v>28.207000000000004</v>
      </c>
      <c r="AE11" s="38">
        <f>IF($M11-AE$5&lt;=0,0,IF($J11="cpi",AD11*(1+TechnicalInputs!$D$2),IF($J11="cci",AD11(1+TechnicalInputs!$D$3),IF($J11="none",AD11,"error"))))</f>
        <v>28.207000000000004</v>
      </c>
      <c r="AF11" s="38">
        <f>IF($M11-AF$5&lt;=0,0,IF($J11="cpi",AE11*(1+TechnicalInputs!$D$2),IF($J11="cci",AE11(1+TechnicalInputs!$D$3),IF($J11="none",AE11,"error"))))</f>
        <v>28.207000000000004</v>
      </c>
      <c r="AG11" s="38">
        <f>IF($M11-AG$5&lt;=0,0,IF($J11="cpi",AF11*(1+TechnicalInputs!$D$2),IF($J11="cci",AF11(1+TechnicalInputs!$D$3),IF($J11="none",AF11,"error"))))</f>
        <v>28.207000000000004</v>
      </c>
      <c r="AH11" s="38">
        <f>IF($M11-AH$5&lt;=0,0,IF($J11="cpi",AG11*(1+TechnicalInputs!$D$2),IF($J11="cci",AG11(1+TechnicalInputs!$D$3),IF($J11="none",AG11,"error"))))</f>
        <v>28.207000000000004</v>
      </c>
      <c r="AI11" s="38">
        <f>IF($M11-AI$5&lt;=0,0,IF($J11="cpi",AH11*(1+TechnicalInputs!$D$2),IF($J11="cci",AH11(1+TechnicalInputs!$D$3),IF($J11="none",AH11,"error"))))</f>
        <v>28.207000000000004</v>
      </c>
      <c r="AJ11" s="38">
        <f>IF($M11-AJ$5&lt;=0,0,IF($J11="cpi",AI11*(1+TechnicalInputs!$D$2),IF($J11="cci",AI11(1+TechnicalInputs!$D$3),IF($J11="none",AI11,"error"))))</f>
        <v>28.207000000000004</v>
      </c>
    </row>
    <row r="12" spans="1:36">
      <c r="A12" s="233"/>
      <c r="B12" s="235"/>
      <c r="C12" s="6" t="s">
        <v>157</v>
      </c>
      <c r="D12" s="3" t="s">
        <v>158</v>
      </c>
      <c r="E12" s="113">
        <v>0.53</v>
      </c>
      <c r="F12" s="120">
        <v>0.53</v>
      </c>
      <c r="G12" s="47" t="s">
        <v>61</v>
      </c>
      <c r="H12" s="122">
        <v>0</v>
      </c>
      <c r="I12" s="13"/>
      <c r="J12" s="127" t="s">
        <v>119</v>
      </c>
      <c r="K12" s="13"/>
      <c r="L12" s="13"/>
      <c r="M12" s="127">
        <v>2036</v>
      </c>
      <c r="N12" s="41"/>
      <c r="P12" s="41">
        <v>0</v>
      </c>
      <c r="Q12" s="41">
        <f t="shared" si="5"/>
        <v>0</v>
      </c>
      <c r="R12" s="41">
        <f t="shared" si="3"/>
        <v>0</v>
      </c>
      <c r="S12" s="41">
        <f t="shared" ref="S12:AJ12" si="6">IF($M12-S$5&lt;=0,0,R12)</f>
        <v>0</v>
      </c>
      <c r="T12" s="41">
        <f t="shared" si="6"/>
        <v>0</v>
      </c>
      <c r="U12" s="41">
        <f t="shared" si="6"/>
        <v>0</v>
      </c>
      <c r="V12" s="41">
        <f t="shared" si="6"/>
        <v>0</v>
      </c>
      <c r="W12" s="41">
        <f t="shared" si="6"/>
        <v>0</v>
      </c>
      <c r="X12" s="41">
        <f t="shared" si="6"/>
        <v>0</v>
      </c>
      <c r="Y12" s="41">
        <f t="shared" si="6"/>
        <v>0</v>
      </c>
      <c r="Z12" s="41">
        <f t="shared" si="6"/>
        <v>0</v>
      </c>
      <c r="AA12" s="41">
        <f t="shared" si="6"/>
        <v>0</v>
      </c>
      <c r="AB12" s="41">
        <f t="shared" si="6"/>
        <v>0</v>
      </c>
      <c r="AC12" s="41">
        <f t="shared" si="6"/>
        <v>0</v>
      </c>
      <c r="AD12" s="41">
        <f t="shared" si="6"/>
        <v>0</v>
      </c>
      <c r="AE12" s="41">
        <f t="shared" si="6"/>
        <v>0</v>
      </c>
      <c r="AF12" s="41">
        <f t="shared" si="6"/>
        <v>0</v>
      </c>
      <c r="AG12" s="41">
        <f t="shared" si="6"/>
        <v>0</v>
      </c>
      <c r="AH12" s="41">
        <f t="shared" si="6"/>
        <v>0</v>
      </c>
      <c r="AI12" s="41">
        <f t="shared" si="6"/>
        <v>0</v>
      </c>
      <c r="AJ12" s="41">
        <f t="shared" si="6"/>
        <v>0</v>
      </c>
    </row>
    <row r="13" spans="1:36">
      <c r="A13" s="233"/>
      <c r="B13" s="2" t="s">
        <v>23</v>
      </c>
      <c r="C13" s="4" t="s">
        <v>24</v>
      </c>
      <c r="D13" s="3" t="s">
        <v>158</v>
      </c>
      <c r="E13" s="113">
        <v>0</v>
      </c>
      <c r="F13" s="120">
        <v>1</v>
      </c>
      <c r="G13" s="47" t="s">
        <v>61</v>
      </c>
      <c r="H13" s="122">
        <v>0</v>
      </c>
      <c r="I13" s="13"/>
      <c r="J13" s="13"/>
      <c r="K13" s="13"/>
      <c r="L13" s="13"/>
      <c r="M13" s="127">
        <v>2036</v>
      </c>
      <c r="N13" s="41"/>
      <c r="P13" s="41">
        <v>0</v>
      </c>
      <c r="Q13" s="41">
        <f t="shared" si="5"/>
        <v>0</v>
      </c>
      <c r="R13" s="41">
        <f t="shared" si="3"/>
        <v>0</v>
      </c>
      <c r="S13" s="41">
        <f t="shared" ref="S13:AI13" si="7">IF($M13-S$5&lt;=0,0,R13)</f>
        <v>0</v>
      </c>
      <c r="T13" s="41">
        <f t="shared" si="7"/>
        <v>0</v>
      </c>
      <c r="U13" s="41">
        <f t="shared" si="7"/>
        <v>0</v>
      </c>
      <c r="V13" s="41">
        <f t="shared" si="7"/>
        <v>0</v>
      </c>
      <c r="W13" s="41">
        <f t="shared" si="7"/>
        <v>0</v>
      </c>
      <c r="X13" s="41">
        <f t="shared" si="7"/>
        <v>0</v>
      </c>
      <c r="Y13" s="41">
        <f t="shared" si="7"/>
        <v>0</v>
      </c>
      <c r="Z13" s="41">
        <f t="shared" si="7"/>
        <v>0</v>
      </c>
      <c r="AA13" s="41">
        <f t="shared" si="7"/>
        <v>0</v>
      </c>
      <c r="AB13" s="41">
        <f t="shared" si="7"/>
        <v>0</v>
      </c>
      <c r="AC13" s="41">
        <f t="shared" si="7"/>
        <v>0</v>
      </c>
      <c r="AD13" s="41">
        <f t="shared" si="7"/>
        <v>0</v>
      </c>
      <c r="AE13" s="41">
        <f t="shared" si="7"/>
        <v>0</v>
      </c>
      <c r="AF13" s="41">
        <f t="shared" si="7"/>
        <v>0</v>
      </c>
      <c r="AG13" s="41">
        <f t="shared" si="7"/>
        <v>0</v>
      </c>
      <c r="AH13" s="41">
        <f t="shared" si="7"/>
        <v>0</v>
      </c>
      <c r="AI13" s="41">
        <f t="shared" si="7"/>
        <v>0</v>
      </c>
      <c r="AJ13" s="41">
        <f>IF($M13-AJ$5&lt;=0,0,AI13)</f>
        <v>0</v>
      </c>
    </row>
    <row r="14" spans="1:36">
      <c r="A14" s="233"/>
      <c r="B14" s="2" t="s">
        <v>34</v>
      </c>
      <c r="C14" s="4" t="s">
        <v>35</v>
      </c>
      <c r="D14" s="3" t="s">
        <v>125</v>
      </c>
      <c r="E14" s="113" t="s">
        <v>62</v>
      </c>
      <c r="F14" s="120">
        <v>1</v>
      </c>
      <c r="G14" s="45" t="s">
        <v>62</v>
      </c>
      <c r="H14" s="121">
        <v>0</v>
      </c>
      <c r="I14" s="13"/>
      <c r="J14" s="127" t="s">
        <v>119</v>
      </c>
      <c r="K14" s="13"/>
      <c r="L14" s="13"/>
      <c r="M14" s="127">
        <v>2036</v>
      </c>
      <c r="N14" s="38"/>
      <c r="P14" s="38">
        <v>0</v>
      </c>
      <c r="Q14" s="38">
        <f t="shared" si="5"/>
        <v>0</v>
      </c>
      <c r="R14" s="43">
        <f t="shared" si="3"/>
        <v>0</v>
      </c>
      <c r="S14" s="38">
        <f>IF($M14-S$5&lt;=0,0,IF($J14="cpi",R14*(1+TechnicalInputs!$D$2),IF($J14="cci",R14(1+TechnicalInputs!$D$3),IF($J14="none",R14,"error"))))</f>
        <v>0</v>
      </c>
      <c r="T14" s="38">
        <f>IF($M14-T$5&lt;=0,0,IF($J14="cpi",S14*(1+TechnicalInputs!$D$2),IF($J14="cci",S14(1+TechnicalInputs!$D$3),IF($J14="none",S14,"error"))))</f>
        <v>0</v>
      </c>
      <c r="U14" s="38">
        <f>IF($M14-U$5&lt;=0,0,IF($J14="cpi",T14*(1+TechnicalInputs!$D$2),IF($J14="cci",T14(1+TechnicalInputs!$D$3),IF($J14="none",T14,"error"))))</f>
        <v>0</v>
      </c>
      <c r="V14" s="38">
        <f>IF($M14-V$5&lt;=0,0,IF($J14="cpi",U14*(1+TechnicalInputs!$D$2),IF($J14="cci",U14(1+TechnicalInputs!$D$3),IF($J14="none",U14,"error"))))</f>
        <v>0</v>
      </c>
      <c r="W14" s="38">
        <f>IF($M14-W$5&lt;=0,0,IF($J14="cpi",V14*(1+TechnicalInputs!$D$2),IF($J14="cci",V14(1+TechnicalInputs!$D$3),IF($J14="none",V14,"error"))))</f>
        <v>0</v>
      </c>
      <c r="X14" s="38">
        <f>IF($M14-X$5&lt;=0,0,IF($J14="cpi",W14*(1+TechnicalInputs!$D$2),IF($J14="cci",W14(1+TechnicalInputs!$D$3),IF($J14="none",W14,"error"))))</f>
        <v>0</v>
      </c>
      <c r="Y14" s="38">
        <f>IF($M14-Y$5&lt;=0,0,IF($J14="cpi",X14*(1+TechnicalInputs!$D$2),IF($J14="cci",X14(1+TechnicalInputs!$D$3),IF($J14="none",X14,"error"))))</f>
        <v>0</v>
      </c>
      <c r="Z14" s="38">
        <f>IF($M14-Z$5&lt;=0,0,IF($J14="cpi",Y14*(1+TechnicalInputs!$D$2),IF($J14="cci",Y14(1+TechnicalInputs!$D$3),IF($J14="none",Y14,"error"))))</f>
        <v>0</v>
      </c>
      <c r="AA14" s="38">
        <f>IF($M14-AA$5&lt;=0,0,IF($J14="cpi",Z14*(1+TechnicalInputs!$D$2),IF($J14="cci",Z14(1+TechnicalInputs!$D$3),IF($J14="none",Z14,"error"))))</f>
        <v>0</v>
      </c>
      <c r="AB14" s="38">
        <f>IF($M14-AB$5&lt;=0,0,IF($J14="cpi",AA14*(1+TechnicalInputs!$D$2),IF($J14="cci",AA14(1+TechnicalInputs!$D$3),IF($J14="none",AA14,"error"))))</f>
        <v>0</v>
      </c>
      <c r="AC14" s="38">
        <f>IF($M14-AC$5&lt;=0,0,IF($J14="cpi",AB14*(1+TechnicalInputs!$D$2),IF($J14="cci",AB14(1+TechnicalInputs!$D$3),IF($J14="none",AB14,"error"))))</f>
        <v>0</v>
      </c>
      <c r="AD14" s="38">
        <f>IF($M14-AD$5&lt;=0,0,IF($J14="cpi",AC14*(1+TechnicalInputs!$D$2),IF($J14="cci",AC14(1+TechnicalInputs!$D$3),IF($J14="none",AC14,"error"))))</f>
        <v>0</v>
      </c>
      <c r="AE14" s="38">
        <f>IF($M14-AE$5&lt;=0,0,IF($J14="cpi",AD14*(1+TechnicalInputs!$D$2),IF($J14="cci",AD14(1+TechnicalInputs!$D$3),IF($J14="none",AD14,"error"))))</f>
        <v>0</v>
      </c>
      <c r="AF14" s="38">
        <f>IF($M14-AF$5&lt;=0,0,IF($J14="cpi",AE14*(1+TechnicalInputs!$D$2),IF($J14="cci",AE14(1+TechnicalInputs!$D$3),IF($J14="none",AE14,"error"))))</f>
        <v>0</v>
      </c>
      <c r="AG14" s="38">
        <f>IF($M14-AG$5&lt;=0,0,IF($J14="cpi",AF14*(1+TechnicalInputs!$D$2),IF($J14="cci",AF14(1+TechnicalInputs!$D$3),IF($J14="none",AF14,"error"))))</f>
        <v>0</v>
      </c>
      <c r="AH14" s="38">
        <f>IF($M14-AH$5&lt;=0,0,IF($J14="cpi",AG14*(1+TechnicalInputs!$D$2),IF($J14="cci",AG14(1+TechnicalInputs!$D$3),IF($J14="none",AG14,"error"))))</f>
        <v>0</v>
      </c>
      <c r="AI14" s="38">
        <f>IF($M14-AI$5&lt;=0,0,IF($J14="cpi",AH14*(1+TechnicalInputs!$D$2),IF($J14="cci",AH14(1+TechnicalInputs!$D$3),IF($J14="none",AH14,"error"))))</f>
        <v>0</v>
      </c>
      <c r="AJ14" s="38">
        <f>IF($M14-AJ$5&lt;=0,0,IF($J14="cpi",AI14*(1+TechnicalInputs!$D$2),IF($J14="cci",AI14(1+TechnicalInputs!$D$3),IF($J14="none",AI14,"error"))))</f>
        <v>0</v>
      </c>
    </row>
    <row r="15" spans="1:36">
      <c r="A15" s="233"/>
      <c r="B15" s="2" t="s">
        <v>29</v>
      </c>
      <c r="C15" s="4" t="s">
        <v>30</v>
      </c>
      <c r="D15" s="3" t="s">
        <v>126</v>
      </c>
      <c r="E15" s="113">
        <v>0.53</v>
      </c>
      <c r="F15" s="120">
        <v>0.53</v>
      </c>
      <c r="G15" s="45" t="s">
        <v>62</v>
      </c>
      <c r="H15" s="122">
        <v>0</v>
      </c>
      <c r="I15" s="13"/>
      <c r="J15" s="13"/>
      <c r="K15" s="13"/>
      <c r="L15" s="13"/>
      <c r="M15" s="127">
        <v>2036</v>
      </c>
      <c r="N15" s="41"/>
      <c r="P15" s="41">
        <v>0</v>
      </c>
      <c r="Q15" s="42">
        <f t="shared" si="5"/>
        <v>0</v>
      </c>
      <c r="R15" s="41">
        <f t="shared" si="3"/>
        <v>0</v>
      </c>
      <c r="S15" s="42">
        <f t="shared" ref="S15:AI15" si="8">IF($M15-S$5&lt;=0,0,R15)</f>
        <v>0</v>
      </c>
      <c r="T15" s="42">
        <f t="shared" si="8"/>
        <v>0</v>
      </c>
      <c r="U15" s="42">
        <f t="shared" si="8"/>
        <v>0</v>
      </c>
      <c r="V15" s="42">
        <f t="shared" si="8"/>
        <v>0</v>
      </c>
      <c r="W15" s="42">
        <f t="shared" si="8"/>
        <v>0</v>
      </c>
      <c r="X15" s="42">
        <f t="shared" si="8"/>
        <v>0</v>
      </c>
      <c r="Y15" s="42">
        <f t="shared" si="8"/>
        <v>0</v>
      </c>
      <c r="Z15" s="42">
        <f t="shared" si="8"/>
        <v>0</v>
      </c>
      <c r="AA15" s="42">
        <f t="shared" si="8"/>
        <v>0</v>
      </c>
      <c r="AB15" s="42">
        <f t="shared" si="8"/>
        <v>0</v>
      </c>
      <c r="AC15" s="42">
        <f t="shared" si="8"/>
        <v>0</v>
      </c>
      <c r="AD15" s="42">
        <f t="shared" si="8"/>
        <v>0</v>
      </c>
      <c r="AE15" s="42">
        <f t="shared" si="8"/>
        <v>0</v>
      </c>
      <c r="AF15" s="42">
        <f t="shared" si="8"/>
        <v>0</v>
      </c>
      <c r="AG15" s="42">
        <f t="shared" si="8"/>
        <v>0</v>
      </c>
      <c r="AH15" s="42">
        <f t="shared" si="8"/>
        <v>0</v>
      </c>
      <c r="AI15" s="42">
        <f t="shared" si="8"/>
        <v>0</v>
      </c>
      <c r="AJ15" s="42">
        <f>IF($M15-AJ$5&lt;=0,0,AI15)</f>
        <v>0</v>
      </c>
    </row>
    <row r="16" spans="1:36">
      <c r="A16" s="233"/>
      <c r="B16" s="2" t="s">
        <v>32</v>
      </c>
      <c r="C16" s="4" t="s">
        <v>33</v>
      </c>
      <c r="D16" s="3" t="s">
        <v>127</v>
      </c>
      <c r="E16" s="113" t="s">
        <v>62</v>
      </c>
      <c r="F16" s="120">
        <v>1</v>
      </c>
      <c r="G16" s="45" t="s">
        <v>62</v>
      </c>
      <c r="H16" s="121">
        <v>0</v>
      </c>
      <c r="I16" s="13"/>
      <c r="J16" s="127" t="s">
        <v>119</v>
      </c>
      <c r="K16" s="13"/>
      <c r="L16" s="13"/>
      <c r="M16" s="127">
        <v>2036</v>
      </c>
      <c r="N16" s="38"/>
      <c r="P16" s="38">
        <v>0</v>
      </c>
      <c r="Q16" s="38">
        <f t="shared" si="5"/>
        <v>0</v>
      </c>
      <c r="R16" s="43">
        <f t="shared" si="3"/>
        <v>0</v>
      </c>
      <c r="S16" s="38">
        <f>IF($M16-S$5&lt;=0,0,IF($J16="cpi",R16*(1+TechnicalInputs!$D$2),IF($J16="cci",R16(1+TechnicalInputs!$D$3),IF($J16="none",R16,"error"))))</f>
        <v>0</v>
      </c>
      <c r="T16" s="38">
        <f>IF($M16-T$5&lt;=0,0,IF($J16="cpi",S16*(1+TechnicalInputs!$D$2),IF($J16="cci",S16(1+TechnicalInputs!$D$3),IF($J16="none",S16,"error"))))</f>
        <v>0</v>
      </c>
      <c r="U16" s="38">
        <f>IF($M16-U$5&lt;=0,0,IF($J16="cpi",T16*(1+TechnicalInputs!$D$2),IF($J16="cci",T16(1+TechnicalInputs!$D$3),IF($J16="none",T16,"error"))))</f>
        <v>0</v>
      </c>
      <c r="V16" s="38">
        <f>IF($M16-V$5&lt;=0,0,IF($J16="cpi",U16*(1+TechnicalInputs!$D$2),IF($J16="cci",U16(1+TechnicalInputs!$D$3),IF($J16="none",U16,"error"))))</f>
        <v>0</v>
      </c>
      <c r="W16" s="38">
        <f>IF($M16-W$5&lt;=0,0,IF($J16="cpi",V16*(1+TechnicalInputs!$D$2),IF($J16="cci",V16(1+TechnicalInputs!$D$3),IF($J16="none",V16,"error"))))</f>
        <v>0</v>
      </c>
      <c r="X16" s="38">
        <f>IF($M16-X$5&lt;=0,0,IF($J16="cpi",W16*(1+TechnicalInputs!$D$2),IF($J16="cci",W16(1+TechnicalInputs!$D$3),IF($J16="none",W16,"error"))))</f>
        <v>0</v>
      </c>
      <c r="Y16" s="38">
        <f>IF($M16-Y$5&lt;=0,0,IF($J16="cpi",X16*(1+TechnicalInputs!$D$2),IF($J16="cci",X16(1+TechnicalInputs!$D$3),IF($J16="none",X16,"error"))))</f>
        <v>0</v>
      </c>
      <c r="Z16" s="38">
        <f>IF($M16-Z$5&lt;=0,0,IF($J16="cpi",Y16*(1+TechnicalInputs!$D$2),IF($J16="cci",Y16(1+TechnicalInputs!$D$3),IF($J16="none",Y16,"error"))))</f>
        <v>0</v>
      </c>
      <c r="AA16" s="38">
        <f>IF($M16-AA$5&lt;=0,0,IF($J16="cpi",Z16*(1+TechnicalInputs!$D$2),IF($J16="cci",Z16(1+TechnicalInputs!$D$3),IF($J16="none",Z16,"error"))))</f>
        <v>0</v>
      </c>
      <c r="AB16" s="38">
        <f>IF($M16-AB$5&lt;=0,0,IF($J16="cpi",AA16*(1+TechnicalInputs!$D$2),IF($J16="cci",AA16(1+TechnicalInputs!$D$3),IF($J16="none",AA16,"error"))))</f>
        <v>0</v>
      </c>
      <c r="AC16" s="38">
        <f>IF($M16-AC$5&lt;=0,0,IF($J16="cpi",AB16*(1+TechnicalInputs!$D$2),IF($J16="cci",AB16(1+TechnicalInputs!$D$3),IF($J16="none",AB16,"error"))))</f>
        <v>0</v>
      </c>
      <c r="AD16" s="38">
        <f>IF($M16-AD$5&lt;=0,0,IF($J16="cpi",AC16*(1+TechnicalInputs!$D$2),IF($J16="cci",AC16(1+TechnicalInputs!$D$3),IF($J16="none",AC16,"error"))))</f>
        <v>0</v>
      </c>
      <c r="AE16" s="38">
        <f>IF($M16-AE$5&lt;=0,0,IF($J16="cpi",AD16*(1+TechnicalInputs!$D$2),IF($J16="cci",AD16(1+TechnicalInputs!$D$3),IF($J16="none",AD16,"error"))))</f>
        <v>0</v>
      </c>
      <c r="AF16" s="38">
        <f>IF($M16-AF$5&lt;=0,0,IF($J16="cpi",AE16*(1+TechnicalInputs!$D$2),IF($J16="cci",AE16(1+TechnicalInputs!$D$3),IF($J16="none",AE16,"error"))))</f>
        <v>0</v>
      </c>
      <c r="AG16" s="38">
        <f>IF($M16-AG$5&lt;=0,0,IF($J16="cpi",AF16*(1+TechnicalInputs!$D$2),IF($J16="cci",AF16(1+TechnicalInputs!$D$3),IF($J16="none",AF16,"error"))))</f>
        <v>0</v>
      </c>
      <c r="AH16" s="38">
        <f>IF($M16-AH$5&lt;=0,0,IF($J16="cpi",AG16*(1+TechnicalInputs!$D$2),IF($J16="cci",AG16(1+TechnicalInputs!$D$3),IF($J16="none",AG16,"error"))))</f>
        <v>0</v>
      </c>
      <c r="AI16" s="38">
        <f>IF($M16-AI$5&lt;=0,0,IF($J16="cpi",AH16*(1+TechnicalInputs!$D$2),IF($J16="cci",AH16(1+TechnicalInputs!$D$3),IF($J16="none",AH16,"error"))))</f>
        <v>0</v>
      </c>
      <c r="AJ16" s="38">
        <f>IF($M16-AJ$5&lt;=0,0,IF($J16="cpi",AI16*(1+TechnicalInputs!$D$2),IF($J16="cci",AI16(1+TechnicalInputs!$D$3),IF($J16="none",AI16,"error"))))</f>
        <v>0</v>
      </c>
    </row>
    <row r="17" spans="1:36">
      <c r="A17" s="233"/>
      <c r="B17" s="2" t="s">
        <v>36</v>
      </c>
      <c r="C17" s="4" t="s">
        <v>37</v>
      </c>
      <c r="D17" s="3" t="s">
        <v>128</v>
      </c>
      <c r="E17" s="113" t="s">
        <v>62</v>
      </c>
      <c r="F17" s="120">
        <v>1</v>
      </c>
      <c r="G17" s="45" t="s">
        <v>62</v>
      </c>
      <c r="H17" s="121">
        <v>0</v>
      </c>
      <c r="I17" s="13"/>
      <c r="J17" s="127" t="s">
        <v>119</v>
      </c>
      <c r="K17" s="13"/>
      <c r="L17" s="13"/>
      <c r="M17" s="127">
        <v>2036</v>
      </c>
      <c r="N17" s="38"/>
      <c r="P17" s="38">
        <v>0</v>
      </c>
      <c r="Q17" s="38">
        <f t="shared" si="5"/>
        <v>0</v>
      </c>
      <c r="R17" s="43">
        <f t="shared" si="3"/>
        <v>0</v>
      </c>
      <c r="S17" s="38">
        <f>IF($M17-S$5&lt;=0,0,IF($J17="cpi",R17*(1+TechnicalInputs!$D$2),IF($J17="cci",R17(1+TechnicalInputs!$D$3),IF($J17="none",R17,"error"))))</f>
        <v>0</v>
      </c>
      <c r="T17" s="38">
        <f>IF($M17-T$5&lt;=0,0,IF($J17="cpi",S17*(1+TechnicalInputs!$D$2),IF($J17="cci",S17(1+TechnicalInputs!$D$3),IF($J17="none",S17,"error"))))</f>
        <v>0</v>
      </c>
      <c r="U17" s="38">
        <f>IF($M17-U$5&lt;=0,0,IF($J17="cpi",T17*(1+TechnicalInputs!$D$2),IF($J17="cci",T17(1+TechnicalInputs!$D$3),IF($J17="none",T17,"error"))))</f>
        <v>0</v>
      </c>
      <c r="V17" s="38">
        <f>IF($M17-V$5&lt;=0,0,IF($J17="cpi",U17*(1+TechnicalInputs!$D$2),IF($J17="cci",U17(1+TechnicalInputs!$D$3),IF($J17="none",U17,"error"))))</f>
        <v>0</v>
      </c>
      <c r="W17" s="38">
        <f>IF($M17-W$5&lt;=0,0,IF($J17="cpi",V17*(1+TechnicalInputs!$D$2),IF($J17="cci",V17(1+TechnicalInputs!$D$3),IF($J17="none",V17,"error"))))</f>
        <v>0</v>
      </c>
      <c r="X17" s="38">
        <f>IF($M17-X$5&lt;=0,0,IF($J17="cpi",W17*(1+TechnicalInputs!$D$2),IF($J17="cci",W17(1+TechnicalInputs!$D$3),IF($J17="none",W17,"error"))))</f>
        <v>0</v>
      </c>
      <c r="Y17" s="38">
        <f>IF($M17-Y$5&lt;=0,0,IF($J17="cpi",X17*(1+TechnicalInputs!$D$2),IF($J17="cci",X17(1+TechnicalInputs!$D$3),IF($J17="none",X17,"error"))))</f>
        <v>0</v>
      </c>
      <c r="Z17" s="38">
        <f>IF($M17-Z$5&lt;=0,0,IF($J17="cpi",Y17*(1+TechnicalInputs!$D$2),IF($J17="cci",Y17(1+TechnicalInputs!$D$3),IF($J17="none",Y17,"error"))))</f>
        <v>0</v>
      </c>
      <c r="AA17" s="38">
        <f>IF($M17-AA$5&lt;=0,0,IF($J17="cpi",Z17*(1+TechnicalInputs!$D$2),IF($J17="cci",Z17(1+TechnicalInputs!$D$3),IF($J17="none",Z17,"error"))))</f>
        <v>0</v>
      </c>
      <c r="AB17" s="38">
        <f>IF($M17-AB$5&lt;=0,0,IF($J17="cpi",AA17*(1+TechnicalInputs!$D$2),IF($J17="cci",AA17(1+TechnicalInputs!$D$3),IF($J17="none",AA17,"error"))))</f>
        <v>0</v>
      </c>
      <c r="AC17" s="38">
        <f>IF($M17-AC$5&lt;=0,0,IF($J17="cpi",AB17*(1+TechnicalInputs!$D$2),IF($J17="cci",AB17(1+TechnicalInputs!$D$3),IF($J17="none",AB17,"error"))))</f>
        <v>0</v>
      </c>
      <c r="AD17" s="38">
        <f>IF($M17-AD$5&lt;=0,0,IF($J17="cpi",AC17*(1+TechnicalInputs!$D$2),IF($J17="cci",AC17(1+TechnicalInputs!$D$3),IF($J17="none",AC17,"error"))))</f>
        <v>0</v>
      </c>
      <c r="AE17" s="38">
        <f>IF($M17-AE$5&lt;=0,0,IF($J17="cpi",AD17*(1+TechnicalInputs!$D$2),IF($J17="cci",AD17(1+TechnicalInputs!$D$3),IF($J17="none",AD17,"error"))))</f>
        <v>0</v>
      </c>
      <c r="AF17" s="38">
        <f>IF($M17-AF$5&lt;=0,0,IF($J17="cpi",AE17*(1+TechnicalInputs!$D$2),IF($J17="cci",AE17(1+TechnicalInputs!$D$3),IF($J17="none",AE17,"error"))))</f>
        <v>0</v>
      </c>
      <c r="AG17" s="38">
        <f>IF($M17-AG$5&lt;=0,0,IF($J17="cpi",AF17*(1+TechnicalInputs!$D$2),IF($J17="cci",AF17(1+TechnicalInputs!$D$3),IF($J17="none",AF17,"error"))))</f>
        <v>0</v>
      </c>
      <c r="AH17" s="38">
        <f>IF($M17-AH$5&lt;=0,0,IF($J17="cpi",AG17*(1+TechnicalInputs!$D$2),IF($J17="cci",AG17(1+TechnicalInputs!$D$3),IF($J17="none",AG17,"error"))))</f>
        <v>0</v>
      </c>
      <c r="AI17" s="38">
        <f>IF($M17-AI$5&lt;=0,0,IF($J17="cpi",AH17*(1+TechnicalInputs!$D$2),IF($J17="cci",AH17(1+TechnicalInputs!$D$3),IF($J17="none",AH17,"error"))))</f>
        <v>0</v>
      </c>
      <c r="AJ17" s="38">
        <f>IF($M17-AJ$5&lt;=0,0,IF($J17="cpi",AI17*(1+TechnicalInputs!$D$2),IF($J17="cci",AI17(1+TechnicalInputs!$D$3),IF($J17="none",AI17,"error"))))</f>
        <v>0</v>
      </c>
    </row>
    <row r="18" spans="1:36">
      <c r="A18" s="233" t="s">
        <v>56</v>
      </c>
      <c r="B18" s="2" t="s">
        <v>15</v>
      </c>
      <c r="C18" s="4" t="s">
        <v>16</v>
      </c>
      <c r="D18" s="3" t="s">
        <v>129</v>
      </c>
      <c r="E18" s="113">
        <v>0.53</v>
      </c>
      <c r="F18" s="120">
        <v>0.53</v>
      </c>
      <c r="G18" s="46">
        <f>7%/100</f>
        <v>7.000000000000001E-4</v>
      </c>
      <c r="H18" s="122">
        <v>6.9999999999999999E-4</v>
      </c>
      <c r="I18" s="13"/>
      <c r="J18" s="13"/>
      <c r="K18" s="13"/>
      <c r="L18" s="13"/>
      <c r="M18" s="127">
        <v>2036</v>
      </c>
      <c r="N18" s="41"/>
      <c r="P18" s="41">
        <f>G18</f>
        <v>7.000000000000001E-4</v>
      </c>
      <c r="Q18" s="42">
        <f t="shared" si="5"/>
        <v>7.000000000000001E-4</v>
      </c>
      <c r="R18" s="43">
        <f t="shared" si="3"/>
        <v>6.9999999999999999E-4</v>
      </c>
      <c r="S18" s="42">
        <f t="shared" ref="S18:AI18" si="9">IF($M18-S$5&lt;=0,0,R18)</f>
        <v>6.9999999999999999E-4</v>
      </c>
      <c r="T18" s="42">
        <f t="shared" si="9"/>
        <v>6.9999999999999999E-4</v>
      </c>
      <c r="U18" s="42">
        <f t="shared" si="9"/>
        <v>6.9999999999999999E-4</v>
      </c>
      <c r="V18" s="42">
        <f t="shared" si="9"/>
        <v>6.9999999999999999E-4</v>
      </c>
      <c r="W18" s="42">
        <f t="shared" si="9"/>
        <v>6.9999999999999999E-4</v>
      </c>
      <c r="X18" s="42">
        <f t="shared" si="9"/>
        <v>6.9999999999999999E-4</v>
      </c>
      <c r="Y18" s="42">
        <f t="shared" si="9"/>
        <v>6.9999999999999999E-4</v>
      </c>
      <c r="Z18" s="42">
        <f t="shared" si="9"/>
        <v>6.9999999999999999E-4</v>
      </c>
      <c r="AA18" s="42">
        <f t="shared" si="9"/>
        <v>6.9999999999999999E-4</v>
      </c>
      <c r="AB18" s="42">
        <f t="shared" si="9"/>
        <v>6.9999999999999999E-4</v>
      </c>
      <c r="AC18" s="42">
        <f t="shared" si="9"/>
        <v>6.9999999999999999E-4</v>
      </c>
      <c r="AD18" s="42">
        <f t="shared" si="9"/>
        <v>6.9999999999999999E-4</v>
      </c>
      <c r="AE18" s="42">
        <f t="shared" si="9"/>
        <v>6.9999999999999999E-4</v>
      </c>
      <c r="AF18" s="42">
        <f t="shared" si="9"/>
        <v>6.9999999999999999E-4</v>
      </c>
      <c r="AG18" s="42">
        <f t="shared" si="9"/>
        <v>6.9999999999999999E-4</v>
      </c>
      <c r="AH18" s="42">
        <f t="shared" si="9"/>
        <v>6.9999999999999999E-4</v>
      </c>
      <c r="AI18" s="42">
        <f t="shared" si="9"/>
        <v>6.9999999999999999E-4</v>
      </c>
      <c r="AJ18" s="42">
        <f>IF($M18-AJ$5&lt;=0,0,AI18)</f>
        <v>6.9999999999999999E-4</v>
      </c>
    </row>
    <row r="19" spans="1:36">
      <c r="A19" s="233"/>
      <c r="B19" s="2" t="s">
        <v>17</v>
      </c>
      <c r="C19" s="4" t="s">
        <v>18</v>
      </c>
      <c r="D19" s="3" t="s">
        <v>130</v>
      </c>
      <c r="E19" s="113" t="s">
        <v>62</v>
      </c>
      <c r="F19" s="120">
        <v>0.53</v>
      </c>
      <c r="G19" s="46">
        <v>7.0000000000000007E-2</v>
      </c>
      <c r="H19" s="122">
        <v>7.0000000000000007E-2</v>
      </c>
      <c r="I19" s="13"/>
      <c r="J19" s="13"/>
      <c r="K19" s="13"/>
      <c r="L19" s="13"/>
      <c r="M19" s="127">
        <v>2036</v>
      </c>
      <c r="N19" s="41"/>
      <c r="P19" s="41">
        <v>0</v>
      </c>
      <c r="Q19" s="42">
        <f t="shared" si="5"/>
        <v>0</v>
      </c>
      <c r="R19" s="41">
        <f>MAX(0,H19-0.07)</f>
        <v>0</v>
      </c>
      <c r="S19" s="42">
        <f t="shared" ref="S19:AI19" si="10">IF($M19-S$5&lt;=0,0,R19)</f>
        <v>0</v>
      </c>
      <c r="T19" s="42">
        <f t="shared" si="10"/>
        <v>0</v>
      </c>
      <c r="U19" s="42">
        <f t="shared" si="10"/>
        <v>0</v>
      </c>
      <c r="V19" s="42">
        <f t="shared" si="10"/>
        <v>0</v>
      </c>
      <c r="W19" s="42">
        <f t="shared" si="10"/>
        <v>0</v>
      </c>
      <c r="X19" s="42">
        <f t="shared" si="10"/>
        <v>0</v>
      </c>
      <c r="Y19" s="42">
        <f t="shared" si="10"/>
        <v>0</v>
      </c>
      <c r="Z19" s="42">
        <f t="shared" si="10"/>
        <v>0</v>
      </c>
      <c r="AA19" s="42">
        <f t="shared" si="10"/>
        <v>0</v>
      </c>
      <c r="AB19" s="42">
        <f t="shared" si="10"/>
        <v>0</v>
      </c>
      <c r="AC19" s="42">
        <f t="shared" si="10"/>
        <v>0</v>
      </c>
      <c r="AD19" s="42">
        <f t="shared" si="10"/>
        <v>0</v>
      </c>
      <c r="AE19" s="42">
        <f t="shared" si="10"/>
        <v>0</v>
      </c>
      <c r="AF19" s="42">
        <f t="shared" si="10"/>
        <v>0</v>
      </c>
      <c r="AG19" s="42">
        <f t="shared" si="10"/>
        <v>0</v>
      </c>
      <c r="AH19" s="42">
        <f t="shared" si="10"/>
        <v>0</v>
      </c>
      <c r="AI19" s="42">
        <f t="shared" si="10"/>
        <v>0</v>
      </c>
      <c r="AJ19" s="42">
        <f>IF($M19-AJ$5&lt;=0,0,AI19)</f>
        <v>0</v>
      </c>
    </row>
    <row r="20" spans="1:36">
      <c r="A20" s="233" t="s">
        <v>45</v>
      </c>
      <c r="B20" s="17" t="s">
        <v>59</v>
      </c>
      <c r="C20" s="3" t="s">
        <v>46</v>
      </c>
      <c r="D20" s="3" t="s">
        <v>65</v>
      </c>
      <c r="E20" s="113" t="s">
        <v>62</v>
      </c>
      <c r="F20" s="120">
        <v>0.56999999999999995</v>
      </c>
      <c r="G20" s="45" t="s">
        <v>62</v>
      </c>
      <c r="H20" s="123">
        <v>0</v>
      </c>
      <c r="I20" s="13"/>
      <c r="J20" s="127" t="s">
        <v>119</v>
      </c>
      <c r="K20" s="127">
        <v>2036</v>
      </c>
      <c r="L20" s="127">
        <v>2036</v>
      </c>
      <c r="M20" s="127">
        <v>2036</v>
      </c>
      <c r="N20" s="38"/>
      <c r="P20" s="38">
        <v>0</v>
      </c>
      <c r="Q20" s="38">
        <f t="shared" si="5"/>
        <v>0</v>
      </c>
      <c r="R20" s="38">
        <f>IF($K$20&gt;R5,0,$H$20)</f>
        <v>0</v>
      </c>
      <c r="S20" s="38">
        <f>IF($M20-S$5&lt;=0,0,IF($J20="cpi",IF($K$20&gt;S5,0,$H$20)*(1+TechnicalInputs!$D$2),IF($J20="cci",IF($K$20&gt;S5,0,$H$20)*(1+TechnicalInputs!$D$3),IF($J20="none",IF($K$20&gt;S5,0,$H$20),"error"))))</f>
        <v>0</v>
      </c>
      <c r="T20" s="38">
        <f>IF($M20-T$5&lt;=0,0,IF($J20="cpi",IF($K$20&gt;T5,0,$H$20)*(1+TechnicalInputs!$D$2),IF($J20="cci",IF($K$20&gt;T5,0,$H$20)*(1+TechnicalInputs!$D$3),IF($J20="none",IF($K$20&gt;T5,0,$H$20),"error"))))</f>
        <v>0</v>
      </c>
      <c r="U20" s="38">
        <f>IF($M20-U$5&lt;=0,0,IF($J20="cpi",IF($K$20&gt;U5,0,$H$20)*(1+TechnicalInputs!$D$2),IF($J20="cci",IF($K$20&gt;U5,0,$H$20)*(1+TechnicalInputs!$D$3),IF($J20="none",IF($K$20&gt;U5,0,$H$20),"error"))))</f>
        <v>0</v>
      </c>
      <c r="V20" s="38">
        <f>IF($M20-V$5&lt;=0,0,IF($J20="cpi",IF($K$20&gt;V5,0,$H$20)*(1+TechnicalInputs!$D$2),IF($J20="cci",IF($K$20&gt;V5,0,$H$20)*(1+TechnicalInputs!$D$3),IF($J20="none",IF($K$20&gt;V5,0,$H$20),"error"))))</f>
        <v>0</v>
      </c>
      <c r="W20" s="38">
        <f>IF($M20-W$5&lt;=0,0,IF($J20="cpi",IF($K$20&gt;W5,0,$H$20)*(1+TechnicalInputs!$D$2),IF($J20="cci",IF($K$20&gt;W5,0,$H$20)*(1+TechnicalInputs!$D$3),IF($J20="none",IF($K$20&gt;W5,0,$H$20),"error"))))</f>
        <v>0</v>
      </c>
      <c r="X20" s="38">
        <f>IF($M20-X$5&lt;=0,0,IF($J20="cpi",IF($K$20&gt;X5,0,$H$20)*(1+TechnicalInputs!$D$2),IF($J20="cci",IF($K$20&gt;X5,0,$H$20)*(1+TechnicalInputs!$D$3),IF($J20="none",IF($K$20&gt;X5,0,$H$20),"error"))))</f>
        <v>0</v>
      </c>
      <c r="Y20" s="38">
        <f>IF($M20-Y$5&lt;=0,0,IF($J20="cpi",IF($K$20&gt;Y5,0,$H$20)*(1+TechnicalInputs!$D$2),IF($J20="cci",IF($K$20&gt;Y5,0,$H$20)*(1+TechnicalInputs!$D$3),IF($J20="none",IF($K$20&gt;Y5,0,$H$20),"error"))))</f>
        <v>0</v>
      </c>
      <c r="Z20" s="38">
        <f>IF($M20-Z$5&lt;=0,0,IF($J20="cpi",IF($K$20&gt;Z5,0,$H$20)*(1+TechnicalInputs!$D$2),IF($J20="cci",IF($K$20&gt;Z5,0,$H$20)*(1+TechnicalInputs!$D$3),IF($J20="none",IF($K$20&gt;Z5,0,$H$20),"error"))))</f>
        <v>0</v>
      </c>
      <c r="AA20" s="38">
        <f>IF($M20-AA$5&lt;=0,0,IF($J20="cpi",IF($K$20&gt;AA5,0,$H$20)*(1+TechnicalInputs!$D$2),IF($J20="cci",IF($K$20&gt;AA5,0,$H$20)*(1+TechnicalInputs!$D$3),IF($J20="none",IF($K$20&gt;AA5,0,$H$20),"error"))))</f>
        <v>0</v>
      </c>
      <c r="AB20" s="38">
        <f>IF($M20-AB$5&lt;=0,0,IF($J20="cpi",IF($K$20&gt;AB5,0,$H$20)*(1+TechnicalInputs!$D$2),IF($J20="cci",IF($K$20&gt;AB5,0,$H$20)*(1+TechnicalInputs!$D$3),IF($J20="none",IF($K$20&gt;AB5,0,$H$20),"error"))))</f>
        <v>0</v>
      </c>
      <c r="AC20" s="38">
        <f>IF($M20-AC$5&lt;=0,0,IF($J20="cpi",IF($K$20&gt;AC5,0,$H$20)*(1+TechnicalInputs!$D$2),IF($J20="cci",IF($K$20&gt;AC5,0,$H$20)*(1+TechnicalInputs!$D$3),IF($J20="none",IF($K$20&gt;AC5,0,$H$20),"error"))))</f>
        <v>0</v>
      </c>
      <c r="AD20" s="38">
        <f>IF($M20-AD$5&lt;=0,0,IF($J20="cpi",IF($K$20&gt;AD5,0,$H$20)*(1+TechnicalInputs!$D$2),IF($J20="cci",IF($K$20&gt;AD5,0,$H$20)*(1+TechnicalInputs!$D$3),IF($J20="none",IF($K$20&gt;AD5,0,$H$20),"error"))))</f>
        <v>0</v>
      </c>
      <c r="AE20" s="38">
        <f>IF($M20-AE$5&lt;=0,0,IF($J20="cpi",IF($K$20&gt;AE5,0,$H$20)*(1+TechnicalInputs!$D$2),IF($J20="cci",IF($K$20&gt;AE5,0,$H$20)*(1+TechnicalInputs!$D$3),IF($J20="none",IF($K$20&gt;AE5,0,$H$20),"error"))))</f>
        <v>0</v>
      </c>
      <c r="AF20" s="38">
        <f>IF($M20-AF$5&lt;=0,0,IF($J20="cpi",IF($K$20&gt;AF5,0,$H$20)*(1+TechnicalInputs!$D$2),IF($J20="cci",IF($K$20&gt;AF5,0,$H$20)*(1+TechnicalInputs!$D$3),IF($J20="none",IF($K$20&gt;AF5,0,$H$20),"error"))))</f>
        <v>0</v>
      </c>
      <c r="AG20" s="38">
        <f>IF($M20-AG$5&lt;=0,0,IF($J20="cpi",IF($K$20&gt;AG5,0,$H$20)*(1+TechnicalInputs!$D$2),IF($J20="cci",IF($K$20&gt;AG5,0,$H$20)*(1+TechnicalInputs!$D$3),IF($J20="none",IF($K$20&gt;AG5,0,$H$20),"error"))))</f>
        <v>0</v>
      </c>
      <c r="AH20" s="38">
        <f>IF($M20-AH$5&lt;=0,0,IF($J20="cpi",IF($K$20&gt;AH5,0,$H$20)*(1+TechnicalInputs!$D$2),IF($J20="cci",IF($K$20&gt;AH5,0,$H$20)*(1+TechnicalInputs!$D$3),IF($J20="none",IF($K$20&gt;AH5,0,$H$20),"error"))))</f>
        <v>0</v>
      </c>
      <c r="AI20" s="38">
        <f>IF($M20-AI$5&lt;=0,0,IF($J20="cpi",IF($K$20&gt;AI5,0,$H$20)*(1+TechnicalInputs!$D$2),IF($J20="cci",IF($K$20&gt;AI5,0,$H$20)*(1+TechnicalInputs!$D$3),IF($J20="none",IF($K$20&gt;AI5,0,$H$20),"error"))))</f>
        <v>0</v>
      </c>
      <c r="AJ20" s="38">
        <f>IF($M20-AJ$5&lt;=0,0,IF($J20="cpi",IF($K$20&gt;AJ5,0,$H$20)*(1+TechnicalInputs!$D$2),IF($J20="cci",IF($K$20&gt;AJ5,0,$H$20)*(1+TechnicalInputs!$D$3),IF($J20="none",IF($K$20&gt;AJ5,0,$H$20),"error"))))</f>
        <v>0</v>
      </c>
    </row>
    <row r="21" spans="1:36" ht="15" customHeight="1">
      <c r="A21" s="233"/>
      <c r="B21" s="17" t="s">
        <v>3</v>
      </c>
      <c r="C21" s="3" t="s">
        <v>49</v>
      </c>
      <c r="D21" s="3" t="s">
        <v>131</v>
      </c>
      <c r="E21" s="113" t="s">
        <v>62</v>
      </c>
      <c r="F21" s="120">
        <v>0.65</v>
      </c>
      <c r="G21" s="45" t="s">
        <v>62</v>
      </c>
      <c r="H21" s="124" t="s">
        <v>119</v>
      </c>
      <c r="I21" s="13"/>
      <c r="J21" s="127" t="s">
        <v>119</v>
      </c>
      <c r="K21" s="127">
        <v>2036</v>
      </c>
      <c r="L21" s="127">
        <v>2036</v>
      </c>
      <c r="M21" s="127">
        <v>2036</v>
      </c>
      <c r="N21" s="38"/>
      <c r="P21" s="38" t="s">
        <v>119</v>
      </c>
      <c r="Q21" s="38" t="str">
        <f t="shared" si="5"/>
        <v>None</v>
      </c>
      <c r="R21" s="38" t="str">
        <f>IF($K$21&gt;R5,"None",$H$21)</f>
        <v>None</v>
      </c>
      <c r="S21" s="38" t="str">
        <f t="shared" ref="S21:AJ21" si="11">IF($K$21&gt;S5,"None",$H$21)</f>
        <v>None</v>
      </c>
      <c r="T21" s="38" t="str">
        <f t="shared" si="11"/>
        <v>None</v>
      </c>
      <c r="U21" s="38" t="str">
        <f t="shared" si="11"/>
        <v>None</v>
      </c>
      <c r="V21" s="38" t="str">
        <f t="shared" si="11"/>
        <v>None</v>
      </c>
      <c r="W21" s="38" t="str">
        <f t="shared" si="11"/>
        <v>None</v>
      </c>
      <c r="X21" s="38" t="str">
        <f t="shared" si="11"/>
        <v>None</v>
      </c>
      <c r="Y21" s="38" t="str">
        <f t="shared" si="11"/>
        <v>None</v>
      </c>
      <c r="Z21" s="38" t="str">
        <f t="shared" si="11"/>
        <v>None</v>
      </c>
      <c r="AA21" s="38" t="str">
        <f t="shared" si="11"/>
        <v>None</v>
      </c>
      <c r="AB21" s="38" t="str">
        <f t="shared" si="11"/>
        <v>None</v>
      </c>
      <c r="AC21" s="38" t="str">
        <f t="shared" si="11"/>
        <v>None</v>
      </c>
      <c r="AD21" s="38" t="str">
        <f t="shared" si="11"/>
        <v>None</v>
      </c>
      <c r="AE21" s="38" t="str">
        <f t="shared" si="11"/>
        <v>None</v>
      </c>
      <c r="AF21" s="38" t="str">
        <f t="shared" si="11"/>
        <v>None</v>
      </c>
      <c r="AG21" s="38" t="str">
        <f t="shared" si="11"/>
        <v>None</v>
      </c>
      <c r="AH21" s="38" t="str">
        <f t="shared" si="11"/>
        <v>None</v>
      </c>
      <c r="AI21" s="38" t="str">
        <f t="shared" si="11"/>
        <v>None</v>
      </c>
      <c r="AJ21" s="38" t="str">
        <f t="shared" si="11"/>
        <v>None</v>
      </c>
    </row>
    <row r="22" spans="1:36" s="1" customFormat="1">
      <c r="A22" s="233"/>
      <c r="B22" s="17" t="s">
        <v>4</v>
      </c>
      <c r="C22" s="3" t="s">
        <v>50</v>
      </c>
      <c r="D22" s="3" t="s">
        <v>132</v>
      </c>
      <c r="E22" s="113" t="s">
        <v>62</v>
      </c>
      <c r="F22" s="120">
        <v>0.65</v>
      </c>
      <c r="G22" s="45" t="s">
        <v>62</v>
      </c>
      <c r="H22" s="124" t="s">
        <v>119</v>
      </c>
      <c r="I22" s="13"/>
      <c r="J22" s="127" t="s">
        <v>119</v>
      </c>
      <c r="K22" s="127">
        <v>2036</v>
      </c>
      <c r="L22" s="127">
        <v>2036</v>
      </c>
      <c r="M22" s="127">
        <v>2036</v>
      </c>
      <c r="N22" s="38"/>
      <c r="O22" s="8"/>
      <c r="P22" s="38" t="s">
        <v>119</v>
      </c>
      <c r="Q22" s="38" t="str">
        <f t="shared" ref="Q22:Q23" si="12">P22</f>
        <v>None</v>
      </c>
      <c r="R22" s="38" t="str">
        <f>IF($K$22&gt;R5,"None",$H$22)</f>
        <v>None</v>
      </c>
      <c r="S22" s="38" t="str">
        <f t="shared" ref="S22:AJ22" si="13">IF($K$22&gt;S5,"None",$H$22)</f>
        <v>None</v>
      </c>
      <c r="T22" s="38" t="str">
        <f t="shared" si="13"/>
        <v>None</v>
      </c>
      <c r="U22" s="38" t="str">
        <f t="shared" si="13"/>
        <v>None</v>
      </c>
      <c r="V22" s="38" t="str">
        <f t="shared" si="13"/>
        <v>None</v>
      </c>
      <c r="W22" s="38" t="str">
        <f t="shared" si="13"/>
        <v>None</v>
      </c>
      <c r="X22" s="38" t="str">
        <f t="shared" si="13"/>
        <v>None</v>
      </c>
      <c r="Y22" s="38" t="str">
        <f t="shared" si="13"/>
        <v>None</v>
      </c>
      <c r="Z22" s="38" t="str">
        <f t="shared" si="13"/>
        <v>None</v>
      </c>
      <c r="AA22" s="38" t="str">
        <f t="shared" si="13"/>
        <v>None</v>
      </c>
      <c r="AB22" s="38" t="str">
        <f t="shared" si="13"/>
        <v>None</v>
      </c>
      <c r="AC22" s="38" t="str">
        <f t="shared" si="13"/>
        <v>None</v>
      </c>
      <c r="AD22" s="38" t="str">
        <f t="shared" si="13"/>
        <v>None</v>
      </c>
      <c r="AE22" s="38" t="str">
        <f t="shared" si="13"/>
        <v>None</v>
      </c>
      <c r="AF22" s="38" t="str">
        <f t="shared" si="13"/>
        <v>None</v>
      </c>
      <c r="AG22" s="38" t="str">
        <f t="shared" si="13"/>
        <v>None</v>
      </c>
      <c r="AH22" s="38" t="str">
        <f t="shared" si="13"/>
        <v>None</v>
      </c>
      <c r="AI22" s="38" t="str">
        <f t="shared" si="13"/>
        <v>None</v>
      </c>
      <c r="AJ22" s="38" t="str">
        <f t="shared" si="13"/>
        <v>None</v>
      </c>
    </row>
    <row r="23" spans="1:36" s="1" customFormat="1">
      <c r="A23" s="233"/>
      <c r="B23" s="17" t="s">
        <v>58</v>
      </c>
      <c r="C23" s="4" t="s">
        <v>51</v>
      </c>
      <c r="D23" s="3" t="s">
        <v>354</v>
      </c>
      <c r="E23" s="113" t="s">
        <v>62</v>
      </c>
      <c r="F23" s="120">
        <v>0.65</v>
      </c>
      <c r="G23" s="45" t="s">
        <v>62</v>
      </c>
      <c r="H23" s="124" t="s">
        <v>119</v>
      </c>
      <c r="I23" s="13"/>
      <c r="J23" s="127" t="s">
        <v>119</v>
      </c>
      <c r="K23" s="127">
        <v>2036</v>
      </c>
      <c r="L23" s="127">
        <v>2036</v>
      </c>
      <c r="M23" s="127">
        <v>2036</v>
      </c>
      <c r="N23" s="38"/>
      <c r="O23" s="8"/>
      <c r="P23" s="38" t="s">
        <v>119</v>
      </c>
      <c r="Q23" s="38" t="str">
        <f t="shared" si="12"/>
        <v>None</v>
      </c>
      <c r="R23" s="38" t="str">
        <f>IF($K$23&gt;R5,"None",$H$23)</f>
        <v>None</v>
      </c>
      <c r="S23" s="38" t="str">
        <f t="shared" ref="S23:AJ23" si="14">IF($K$23&gt;S5,"None",$H$23)</f>
        <v>None</v>
      </c>
      <c r="T23" s="38" t="str">
        <f t="shared" si="14"/>
        <v>None</v>
      </c>
      <c r="U23" s="38" t="str">
        <f t="shared" si="14"/>
        <v>None</v>
      </c>
      <c r="V23" s="38" t="str">
        <f t="shared" si="14"/>
        <v>None</v>
      </c>
      <c r="W23" s="38" t="str">
        <f t="shared" si="14"/>
        <v>None</v>
      </c>
      <c r="X23" s="38" t="str">
        <f t="shared" si="14"/>
        <v>None</v>
      </c>
      <c r="Y23" s="38" t="str">
        <f t="shared" si="14"/>
        <v>None</v>
      </c>
      <c r="Z23" s="38" t="str">
        <f t="shared" si="14"/>
        <v>None</v>
      </c>
      <c r="AA23" s="38" t="str">
        <f t="shared" si="14"/>
        <v>None</v>
      </c>
      <c r="AB23" s="38" t="str">
        <f t="shared" si="14"/>
        <v>None</v>
      </c>
      <c r="AC23" s="38" t="str">
        <f t="shared" si="14"/>
        <v>None</v>
      </c>
      <c r="AD23" s="38" t="str">
        <f t="shared" si="14"/>
        <v>None</v>
      </c>
      <c r="AE23" s="38" t="str">
        <f t="shared" si="14"/>
        <v>None</v>
      </c>
      <c r="AF23" s="38" t="str">
        <f t="shared" si="14"/>
        <v>None</v>
      </c>
      <c r="AG23" s="38" t="str">
        <f t="shared" si="14"/>
        <v>None</v>
      </c>
      <c r="AH23" s="38" t="str">
        <f t="shared" si="14"/>
        <v>None</v>
      </c>
      <c r="AI23" s="38" t="str">
        <f t="shared" si="14"/>
        <v>None</v>
      </c>
      <c r="AJ23" s="38" t="str">
        <f t="shared" si="14"/>
        <v>None</v>
      </c>
    </row>
    <row r="24" spans="1:36">
      <c r="A24" s="233"/>
      <c r="B24" s="17" t="s">
        <v>21</v>
      </c>
      <c r="C24" s="4" t="s">
        <v>22</v>
      </c>
      <c r="D24" s="3" t="s">
        <v>118</v>
      </c>
      <c r="E24" s="113">
        <v>1</v>
      </c>
      <c r="F24" s="120">
        <v>1</v>
      </c>
      <c r="G24" s="45" t="s">
        <v>62</v>
      </c>
      <c r="H24" s="122">
        <v>0</v>
      </c>
      <c r="I24" s="13"/>
      <c r="J24" s="13"/>
      <c r="K24" s="13"/>
      <c r="L24" s="13"/>
      <c r="M24" s="127">
        <v>2036</v>
      </c>
      <c r="N24" s="41"/>
      <c r="P24" s="41">
        <v>0</v>
      </c>
      <c r="Q24" s="41">
        <f>P24</f>
        <v>0</v>
      </c>
      <c r="R24" s="41">
        <f t="shared" si="3"/>
        <v>0</v>
      </c>
      <c r="S24" s="41">
        <f>R24</f>
        <v>0</v>
      </c>
      <c r="T24" s="41">
        <f>S24</f>
        <v>0</v>
      </c>
      <c r="U24" s="42">
        <f>H24</f>
        <v>0</v>
      </c>
      <c r="V24" s="42">
        <f t="shared" ref="V24:AJ24" si="15">IF($M14-V$5&lt;=0,0,U24)</f>
        <v>0</v>
      </c>
      <c r="W24" s="42">
        <f t="shared" si="15"/>
        <v>0</v>
      </c>
      <c r="X24" s="42">
        <f t="shared" si="15"/>
        <v>0</v>
      </c>
      <c r="Y24" s="42">
        <f t="shared" si="15"/>
        <v>0</v>
      </c>
      <c r="Z24" s="42">
        <f t="shared" si="15"/>
        <v>0</v>
      </c>
      <c r="AA24" s="42">
        <f t="shared" si="15"/>
        <v>0</v>
      </c>
      <c r="AB24" s="42">
        <f t="shared" si="15"/>
        <v>0</v>
      </c>
      <c r="AC24" s="42">
        <f t="shared" si="15"/>
        <v>0</v>
      </c>
      <c r="AD24" s="42">
        <f t="shared" si="15"/>
        <v>0</v>
      </c>
      <c r="AE24" s="42">
        <f t="shared" si="15"/>
        <v>0</v>
      </c>
      <c r="AF24" s="42">
        <f t="shared" si="15"/>
        <v>0</v>
      </c>
      <c r="AG24" s="42">
        <f t="shared" si="15"/>
        <v>0</v>
      </c>
      <c r="AH24" s="42">
        <f t="shared" si="15"/>
        <v>0</v>
      </c>
      <c r="AI24" s="42">
        <f t="shared" si="15"/>
        <v>0</v>
      </c>
      <c r="AJ24" s="42">
        <f t="shared" si="15"/>
        <v>0</v>
      </c>
    </row>
    <row r="25" spans="1:36">
      <c r="A25" s="223" t="s">
        <v>57</v>
      </c>
      <c r="B25" s="2" t="s">
        <v>5</v>
      </c>
      <c r="C25" s="4" t="s">
        <v>6</v>
      </c>
      <c r="D25" s="3" t="s">
        <v>133</v>
      </c>
      <c r="E25" s="113" t="s">
        <v>62</v>
      </c>
      <c r="F25" s="120">
        <v>1</v>
      </c>
      <c r="G25" s="45" t="s">
        <v>62</v>
      </c>
      <c r="H25" s="45" t="s">
        <v>62</v>
      </c>
      <c r="I25" s="13"/>
      <c r="J25" s="127" t="s">
        <v>119</v>
      </c>
      <c r="K25" s="13"/>
      <c r="L25" s="13"/>
      <c r="M25" s="127">
        <v>2036</v>
      </c>
      <c r="N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</row>
    <row r="26" spans="1:36">
      <c r="A26" s="223"/>
      <c r="B26" s="2" t="s">
        <v>7</v>
      </c>
      <c r="C26" s="4" t="s">
        <v>8</v>
      </c>
      <c r="D26" s="3" t="s">
        <v>133</v>
      </c>
      <c r="E26" s="113" t="s">
        <v>62</v>
      </c>
      <c r="F26" s="120">
        <v>1</v>
      </c>
      <c r="G26" s="45" t="s">
        <v>62</v>
      </c>
      <c r="H26" s="45" t="s">
        <v>62</v>
      </c>
      <c r="I26" s="13"/>
      <c r="J26" s="127" t="s">
        <v>119</v>
      </c>
      <c r="K26" s="13"/>
      <c r="L26" s="13"/>
      <c r="M26" s="127">
        <v>2036</v>
      </c>
      <c r="N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</row>
    <row r="27" spans="1:36">
      <c r="A27" s="223"/>
      <c r="B27" s="2" t="s">
        <v>9</v>
      </c>
      <c r="C27" s="4" t="s">
        <v>10</v>
      </c>
      <c r="D27" s="3" t="s">
        <v>133</v>
      </c>
      <c r="E27" s="113" t="s">
        <v>62</v>
      </c>
      <c r="F27" s="120">
        <v>1</v>
      </c>
      <c r="G27" s="45" t="s">
        <v>62</v>
      </c>
      <c r="H27" s="45" t="s">
        <v>62</v>
      </c>
      <c r="I27" s="13"/>
      <c r="J27" s="127" t="s">
        <v>119</v>
      </c>
      <c r="K27" s="13"/>
      <c r="L27" s="13"/>
      <c r="M27" s="127">
        <v>2036</v>
      </c>
      <c r="N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</row>
    <row r="28" spans="1:36">
      <c r="A28" s="223" t="s">
        <v>60</v>
      </c>
      <c r="B28" s="2" t="s">
        <v>13</v>
      </c>
      <c r="C28" s="4" t="s">
        <v>14</v>
      </c>
      <c r="D28" s="4" t="s">
        <v>134</v>
      </c>
      <c r="E28" s="113" t="s">
        <v>62</v>
      </c>
      <c r="F28" s="120">
        <v>0.53</v>
      </c>
      <c r="G28" s="48">
        <v>0.04</v>
      </c>
      <c r="H28" s="122">
        <v>0.04</v>
      </c>
      <c r="I28" s="13"/>
      <c r="J28" s="13"/>
      <c r="K28" s="13"/>
      <c r="L28" s="13"/>
      <c r="M28" s="127">
        <v>2036</v>
      </c>
      <c r="N28" s="41"/>
      <c r="P28" s="41">
        <v>0</v>
      </c>
      <c r="Q28" s="42">
        <f>P28</f>
        <v>0</v>
      </c>
      <c r="R28" s="41">
        <f>(MAX(0,H28-0.04))</f>
        <v>0</v>
      </c>
      <c r="S28" s="42">
        <f t="shared" ref="S28:AI28" si="16">IF($M28-S$5&lt;=0,0,R28)</f>
        <v>0</v>
      </c>
      <c r="T28" s="42">
        <f t="shared" si="16"/>
        <v>0</v>
      </c>
      <c r="U28" s="42">
        <f t="shared" si="16"/>
        <v>0</v>
      </c>
      <c r="V28" s="42">
        <f t="shared" si="16"/>
        <v>0</v>
      </c>
      <c r="W28" s="42">
        <f t="shared" si="16"/>
        <v>0</v>
      </c>
      <c r="X28" s="42">
        <f t="shared" si="16"/>
        <v>0</v>
      </c>
      <c r="Y28" s="42">
        <f t="shared" si="16"/>
        <v>0</v>
      </c>
      <c r="Z28" s="42">
        <f t="shared" si="16"/>
        <v>0</v>
      </c>
      <c r="AA28" s="42">
        <f t="shared" si="16"/>
        <v>0</v>
      </c>
      <c r="AB28" s="42">
        <f t="shared" si="16"/>
        <v>0</v>
      </c>
      <c r="AC28" s="42">
        <f t="shared" si="16"/>
        <v>0</v>
      </c>
      <c r="AD28" s="42">
        <f t="shared" si="16"/>
        <v>0</v>
      </c>
      <c r="AE28" s="42">
        <f t="shared" si="16"/>
        <v>0</v>
      </c>
      <c r="AF28" s="42">
        <f t="shared" si="16"/>
        <v>0</v>
      </c>
      <c r="AG28" s="42">
        <f t="shared" si="16"/>
        <v>0</v>
      </c>
      <c r="AH28" s="42">
        <f t="shared" si="16"/>
        <v>0</v>
      </c>
      <c r="AI28" s="42">
        <f t="shared" si="16"/>
        <v>0</v>
      </c>
      <c r="AJ28" s="42">
        <f>IF($M28-AJ$5&lt;=0,0,AI28)</f>
        <v>0</v>
      </c>
    </row>
    <row r="29" spans="1:36">
      <c r="A29" s="223"/>
      <c r="B29" s="2" t="s">
        <v>19</v>
      </c>
      <c r="C29" s="4" t="s">
        <v>20</v>
      </c>
      <c r="D29" s="4" t="s">
        <v>63</v>
      </c>
      <c r="E29" s="113" t="s">
        <v>62</v>
      </c>
      <c r="F29" s="120">
        <v>1</v>
      </c>
      <c r="G29" s="45" t="s">
        <v>62</v>
      </c>
      <c r="H29" s="122">
        <v>0</v>
      </c>
      <c r="I29" s="13"/>
      <c r="J29" s="127" t="s">
        <v>119</v>
      </c>
      <c r="K29" s="13"/>
      <c r="L29" s="13"/>
      <c r="M29" s="127">
        <v>2036</v>
      </c>
      <c r="N29" s="39"/>
      <c r="P29" s="39">
        <v>0</v>
      </c>
      <c r="Q29" s="39">
        <f>P29</f>
        <v>0</v>
      </c>
      <c r="R29" s="43">
        <f t="shared" ref="R29:R32" si="17">H29</f>
        <v>0</v>
      </c>
      <c r="S29" s="39">
        <f>R29*(1+IF($J29="none",0,IF($J29="cpi",TechnicalInputs!$D$2,IF($J29="cci",TechnicalInputs!$D$3,"error"))))</f>
        <v>0</v>
      </c>
      <c r="T29" s="39">
        <f>S29*(1+IF($J29="none",0,IF($J29="cpi",TechnicalInputs!$D$2,IF($J29="cci",TechnicalInputs!$D$3,"error"))))</f>
        <v>0</v>
      </c>
      <c r="U29" s="39">
        <f>T29*(1+IF($J29="none",0,IF($J29="cpi",TechnicalInputs!$D$2,IF($J29="cci",TechnicalInputs!$D$3,"error"))))</f>
        <v>0</v>
      </c>
      <c r="V29" s="39">
        <f>U29*(1+IF($J29="none",0,IF($J29="cpi",TechnicalInputs!$D$2,IF($J29="cci",TechnicalInputs!$D$3,"error"))))</f>
        <v>0</v>
      </c>
      <c r="W29" s="39">
        <f>V29*(1+IF($J29="none",0,IF($J29="cpi",TechnicalInputs!$D$2,IF($J29="cci",TechnicalInputs!$D$3,"error"))))</f>
        <v>0</v>
      </c>
      <c r="X29" s="39">
        <f>W29*(1+IF($J29="none",0,IF($J29="cpi",TechnicalInputs!$D$2,IF($J29="cci",TechnicalInputs!$D$3,"error"))))</f>
        <v>0</v>
      </c>
      <c r="Y29" s="39">
        <f>X29*(1+IF($J29="none",0,IF($J29="cpi",TechnicalInputs!$D$2,IF($J29="cci",TechnicalInputs!$D$3,"error"))))</f>
        <v>0</v>
      </c>
      <c r="Z29" s="39">
        <f>Y29*(1+IF($J29="none",0,IF($J29="cpi",TechnicalInputs!$D$2,IF($J29="cci",TechnicalInputs!$D$3,"error"))))</f>
        <v>0</v>
      </c>
      <c r="AA29" s="39">
        <f>Z29*(1+IF($J29="none",0,IF($J29="cpi",TechnicalInputs!$D$2,IF($J29="cci",TechnicalInputs!$D$3,"error"))))</f>
        <v>0</v>
      </c>
      <c r="AB29" s="39">
        <f>AA29*(1+IF($J29="none",0,IF($J29="cpi",TechnicalInputs!$D$2,IF($J29="cci",TechnicalInputs!$D$3,"error"))))</f>
        <v>0</v>
      </c>
      <c r="AC29" s="39">
        <f>AB29*(1+IF($J29="none",0,IF($J29="cpi",TechnicalInputs!$D$2,IF($J29="cci",TechnicalInputs!$D$3,"error"))))</f>
        <v>0</v>
      </c>
      <c r="AD29" s="39">
        <f>AC29*(1+IF($J29="none",0,IF($J29="cpi",TechnicalInputs!$D$2,IF($J29="cci",TechnicalInputs!$D$3,"error"))))</f>
        <v>0</v>
      </c>
      <c r="AE29" s="39">
        <f>AD29*(1+IF($J29="none",0,IF($J29="cpi",TechnicalInputs!$D$2,IF($J29="cci",TechnicalInputs!$D$3,"error"))))</f>
        <v>0</v>
      </c>
      <c r="AF29" s="39">
        <f>AE29*(1+IF($J29="none",0,IF($J29="cpi",TechnicalInputs!$D$2,IF($J29="cci",TechnicalInputs!$D$3,"error"))))</f>
        <v>0</v>
      </c>
      <c r="AG29" s="39">
        <f>AF29*(1+IF($J29="none",0,IF($J29="cpi",TechnicalInputs!$D$2,IF($J29="cci",TechnicalInputs!$D$3,"error"))))</f>
        <v>0</v>
      </c>
      <c r="AH29" s="39">
        <f>AG29*(1+IF($J29="none",0,IF($J29="cpi",TechnicalInputs!$D$2,IF($J29="cci",TechnicalInputs!$D$3,"error"))))</f>
        <v>0</v>
      </c>
      <c r="AI29" s="39">
        <f>AH29*(1+IF($J29="none",0,IF($J29="cpi",TechnicalInputs!$D$2,IF($J29="cci",TechnicalInputs!$D$3,"error"))))</f>
        <v>0</v>
      </c>
      <c r="AJ29" s="39">
        <f>AI29*(1+IF($J29="none",0,IF($J29="cpi",TechnicalInputs!$D$2,IF($J29="cci",TechnicalInputs!$D$3,"error"))))</f>
        <v>0</v>
      </c>
    </row>
    <row r="30" spans="1:36" ht="15" customHeight="1">
      <c r="A30" s="223"/>
      <c r="B30" s="2" t="s">
        <v>25</v>
      </c>
      <c r="C30" s="4" t="s">
        <v>26</v>
      </c>
      <c r="D30" s="236" t="s">
        <v>64</v>
      </c>
      <c r="E30" s="113" t="s">
        <v>62</v>
      </c>
      <c r="F30" s="120">
        <v>1</v>
      </c>
      <c r="G30" s="45" t="s">
        <v>62</v>
      </c>
      <c r="H30" s="125">
        <v>0</v>
      </c>
      <c r="I30" s="13"/>
      <c r="J30" s="127" t="s">
        <v>119</v>
      </c>
      <c r="K30" s="13"/>
      <c r="L30" s="13"/>
      <c r="M30" s="127">
        <v>2036</v>
      </c>
      <c r="N30" s="39"/>
      <c r="P30" s="39">
        <v>0</v>
      </c>
      <c r="Q30" s="39">
        <f t="shared" ref="Q30:Q32" si="18">P30</f>
        <v>0</v>
      </c>
      <c r="R30" s="43">
        <f t="shared" si="17"/>
        <v>0</v>
      </c>
      <c r="S30" s="39">
        <f>R30*(1+IF($J30="none",0,IF($J30="cpi",TechnicalInputs!$D$2,IF($J30="cci",TechnicalInputs!$D$3,"error"))))</f>
        <v>0</v>
      </c>
      <c r="T30" s="39">
        <f>S30*(1+IF($J30="none",0,IF($J30="cpi",TechnicalInputs!$D$2,IF($J30="cci",TechnicalInputs!$D$3,"error"))))</f>
        <v>0</v>
      </c>
      <c r="U30" s="39">
        <f>T30*(1+IF($J30="none",0,IF($J30="cpi",TechnicalInputs!$D$2,IF($J30="cci",TechnicalInputs!$D$3,"error"))))</f>
        <v>0</v>
      </c>
      <c r="V30" s="39">
        <f>U30*(1+IF($J30="none",0,IF($J30="cpi",TechnicalInputs!$D$2,IF($J30="cci",TechnicalInputs!$D$3,"error"))))</f>
        <v>0</v>
      </c>
      <c r="W30" s="39">
        <f>V30*(1+IF($J30="none",0,IF($J30="cpi",TechnicalInputs!$D$2,IF($J30="cci",TechnicalInputs!$D$3,"error"))))</f>
        <v>0</v>
      </c>
      <c r="X30" s="39">
        <f>W30*(1+IF($J30="none",0,IF($J30="cpi",TechnicalInputs!$D$2,IF($J30="cci",TechnicalInputs!$D$3,"error"))))</f>
        <v>0</v>
      </c>
      <c r="Y30" s="39">
        <f>X30*(1+IF($J30="none",0,IF($J30="cpi",TechnicalInputs!$D$2,IF($J30="cci",TechnicalInputs!$D$3,"error"))))</f>
        <v>0</v>
      </c>
      <c r="Z30" s="39">
        <f>Y30*(1+IF($J30="none",0,IF($J30="cpi",TechnicalInputs!$D$2,IF($J30="cci",TechnicalInputs!$D$3,"error"))))</f>
        <v>0</v>
      </c>
      <c r="AA30" s="39">
        <f>Z30*(1+IF($J30="none",0,IF($J30="cpi",TechnicalInputs!$D$2,IF($J30="cci",TechnicalInputs!$D$3,"error"))))</f>
        <v>0</v>
      </c>
      <c r="AB30" s="39">
        <f>AA30*(1+IF($J30="none",0,IF($J30="cpi",TechnicalInputs!$D$2,IF($J30="cci",TechnicalInputs!$D$3,"error"))))</f>
        <v>0</v>
      </c>
      <c r="AC30" s="39">
        <f>AB30*(1+IF($J30="none",0,IF($J30="cpi",TechnicalInputs!$D$2,IF($J30="cci",TechnicalInputs!$D$3,"error"))))</f>
        <v>0</v>
      </c>
      <c r="AD30" s="39">
        <f>AC30*(1+IF($J30="none",0,IF($J30="cpi",TechnicalInputs!$D$2,IF($J30="cci",TechnicalInputs!$D$3,"error"))))</f>
        <v>0</v>
      </c>
      <c r="AE30" s="39">
        <f>AD30*(1+IF($J30="none",0,IF($J30="cpi",TechnicalInputs!$D$2,IF($J30="cci",TechnicalInputs!$D$3,"error"))))</f>
        <v>0</v>
      </c>
      <c r="AF30" s="39">
        <f>AE30*(1+IF($J30="none",0,IF($J30="cpi",TechnicalInputs!$D$2,IF($J30="cci",TechnicalInputs!$D$3,"error"))))</f>
        <v>0</v>
      </c>
      <c r="AG30" s="39">
        <f>AF30*(1+IF($J30="none",0,IF($J30="cpi",TechnicalInputs!$D$2,IF($J30="cci",TechnicalInputs!$D$3,"error"))))</f>
        <v>0</v>
      </c>
      <c r="AH30" s="39">
        <f>AG30*(1+IF($J30="none",0,IF($J30="cpi",TechnicalInputs!$D$2,IF($J30="cci",TechnicalInputs!$D$3,"error"))))</f>
        <v>0</v>
      </c>
      <c r="AI30" s="39">
        <f>AH30*(1+IF($J30="none",0,IF($J30="cpi",TechnicalInputs!$D$2,IF($J30="cci",TechnicalInputs!$D$3,"error"))))</f>
        <v>0</v>
      </c>
      <c r="AJ30" s="39">
        <f>AI30*(1+IF($J30="none",0,IF($J30="cpi",TechnicalInputs!$D$2,IF($J30="cci",TechnicalInputs!$D$3,"error"))))</f>
        <v>0</v>
      </c>
    </row>
    <row r="31" spans="1:36">
      <c r="A31" s="223"/>
      <c r="B31" s="2" t="s">
        <v>25</v>
      </c>
      <c r="C31" s="4" t="s">
        <v>27</v>
      </c>
      <c r="D31" s="236"/>
      <c r="E31" s="113" t="s">
        <v>62</v>
      </c>
      <c r="F31" s="120">
        <v>1</v>
      </c>
      <c r="G31" s="45" t="s">
        <v>62</v>
      </c>
      <c r="H31" s="125">
        <v>0</v>
      </c>
      <c r="I31" s="13"/>
      <c r="J31" s="127" t="s">
        <v>119</v>
      </c>
      <c r="K31" s="13"/>
      <c r="L31" s="13"/>
      <c r="M31" s="127">
        <v>2036</v>
      </c>
      <c r="N31" s="39"/>
      <c r="P31" s="39">
        <v>0</v>
      </c>
      <c r="Q31" s="39">
        <f t="shared" si="18"/>
        <v>0</v>
      </c>
      <c r="R31" s="43">
        <f t="shared" si="17"/>
        <v>0</v>
      </c>
      <c r="S31" s="39">
        <f>R31*(1+IF($J31="none",0,IF($J31="cpi",TechnicalInputs!$D$2,IF($J31="cci",TechnicalInputs!$D$3,"error"))))</f>
        <v>0</v>
      </c>
      <c r="T31" s="39">
        <f>S31*(1+IF($J31="none",0,IF($J31="cpi",TechnicalInputs!$D$2,IF($J31="cci",TechnicalInputs!$D$3,"error"))))</f>
        <v>0</v>
      </c>
      <c r="U31" s="39">
        <f>T31*(1+IF($J31="none",0,IF($J31="cpi",TechnicalInputs!$D$2,IF($J31="cci",TechnicalInputs!$D$3,"error"))))</f>
        <v>0</v>
      </c>
      <c r="V31" s="39">
        <f>U31*(1+IF($J31="none",0,IF($J31="cpi",TechnicalInputs!$D$2,IF($J31="cci",TechnicalInputs!$D$3,"error"))))</f>
        <v>0</v>
      </c>
      <c r="W31" s="39">
        <f>V31*(1+IF($J31="none",0,IF($J31="cpi",TechnicalInputs!$D$2,IF($J31="cci",TechnicalInputs!$D$3,"error"))))</f>
        <v>0</v>
      </c>
      <c r="X31" s="39">
        <f>W31*(1+IF($J31="none",0,IF($J31="cpi",TechnicalInputs!$D$2,IF($J31="cci",TechnicalInputs!$D$3,"error"))))</f>
        <v>0</v>
      </c>
      <c r="Y31" s="39">
        <f>X31*(1+IF($J31="none",0,IF($J31="cpi",TechnicalInputs!$D$2,IF($J31="cci",TechnicalInputs!$D$3,"error"))))</f>
        <v>0</v>
      </c>
      <c r="Z31" s="39">
        <f>Y31*(1+IF($J31="none",0,IF($J31="cpi",TechnicalInputs!$D$2,IF($J31="cci",TechnicalInputs!$D$3,"error"))))</f>
        <v>0</v>
      </c>
      <c r="AA31" s="39">
        <f>Z31*(1+IF($J31="none",0,IF($J31="cpi",TechnicalInputs!$D$2,IF($J31="cci",TechnicalInputs!$D$3,"error"))))</f>
        <v>0</v>
      </c>
      <c r="AB31" s="39">
        <f>AA31*(1+IF($J31="none",0,IF($J31="cpi",TechnicalInputs!$D$2,IF($J31="cci",TechnicalInputs!$D$3,"error"))))</f>
        <v>0</v>
      </c>
      <c r="AC31" s="39">
        <f>AB31*(1+IF($J31="none",0,IF($J31="cpi",TechnicalInputs!$D$2,IF($J31="cci",TechnicalInputs!$D$3,"error"))))</f>
        <v>0</v>
      </c>
      <c r="AD31" s="39">
        <f>AC31*(1+IF($J31="none",0,IF($J31="cpi",TechnicalInputs!$D$2,IF($J31="cci",TechnicalInputs!$D$3,"error"))))</f>
        <v>0</v>
      </c>
      <c r="AE31" s="39">
        <f>AD31*(1+IF($J31="none",0,IF($J31="cpi",TechnicalInputs!$D$2,IF($J31="cci",TechnicalInputs!$D$3,"error"))))</f>
        <v>0</v>
      </c>
      <c r="AF31" s="39">
        <f>AE31*(1+IF($J31="none",0,IF($J31="cpi",TechnicalInputs!$D$2,IF($J31="cci",TechnicalInputs!$D$3,"error"))))</f>
        <v>0</v>
      </c>
      <c r="AG31" s="39">
        <f>AF31*(1+IF($J31="none",0,IF($J31="cpi",TechnicalInputs!$D$2,IF($J31="cci",TechnicalInputs!$D$3,"error"))))</f>
        <v>0</v>
      </c>
      <c r="AH31" s="39">
        <f>AG31*(1+IF($J31="none",0,IF($J31="cpi",TechnicalInputs!$D$2,IF($J31="cci",TechnicalInputs!$D$3,"error"))))</f>
        <v>0</v>
      </c>
      <c r="AI31" s="39">
        <f>AH31*(1+IF($J31="none",0,IF($J31="cpi",TechnicalInputs!$D$2,IF($J31="cci",TechnicalInputs!$D$3,"error"))))</f>
        <v>0</v>
      </c>
      <c r="AJ31" s="39">
        <f>AI31*(1+IF($J31="none",0,IF($J31="cpi",TechnicalInputs!$D$2,IF($J31="cci",TechnicalInputs!$D$3,"error"))))</f>
        <v>0</v>
      </c>
    </row>
    <row r="32" spans="1:36">
      <c r="A32" s="223"/>
      <c r="B32" s="2" t="s">
        <v>25</v>
      </c>
      <c r="C32" s="4" t="s">
        <v>28</v>
      </c>
      <c r="D32" s="236"/>
      <c r="E32" s="113" t="s">
        <v>62</v>
      </c>
      <c r="F32" s="120">
        <v>1</v>
      </c>
      <c r="G32" s="45" t="s">
        <v>62</v>
      </c>
      <c r="H32" s="125">
        <v>0</v>
      </c>
      <c r="I32" s="13"/>
      <c r="J32" s="127" t="s">
        <v>119</v>
      </c>
      <c r="K32" s="13"/>
      <c r="L32" s="13"/>
      <c r="M32" s="127">
        <v>2036</v>
      </c>
      <c r="N32" s="39"/>
      <c r="P32" s="39">
        <v>0</v>
      </c>
      <c r="Q32" s="39">
        <f t="shared" si="18"/>
        <v>0</v>
      </c>
      <c r="R32" s="43">
        <f t="shared" si="17"/>
        <v>0</v>
      </c>
      <c r="S32" s="39">
        <f>R32*(1+IF($J32="none",0,IF($J32="cpi",TechnicalInputs!$D$2,IF($J32="cci",TechnicalInputs!$D$3,"error"))))</f>
        <v>0</v>
      </c>
      <c r="T32" s="39">
        <f>S32*(1+IF($J32="none",0,IF($J32="cpi",TechnicalInputs!$D$2,IF($J32="cci",TechnicalInputs!$D$3,"error"))))</f>
        <v>0</v>
      </c>
      <c r="U32" s="39">
        <f>T32*(1+IF($J32="none",0,IF($J32="cpi",TechnicalInputs!$D$2,IF($J32="cci",TechnicalInputs!$D$3,"error"))))</f>
        <v>0</v>
      </c>
      <c r="V32" s="39">
        <f>U32*(1+IF($J32="none",0,IF($J32="cpi",TechnicalInputs!$D$2,IF($J32="cci",TechnicalInputs!$D$3,"error"))))</f>
        <v>0</v>
      </c>
      <c r="W32" s="39">
        <f>V32*(1+IF($J32="none",0,IF($J32="cpi",TechnicalInputs!$D$2,IF($J32="cci",TechnicalInputs!$D$3,"error"))))</f>
        <v>0</v>
      </c>
      <c r="X32" s="39">
        <f>W32*(1+IF($J32="none",0,IF($J32="cpi",TechnicalInputs!$D$2,IF($J32="cci",TechnicalInputs!$D$3,"error"))))</f>
        <v>0</v>
      </c>
      <c r="Y32" s="39">
        <f>X32*(1+IF($J32="none",0,IF($J32="cpi",TechnicalInputs!$D$2,IF($J32="cci",TechnicalInputs!$D$3,"error"))))</f>
        <v>0</v>
      </c>
      <c r="Z32" s="39">
        <f>Y32*(1+IF($J32="none",0,IF($J32="cpi",TechnicalInputs!$D$2,IF($J32="cci",TechnicalInputs!$D$3,"error"))))</f>
        <v>0</v>
      </c>
      <c r="AA32" s="39">
        <f>Z32*(1+IF($J32="none",0,IF($J32="cpi",TechnicalInputs!$D$2,IF($J32="cci",TechnicalInputs!$D$3,"error"))))</f>
        <v>0</v>
      </c>
      <c r="AB32" s="39">
        <f>AA32*(1+IF($J32="none",0,IF($J32="cpi",TechnicalInputs!$D$2,IF($J32="cci",TechnicalInputs!$D$3,"error"))))</f>
        <v>0</v>
      </c>
      <c r="AC32" s="39">
        <f>AB32*(1+IF($J32="none",0,IF($J32="cpi",TechnicalInputs!$D$2,IF($J32="cci",TechnicalInputs!$D$3,"error"))))</f>
        <v>0</v>
      </c>
      <c r="AD32" s="39">
        <f>AC32*(1+IF($J32="none",0,IF($J32="cpi",TechnicalInputs!$D$2,IF($J32="cci",TechnicalInputs!$D$3,"error"))))</f>
        <v>0</v>
      </c>
      <c r="AE32" s="39">
        <f>AD32*(1+IF($J32="none",0,IF($J32="cpi",TechnicalInputs!$D$2,IF($J32="cci",TechnicalInputs!$D$3,"error"))))</f>
        <v>0</v>
      </c>
      <c r="AF32" s="39">
        <f>AE32*(1+IF($J32="none",0,IF($J32="cpi",TechnicalInputs!$D$2,IF($J32="cci",TechnicalInputs!$D$3,"error"))))</f>
        <v>0</v>
      </c>
      <c r="AG32" s="39">
        <f>AF32*(1+IF($J32="none",0,IF($J32="cpi",TechnicalInputs!$D$2,IF($J32="cci",TechnicalInputs!$D$3,"error"))))</f>
        <v>0</v>
      </c>
      <c r="AH32" s="39">
        <f>AG32*(1+IF($J32="none",0,IF($J32="cpi",TechnicalInputs!$D$2,IF($J32="cci",TechnicalInputs!$D$3,"error"))))</f>
        <v>0</v>
      </c>
      <c r="AI32" s="39">
        <f>AH32*(1+IF($J32="none",0,IF($J32="cpi",TechnicalInputs!$D$2,IF($J32="cci",TechnicalInputs!$D$3,"error"))))</f>
        <v>0</v>
      </c>
      <c r="AJ32" s="39">
        <f>AI32*(1+IF($J32="none",0,IF($J32="cpi",TechnicalInputs!$D$2,IF($J32="cci",TechnicalInputs!$D$3,"error"))))</f>
        <v>0</v>
      </c>
    </row>
    <row r="33" spans="1:36">
      <c r="A33" s="223"/>
      <c r="B33" s="2" t="s">
        <v>62</v>
      </c>
      <c r="C33" s="4" t="s">
        <v>371</v>
      </c>
      <c r="D33" s="4" t="s">
        <v>372</v>
      </c>
      <c r="E33" s="113">
        <v>1</v>
      </c>
      <c r="F33" s="120">
        <v>1</v>
      </c>
      <c r="G33" s="13"/>
      <c r="H33" s="13"/>
      <c r="I33" s="13"/>
      <c r="J33" s="13"/>
      <c r="K33" s="13"/>
      <c r="L33" s="13"/>
      <c r="M33" s="13"/>
      <c r="N33" s="39"/>
      <c r="P33" s="116">
        <v>0</v>
      </c>
      <c r="Q33" s="116">
        <f>P33</f>
        <v>0</v>
      </c>
      <c r="R33" s="116">
        <v>0</v>
      </c>
      <c r="S33" s="116">
        <v>0</v>
      </c>
      <c r="T33" s="116">
        <v>0</v>
      </c>
      <c r="U33" s="116">
        <v>0</v>
      </c>
      <c r="V33" s="116">
        <v>0</v>
      </c>
      <c r="W33" s="116">
        <v>0</v>
      </c>
      <c r="X33" s="116">
        <v>0</v>
      </c>
      <c r="Y33" s="116">
        <v>0</v>
      </c>
      <c r="Z33" s="116">
        <v>0</v>
      </c>
      <c r="AA33" s="116">
        <v>0</v>
      </c>
      <c r="AB33" s="116">
        <v>0</v>
      </c>
      <c r="AC33" s="116">
        <v>0</v>
      </c>
      <c r="AD33" s="116">
        <v>0</v>
      </c>
      <c r="AE33" s="116">
        <v>0</v>
      </c>
      <c r="AF33" s="116">
        <v>0</v>
      </c>
      <c r="AG33" s="116">
        <v>0</v>
      </c>
      <c r="AH33" s="116">
        <v>0</v>
      </c>
      <c r="AI33" s="116">
        <v>0</v>
      </c>
      <c r="AJ33" s="116">
        <v>0</v>
      </c>
    </row>
    <row r="34" spans="1:36" ht="16.5" thickBot="1">
      <c r="D34" s="9"/>
      <c r="E34" s="9"/>
      <c r="F34" s="9"/>
      <c r="G34" s="1"/>
      <c r="H34" s="1"/>
      <c r="I34" s="1"/>
      <c r="J34" s="1"/>
      <c r="K34" s="1"/>
      <c r="L34" s="1"/>
      <c r="M34" s="1"/>
      <c r="N34" s="1"/>
      <c r="P34" s="1"/>
    </row>
    <row r="35" spans="1:36">
      <c r="B35" s="25"/>
      <c r="C35" s="231" t="s">
        <v>352</v>
      </c>
      <c r="D35" s="138" t="s">
        <v>390</v>
      </c>
      <c r="E35" s="139">
        <v>711057165.87158191</v>
      </c>
      <c r="F35" s="177" t="s">
        <v>405</v>
      </c>
      <c r="G35" s="140">
        <v>10187039821.90344</v>
      </c>
      <c r="H35" s="179"/>
      <c r="I35" s="188"/>
      <c r="J35" s="189"/>
      <c r="K35" s="189"/>
      <c r="L35" s="189"/>
      <c r="M35" s="189"/>
      <c r="N35" s="190"/>
      <c r="P35" s="1"/>
    </row>
    <row r="36" spans="1:36">
      <c r="B36" s="25"/>
      <c r="C36" s="232"/>
      <c r="D36" s="141" t="s">
        <v>391</v>
      </c>
      <c r="E36" s="142">
        <f>TabularOutputs!AD156</f>
        <v>822045609.16254437</v>
      </c>
      <c r="F36" s="167" t="s">
        <v>406</v>
      </c>
      <c r="G36" s="144">
        <f>TabularOutputs!H317</f>
        <v>12183596391.526806</v>
      </c>
      <c r="H36" s="179"/>
      <c r="I36" s="191"/>
      <c r="J36" s="187"/>
      <c r="K36" s="187"/>
      <c r="L36" s="187"/>
      <c r="M36" s="187"/>
      <c r="N36" s="192"/>
      <c r="P36" s="1"/>
    </row>
    <row r="37" spans="1:36" ht="16.5" thickBot="1">
      <c r="C37" s="232"/>
      <c r="D37" s="145" t="s">
        <v>392</v>
      </c>
      <c r="E37" s="146">
        <f>E36-E35</f>
        <v>110988443.29096246</v>
      </c>
      <c r="F37" s="178" t="s">
        <v>407</v>
      </c>
      <c r="G37" s="147">
        <f>+G36-G35</f>
        <v>1996556569.6233654</v>
      </c>
      <c r="H37" s="179"/>
      <c r="I37" s="191"/>
      <c r="J37" s="187"/>
      <c r="K37" s="187"/>
      <c r="L37" s="187"/>
      <c r="M37" s="187"/>
      <c r="N37" s="192"/>
      <c r="P37" s="1"/>
    </row>
    <row r="38" spans="1:36">
      <c r="C38" s="220" t="s">
        <v>387</v>
      </c>
      <c r="D38" s="138" t="s">
        <v>390</v>
      </c>
      <c r="E38" s="148">
        <v>468356044.35785878</v>
      </c>
      <c r="F38" s="177" t="s">
        <v>405</v>
      </c>
      <c r="G38" s="149">
        <v>6779528826.1584244</v>
      </c>
      <c r="H38" s="179"/>
      <c r="I38" s="191"/>
      <c r="J38" s="187"/>
      <c r="K38" s="187"/>
      <c r="L38" s="187"/>
      <c r="M38" s="187"/>
      <c r="N38" s="192"/>
      <c r="P38" s="1"/>
    </row>
    <row r="39" spans="1:36">
      <c r="C39" s="221"/>
      <c r="D39" s="141" t="s">
        <v>391</v>
      </c>
      <c r="E39" s="150">
        <f>TabularOutputs!AD188</f>
        <v>552084168.24402344</v>
      </c>
      <c r="F39" s="167" t="s">
        <v>406</v>
      </c>
      <c r="G39" s="151">
        <f>TabularOutputs!J317</f>
        <v>8285703080.4357033</v>
      </c>
      <c r="H39" s="179"/>
      <c r="I39" s="191"/>
      <c r="J39" s="187"/>
      <c r="K39" s="187"/>
      <c r="L39" s="187"/>
      <c r="M39" s="187"/>
      <c r="N39" s="192"/>
      <c r="P39" s="1"/>
    </row>
    <row r="40" spans="1:36" ht="16.5" thickBot="1">
      <c r="C40" s="222"/>
      <c r="D40" s="145" t="s">
        <v>392</v>
      </c>
      <c r="E40" s="146">
        <f>E39-E38</f>
        <v>83728123.886164665</v>
      </c>
      <c r="F40" s="178" t="s">
        <v>407</v>
      </c>
      <c r="G40" s="147">
        <f>G39-G38</f>
        <v>1506174254.2772789</v>
      </c>
      <c r="H40" s="179"/>
      <c r="I40" s="191"/>
      <c r="J40" s="187"/>
      <c r="K40" s="187"/>
      <c r="L40" s="187"/>
      <c r="M40" s="187"/>
      <c r="N40" s="192"/>
      <c r="P40" s="1"/>
    </row>
    <row r="41" spans="1:36">
      <c r="C41" s="220" t="s">
        <v>393</v>
      </c>
      <c r="D41" s="138" t="s">
        <v>390</v>
      </c>
      <c r="E41" s="148">
        <v>698200000</v>
      </c>
      <c r="F41" s="177" t="s">
        <v>405</v>
      </c>
      <c r="G41" s="149">
        <v>10158043272.010311</v>
      </c>
      <c r="H41" s="179"/>
      <c r="I41" s="193"/>
      <c r="J41" s="187"/>
      <c r="K41" s="187"/>
      <c r="L41" s="187"/>
      <c r="M41" s="187"/>
      <c r="N41" s="192"/>
      <c r="P41" s="1"/>
    </row>
    <row r="42" spans="1:36">
      <c r="C42" s="221"/>
      <c r="D42" s="141" t="s">
        <v>391</v>
      </c>
      <c r="E42" s="150">
        <f>TabularOutputs!K316</f>
        <v>698200000</v>
      </c>
      <c r="F42" s="167" t="s">
        <v>406</v>
      </c>
      <c r="G42" s="151">
        <f>TabularOutputs!L317</f>
        <v>10158043272.010311</v>
      </c>
      <c r="H42" s="179"/>
      <c r="I42" s="191"/>
      <c r="J42" s="187"/>
      <c r="K42" s="187"/>
      <c r="L42" s="187"/>
      <c r="M42" s="187"/>
      <c r="N42" s="192"/>
      <c r="P42" s="1"/>
    </row>
    <row r="43" spans="1:36" ht="16.5" thickBot="1">
      <c r="C43" s="222"/>
      <c r="D43" s="145" t="s">
        <v>392</v>
      </c>
      <c r="E43" s="146">
        <f>E42-E41</f>
        <v>0</v>
      </c>
      <c r="F43" s="178" t="s">
        <v>407</v>
      </c>
      <c r="G43" s="147">
        <f>G42-G41</f>
        <v>0</v>
      </c>
      <c r="H43" s="179"/>
      <c r="I43" s="191"/>
      <c r="J43" s="187"/>
      <c r="K43" s="187"/>
      <c r="L43" s="187"/>
      <c r="M43" s="187"/>
      <c r="N43" s="192"/>
      <c r="P43" s="1"/>
    </row>
    <row r="44" spans="1:36">
      <c r="C44" s="220" t="s">
        <v>353</v>
      </c>
      <c r="D44" s="138" t="s">
        <v>390</v>
      </c>
      <c r="E44" s="148">
        <v>228.793403344121</v>
      </c>
      <c r="F44" s="177" t="s">
        <v>405</v>
      </c>
      <c r="G44" s="149">
        <v>5040.3348071101218</v>
      </c>
      <c r="H44" s="179"/>
      <c r="I44" s="191"/>
      <c r="J44" s="187"/>
      <c r="K44" s="187"/>
      <c r="L44" s="187"/>
      <c r="M44" s="187"/>
      <c r="N44" s="192"/>
      <c r="P44" s="1"/>
    </row>
    <row r="45" spans="1:36">
      <c r="C45" s="221"/>
      <c r="D45" s="141" t="s">
        <v>391</v>
      </c>
      <c r="E45" s="150">
        <f>TabularOutputs!C316</f>
        <v>295.92768445809003</v>
      </c>
      <c r="F45" s="167" t="s">
        <v>406</v>
      </c>
      <c r="G45" s="151">
        <f>SUM(TabularOutputs!C297:C316)</f>
        <v>6675.9792668628161</v>
      </c>
      <c r="H45" s="179"/>
      <c r="I45" s="191"/>
      <c r="J45" s="187"/>
      <c r="K45" s="187"/>
      <c r="L45" s="187"/>
      <c r="M45" s="187"/>
      <c r="N45" s="192"/>
      <c r="P45" s="1"/>
    </row>
    <row r="46" spans="1:36" ht="16.5" thickBot="1">
      <c r="C46" s="222"/>
      <c r="D46" s="145" t="s">
        <v>392</v>
      </c>
      <c r="E46" s="146">
        <f>E45-E44</f>
        <v>67.134281113969024</v>
      </c>
      <c r="F46" s="178" t="s">
        <v>407</v>
      </c>
      <c r="G46" s="147">
        <f>G45-G44</f>
        <v>1635.6444597526943</v>
      </c>
      <c r="H46" s="179"/>
      <c r="I46" s="191"/>
      <c r="J46" s="187"/>
      <c r="K46" s="187"/>
      <c r="L46" s="187"/>
      <c r="M46" s="187"/>
      <c r="N46" s="192"/>
      <c r="P46" s="1"/>
    </row>
    <row r="47" spans="1:36">
      <c r="A47" s="179"/>
      <c r="B47" s="179"/>
      <c r="C47" s="220" t="s">
        <v>379</v>
      </c>
      <c r="D47" s="138" t="s">
        <v>390</v>
      </c>
      <c r="E47" s="148">
        <v>1748.0978132271741</v>
      </c>
      <c r="F47" s="177" t="s">
        <v>405</v>
      </c>
      <c r="G47" s="149">
        <v>34734.072832131897</v>
      </c>
      <c r="H47" s="179"/>
      <c r="I47" s="191"/>
      <c r="J47" s="187"/>
      <c r="K47" s="187"/>
      <c r="L47" s="187"/>
      <c r="M47" s="187"/>
      <c r="N47" s="192"/>
      <c r="P47" s="1"/>
    </row>
    <row r="48" spans="1:36">
      <c r="A48" s="179"/>
      <c r="B48" s="179"/>
      <c r="C48" s="221"/>
      <c r="D48" s="141" t="s">
        <v>391</v>
      </c>
      <c r="E48" s="150">
        <f>TabularOutputs!D316</f>
        <v>1748.0978132271741</v>
      </c>
      <c r="F48" s="167" t="s">
        <v>406</v>
      </c>
      <c r="G48" s="151">
        <f>SUM(TabularOutputs!D297:D316)</f>
        <v>34734.072832131897</v>
      </c>
      <c r="H48" s="179"/>
      <c r="I48" s="191"/>
      <c r="J48" s="187"/>
      <c r="K48" s="187"/>
      <c r="L48" s="187"/>
      <c r="M48" s="187"/>
      <c r="N48" s="192"/>
      <c r="P48" s="1"/>
    </row>
    <row r="49" spans="1:16" ht="16.5" thickBot="1">
      <c r="A49" s="179"/>
      <c r="B49" s="179"/>
      <c r="C49" s="222"/>
      <c r="D49" s="145" t="s">
        <v>392</v>
      </c>
      <c r="E49" s="146">
        <f>E48-E47</f>
        <v>0</v>
      </c>
      <c r="F49" s="178" t="s">
        <v>407</v>
      </c>
      <c r="G49" s="147">
        <f>G48-G47</f>
        <v>0</v>
      </c>
      <c r="H49" s="179"/>
      <c r="I49" s="191"/>
      <c r="J49" s="187"/>
      <c r="K49" s="187"/>
      <c r="L49" s="187"/>
      <c r="M49" s="187"/>
      <c r="N49" s="192"/>
      <c r="P49" s="1"/>
    </row>
    <row r="50" spans="1:16" ht="16.5" thickBot="1">
      <c r="A50" s="179"/>
      <c r="B50" s="179"/>
      <c r="H50" s="179"/>
      <c r="I50" s="191"/>
      <c r="J50" s="187"/>
      <c r="K50" s="187"/>
      <c r="L50" s="187"/>
      <c r="M50" s="187"/>
      <c r="N50" s="192"/>
      <c r="P50" s="1"/>
    </row>
    <row r="51" spans="1:16">
      <c r="A51" s="179"/>
      <c r="B51" s="179"/>
      <c r="C51" s="218" t="s">
        <v>395</v>
      </c>
      <c r="D51" s="198" t="s">
        <v>397</v>
      </c>
      <c r="E51" s="199">
        <f>E46/12</f>
        <v>5.594523426164085</v>
      </c>
      <c r="F51" s="200" t="s">
        <v>408</v>
      </c>
      <c r="G51" s="201">
        <f>G46/240</f>
        <v>6.8151852489695592</v>
      </c>
      <c r="H51" s="179"/>
      <c r="I51" s="191"/>
      <c r="J51" s="187"/>
      <c r="K51" s="187"/>
      <c r="L51" s="187"/>
      <c r="M51" s="187"/>
      <c r="N51" s="192"/>
      <c r="P51" s="1"/>
    </row>
    <row r="52" spans="1:16" ht="16.5" thickBot="1">
      <c r="A52" s="179"/>
      <c r="B52" s="179"/>
      <c r="C52" s="219"/>
      <c r="D52" s="202" t="s">
        <v>396</v>
      </c>
      <c r="E52" s="203">
        <f>E49/12</f>
        <v>0</v>
      </c>
      <c r="F52" s="204" t="s">
        <v>409</v>
      </c>
      <c r="G52" s="205">
        <f>G49/240</f>
        <v>0</v>
      </c>
      <c r="H52" s="179"/>
      <c r="I52" s="191"/>
      <c r="J52" s="187"/>
      <c r="K52" s="187"/>
      <c r="L52" s="187"/>
      <c r="M52" s="187"/>
      <c r="N52" s="192"/>
      <c r="P52" s="1"/>
    </row>
    <row r="53" spans="1:16" ht="16.5" thickBot="1">
      <c r="A53" s="179"/>
      <c r="B53" s="179"/>
      <c r="C53" s="181"/>
      <c r="D53" s="182"/>
      <c r="E53" s="183"/>
      <c r="F53" s="184"/>
      <c r="G53" s="185"/>
      <c r="H53" s="179"/>
      <c r="I53" s="191"/>
      <c r="J53" s="187"/>
      <c r="K53" s="187"/>
      <c r="L53" s="187"/>
      <c r="M53" s="187"/>
      <c r="N53" s="192"/>
      <c r="P53" s="1"/>
    </row>
    <row r="54" spans="1:16">
      <c r="A54" s="179"/>
      <c r="B54" s="179"/>
      <c r="C54" s="181"/>
      <c r="D54" s="182"/>
      <c r="E54" s="211"/>
      <c r="F54" s="214" t="s">
        <v>403</v>
      </c>
      <c r="G54" s="215">
        <f>G37/19</f>
        <v>105081924.71701923</v>
      </c>
      <c r="H54" s="179"/>
      <c r="I54" s="191"/>
      <c r="J54" s="187"/>
      <c r="K54" s="187"/>
      <c r="L54" s="187"/>
      <c r="M54" s="187"/>
      <c r="N54" s="192"/>
      <c r="P54" s="1"/>
    </row>
    <row r="55" spans="1:16" ht="16.5" thickBot="1">
      <c r="A55" s="179"/>
      <c r="B55" s="179"/>
      <c r="C55" s="181"/>
      <c r="D55" s="182"/>
      <c r="E55" s="183"/>
      <c r="F55" s="216" t="s">
        <v>404</v>
      </c>
      <c r="G55" s="217">
        <f>G40/19</f>
        <v>79272329.172488362</v>
      </c>
      <c r="H55" s="212"/>
      <c r="I55" s="191"/>
      <c r="J55" s="187"/>
      <c r="K55" s="187"/>
      <c r="L55" s="187"/>
      <c r="M55" s="187"/>
      <c r="N55" s="192"/>
      <c r="P55" s="1"/>
    </row>
    <row r="56" spans="1:16" ht="16.5" thickBot="1">
      <c r="A56" s="179"/>
      <c r="B56" s="179"/>
      <c r="C56" s="179"/>
      <c r="D56" s="182"/>
      <c r="E56" s="182"/>
      <c r="F56" s="182"/>
      <c r="G56" s="183"/>
      <c r="H56" s="180"/>
      <c r="I56" s="194"/>
      <c r="J56" s="195"/>
      <c r="K56" s="195"/>
      <c r="L56" s="195"/>
      <c r="M56" s="195"/>
      <c r="N56" s="196"/>
      <c r="P56" s="1"/>
    </row>
    <row r="57" spans="1:16">
      <c r="A57" s="26"/>
      <c r="G57" s="60"/>
    </row>
  </sheetData>
  <sheetProtection insertRows="0" selectLockedCells="1"/>
  <mergeCells count="28">
    <mergeCell ref="C1:D1"/>
    <mergeCell ref="C35:C37"/>
    <mergeCell ref="C44:C46"/>
    <mergeCell ref="A6:A9"/>
    <mergeCell ref="A25:A27"/>
    <mergeCell ref="A28:A33"/>
    <mergeCell ref="A10:A17"/>
    <mergeCell ref="A18:A19"/>
    <mergeCell ref="A20:A24"/>
    <mergeCell ref="B11:B12"/>
    <mergeCell ref="D30:D32"/>
    <mergeCell ref="C38:C40"/>
    <mergeCell ref="C51:C52"/>
    <mergeCell ref="C47:C49"/>
    <mergeCell ref="P4:AJ4"/>
    <mergeCell ref="B6:B8"/>
    <mergeCell ref="H4:H5"/>
    <mergeCell ref="I4:I5"/>
    <mergeCell ref="J4:J5"/>
    <mergeCell ref="G4:G5"/>
    <mergeCell ref="M4:M5"/>
    <mergeCell ref="D6:D8"/>
    <mergeCell ref="A4:D4"/>
    <mergeCell ref="K4:L4"/>
    <mergeCell ref="N4:N5"/>
    <mergeCell ref="E4:E5"/>
    <mergeCell ref="F4:F5"/>
    <mergeCell ref="C41:C43"/>
  </mergeCells>
  <pageMargins left="0.75" right="0.75" top="1" bottom="1" header="0.5" footer="0.5"/>
  <pageSetup orientation="portrait" horizontalDpi="4294967292" verticalDpi="4294967292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Lists!$A$2:$A$4</xm:f>
          </x14:formula1>
          <xm:sqref>J29:J32 J14 J16:J17 J10:J12 J20:J23 J25:J27 J6:J8</xm:sqref>
        </x14:dataValidation>
        <x14:dataValidation type="list" allowBlank="1" showInputMessage="1" showErrorMessage="1">
          <x14:formula1>
            <xm:f>Lists!$B$2:$B$22</xm:f>
          </x14:formula1>
          <xm:sqref>K6:L9 M6:M32 K20:L23</xm:sqref>
        </x14:dataValidation>
        <x14:dataValidation type="list" allowBlank="1" showInputMessage="1" showErrorMessage="1">
          <x14:formula1>
            <xm:f>Lists!$C$2:$C$4</xm:f>
          </x14:formula1>
          <xm:sqref>H21:H22</xm:sqref>
        </x14:dataValidation>
        <x14:dataValidation type="list" allowBlank="1" showInputMessage="1" showErrorMessage="1">
          <x14:formula1>
            <xm:f>Lists!$D$2:$D$3</xm:f>
          </x14:formula1>
          <xm:sqref>H23</xm:sqref>
        </x14:dataValidation>
        <x14:dataValidation type="list" allowBlank="1" showInputMessage="1" showErrorMessage="1">
          <x14:formula1>
            <xm:f>Lists!$E$2:$E$5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AE157"/>
  <sheetViews>
    <sheetView workbookViewId="0">
      <selection activeCell="A6" sqref="A6"/>
    </sheetView>
  </sheetViews>
  <sheetFormatPr defaultColWidth="11" defaultRowHeight="15.75"/>
  <cols>
    <col min="2" max="21" width="16.125" customWidth="1"/>
    <col min="22" max="22" width="16.125" bestFit="1" customWidth="1"/>
    <col min="23" max="23" width="13.125" bestFit="1" customWidth="1"/>
    <col min="24" max="24" width="19.625" bestFit="1" customWidth="1"/>
    <col min="25" max="25" width="18.625" bestFit="1" customWidth="1"/>
    <col min="26" max="26" width="18.625" customWidth="1"/>
    <col min="27" max="27" width="16.125" bestFit="1" customWidth="1"/>
    <col min="29" max="30" width="15.125" bestFit="1" customWidth="1"/>
  </cols>
  <sheetData>
    <row r="1" spans="1:31" s="32" customFormat="1">
      <c r="A1" s="237" t="s">
        <v>71</v>
      </c>
      <c r="B1" s="246" t="s">
        <v>96</v>
      </c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64"/>
    </row>
    <row r="2" spans="1:31" s="32" customFormat="1" ht="15.95" customHeight="1">
      <c r="A2" s="237"/>
      <c r="B2" s="237" t="s">
        <v>68</v>
      </c>
      <c r="C2" s="241" t="s">
        <v>99</v>
      </c>
      <c r="D2" s="243" t="s">
        <v>100</v>
      </c>
      <c r="E2" s="245"/>
      <c r="F2" s="245"/>
      <c r="G2" s="245"/>
      <c r="H2" s="245"/>
      <c r="I2" s="245"/>
      <c r="J2" s="244"/>
      <c r="K2" s="243" t="s">
        <v>97</v>
      </c>
      <c r="L2" s="245"/>
      <c r="M2" s="244"/>
      <c r="N2" s="243" t="s">
        <v>116</v>
      </c>
      <c r="O2" s="244"/>
      <c r="P2" s="237" t="s">
        <v>69</v>
      </c>
      <c r="Q2" s="237"/>
      <c r="R2" s="237"/>
      <c r="S2" s="237"/>
      <c r="T2" s="237"/>
      <c r="U2" s="237"/>
      <c r="V2" s="241" t="s">
        <v>107</v>
      </c>
      <c r="W2" s="237" t="s">
        <v>109</v>
      </c>
      <c r="X2" s="237" t="s">
        <v>108</v>
      </c>
      <c r="Y2" s="54" t="s">
        <v>110</v>
      </c>
      <c r="Z2" s="237" t="s">
        <v>160</v>
      </c>
      <c r="AA2" s="237" t="s">
        <v>111</v>
      </c>
    </row>
    <row r="3" spans="1:31" s="32" customFormat="1" ht="31.5">
      <c r="A3" s="237"/>
      <c r="B3" s="237"/>
      <c r="C3" s="242"/>
      <c r="D3" s="33" t="s">
        <v>101</v>
      </c>
      <c r="E3" s="33" t="s">
        <v>102</v>
      </c>
      <c r="F3" s="33" t="s">
        <v>106</v>
      </c>
      <c r="G3" s="33" t="s">
        <v>103</v>
      </c>
      <c r="H3" s="33" t="s">
        <v>104</v>
      </c>
      <c r="I3" s="33" t="s">
        <v>105</v>
      </c>
      <c r="J3" s="57" t="s">
        <v>159</v>
      </c>
      <c r="K3" s="33" t="s">
        <v>70</v>
      </c>
      <c r="L3" s="33" t="s">
        <v>98</v>
      </c>
      <c r="M3" s="54" t="s">
        <v>152</v>
      </c>
      <c r="N3" s="33" t="s">
        <v>70</v>
      </c>
      <c r="O3" s="33" t="s">
        <v>117</v>
      </c>
      <c r="P3" s="33" t="s">
        <v>101</v>
      </c>
      <c r="Q3" s="33" t="s">
        <v>102</v>
      </c>
      <c r="R3" s="33" t="s">
        <v>106</v>
      </c>
      <c r="S3" s="33" t="s">
        <v>103</v>
      </c>
      <c r="T3" s="33" t="s">
        <v>104</v>
      </c>
      <c r="U3" s="33" t="s">
        <v>105</v>
      </c>
      <c r="V3" s="242"/>
      <c r="W3" s="237"/>
      <c r="X3" s="237"/>
      <c r="Y3" s="33" t="s">
        <v>101</v>
      </c>
      <c r="Z3" s="237"/>
      <c r="AA3" s="237"/>
      <c r="AD3" s="32" t="s">
        <v>153</v>
      </c>
    </row>
    <row r="4" spans="1:31">
      <c r="A4" s="3">
        <v>2010</v>
      </c>
      <c r="B4" s="27">
        <f>IF(PolicyInputs!$B$1=1,EconomicInputs!B36,IF(PolicyInputs!$B$1=2,EconomicInputs!B68,IF(PolicyInputs!$B$1=3,EconomicInputs!B100,IF(PolicyInputs!$B$1=4,EconomicInputs!B132,"error"))))</f>
        <v>6483802</v>
      </c>
      <c r="C4" s="27">
        <f>IF(PolicyInputs!$B$1=1,EconomicInputs!C36,IF(PolicyInputs!$B$1=2,EconomicInputs!C68,IF(PolicyInputs!$B$1=3,EconomicInputs!C100,IF(PolicyInputs!$B$1=4,EconomicInputs!C132,"error"))))</f>
        <v>4762954</v>
      </c>
      <c r="D4" s="27">
        <f>IF(PolicyInputs!$B$1=1,EconomicInputs!D36,IF(PolicyInputs!$B$1=2,EconomicInputs!D68,IF(PolicyInputs!$B$1=3,EconomicInputs!D100,IF(PolicyInputs!$B$1=4,EconomicInputs!D132,"error"))))</f>
        <v>193410</v>
      </c>
      <c r="E4" s="27">
        <f>IF(PolicyInputs!$B$1=1,EconomicInputs!E36,IF(PolicyInputs!$B$1=2,EconomicInputs!E68,IF(PolicyInputs!$B$1=3,EconomicInputs!E100,IF(PolicyInputs!$B$1=4,EconomicInputs!E132,"error"))))</f>
        <v>4914668.5854779789</v>
      </c>
      <c r="F4" s="27">
        <f>IF(PolicyInputs!$B$1=1,EconomicInputs!F36,IF(PolicyInputs!$B$1=2,EconomicInputs!F68,IF(PolicyInputs!$B$1=3,EconomicInputs!F100,IF(PolicyInputs!$B$1=4,EconomicInputs!F132,"error"))))</f>
        <v>106</v>
      </c>
      <c r="G4" s="27">
        <f>IF(PolicyInputs!$B$1=1,EconomicInputs!G36,IF(PolicyInputs!$B$1=2,EconomicInputs!G68,IF(PolicyInputs!$B$1=3,EconomicInputs!G100,IF(PolicyInputs!$B$1=4,EconomicInputs!G132,"error"))))</f>
        <v>8422.5</v>
      </c>
      <c r="H4" s="27">
        <f>IF(PolicyInputs!$B$1=1,EconomicInputs!H36,IF(PolicyInputs!$B$1=2,EconomicInputs!H68,IF(PolicyInputs!$B$1=3,EconomicInputs!H100,IF(PolicyInputs!$B$1=4,EconomicInputs!H132,"error"))))</f>
        <v>169509</v>
      </c>
      <c r="I4" s="27">
        <f>IF(PolicyInputs!$B$1=1,EconomicInputs!I36,IF(PolicyInputs!$B$1=2,EconomicInputs!I68,IF(PolicyInputs!$B$1=3,EconomicInputs!I100,IF(PolicyInputs!$B$1=4,EconomicInputs!I132,"error"))))</f>
        <v>58697</v>
      </c>
      <c r="J4" s="27">
        <f>IF(PolicyInputs!$B$1=1,EconomicInputs!J36,IF(PolicyInputs!$B$1=2,EconomicInputs!J68,IF(PolicyInputs!$B$1=3,EconomicInputs!J100,IF(PolicyInputs!$B$1=4,EconomicInputs!J132,"error"))))</f>
        <v>82900000</v>
      </c>
      <c r="K4" s="27">
        <f>IF(PolicyInputs!$B$1=1,EconomicInputs!K36,IF(PolicyInputs!$B$1=2,EconomicInputs!K68,IF(PolicyInputs!$B$1=3,EconomicInputs!K100,IF(PolicyInputs!$B$1=4,EconomicInputs!K132,"error"))))</f>
        <v>3323160347.6330194</v>
      </c>
      <c r="L4" s="27">
        <f>IF(PolicyInputs!$B$1=1,EconomicInputs!L36,IF(PolicyInputs!$B$1=2,EconomicInputs!L68,IF(PolicyInputs!$B$1=3,EconomicInputs!L100,IF(PolicyInputs!$B$1=4,EconomicInputs!L132,"error"))))</f>
        <v>1162538442.6330683</v>
      </c>
      <c r="M4" s="27">
        <f>IF(PolicyInputs!$B$1=1,EconomicInputs!M36,IF(PolicyInputs!$B$1=2,EconomicInputs!M68,IF(PolicyInputs!$B$1=3,EconomicInputs!M100,IF(PolicyInputs!$B$1=4,EconomicInputs!M132,"error"))))</f>
        <v>930030754.10645473</v>
      </c>
      <c r="N4" s="51">
        <f>IF(PolicyInputs!$B$1=1,EconomicInputs!N36,IF(PolicyInputs!$B$1=2,EconomicInputs!N68,IF(PolicyInputs!$B$1=3,EconomicInputs!N100,IF(PolicyInputs!$B$1=4,EconomicInputs!N132,"error"))))</f>
        <v>3.4326274379999999</v>
      </c>
      <c r="O4" s="51">
        <f>IF(PolicyInputs!$B$1=1,EconomicInputs!O36,IF(PolicyInputs!$B$1=2,EconomicInputs!O68,IF(PolicyInputs!$B$1=3,EconomicInputs!O100,IF(PolicyInputs!$B$1=4,EconomicInputs!O132,"error"))))</f>
        <v>3.6616922719999998</v>
      </c>
      <c r="P4" s="27">
        <f>IF(PolicyInputs!$B$1=1,EconomicInputs!P36,IF(PolicyInputs!$B$1=2,EconomicInputs!P68,IF(PolicyInputs!$B$1=3,EconomicInputs!P100,IF(PolicyInputs!$B$1=4,EconomicInputs!P132,"error"))))</f>
        <v>416685500</v>
      </c>
      <c r="Q4" s="27">
        <f>IF(PolicyInputs!$B$1=1,EconomicInputs!Q36,IF(PolicyInputs!$B$1=2,EconomicInputs!Q68,IF(PolicyInputs!$B$1=3,EconomicInputs!Q100,IF(PolicyInputs!$B$1=4,EconomicInputs!Q132,"error"))))</f>
        <v>66209988933.066185</v>
      </c>
      <c r="R4" s="27">
        <f>IF(PolicyInputs!$B$1=1,EconomicInputs!R36,IF(PolicyInputs!$B$1=2,EconomicInputs!R68,IF(PolicyInputs!$B$1=3,EconomicInputs!R100,IF(PolicyInputs!$B$1=4,EconomicInputs!R132,"error"))))</f>
        <v>0</v>
      </c>
      <c r="S4" s="27">
        <f>IF(PolicyInputs!$B$1=1,EconomicInputs!S36,IF(PolicyInputs!$B$1=2,EconomicInputs!S68,IF(PolicyInputs!$B$1=3,EconomicInputs!S100,IF(PolicyInputs!$B$1=4,EconomicInputs!S132,"error"))))</f>
        <v>143945900</v>
      </c>
      <c r="T4" s="27">
        <f>IF(PolicyInputs!$B$1=1,EconomicInputs!T36,IF(PolicyInputs!$B$1=2,EconomicInputs!T68,IF(PolicyInputs!$B$1=3,EconomicInputs!T100,IF(PolicyInputs!$B$1=4,EconomicInputs!T132,"error"))))</f>
        <v>2856189700</v>
      </c>
      <c r="U4" s="27">
        <f>IF(PolicyInputs!$B$1=1,EconomicInputs!U36,IF(PolicyInputs!$B$1=2,EconomicInputs!U68,IF(PolicyInputs!$B$1=3,EconomicInputs!U100,IF(PolicyInputs!$B$1=4,EconomicInputs!U132,"error"))))</f>
        <v>6060880000</v>
      </c>
      <c r="V4" s="27">
        <f>IF(PolicyInputs!$B$1=1,EconomicInputs!V36,IF(PolicyInputs!$B$1=2,EconomicInputs!V68,IF(PolicyInputs!$B$1=3,EconomicInputs!V100,IF(PolicyInputs!$B$1=4,EconomicInputs!V132,"error"))))</f>
        <v>237698014.83858031</v>
      </c>
      <c r="W4" s="27">
        <f>IF(PolicyInputs!$B$1=1,EconomicInputs!W36,IF(PolicyInputs!$B$1=2,EconomicInputs!W68,IF(PolicyInputs!$B$1=3,EconomicInputs!W100,IF(PolicyInputs!$B$1=4,EconomicInputs!W132,"error"))))</f>
        <v>6548216</v>
      </c>
      <c r="X4" s="27">
        <f>IF(PolicyInputs!$B$1=1,EconomicInputs!X36,IF(PolicyInputs!$B$1=2,EconomicInputs!X68,IF(PolicyInputs!$B$1=3,EconomicInputs!X100,IF(PolicyInputs!$B$1=4,EconomicInputs!X132,"error"))))</f>
        <v>75463217000</v>
      </c>
      <c r="Y4" s="61">
        <f>IF(PolicyInputs!$B$1=1,EconomicInputs!Y36,IF(PolicyInputs!$B$1=2,EconomicInputs!Y68,IF(PolicyInputs!$B$1=3,EconomicInputs!Y100,IF(PolicyInputs!$B$1=4,EconomicInputs!Y132,"error"))))</f>
        <v>0</v>
      </c>
      <c r="Z4" s="61">
        <f>IF(PolicyInputs!$B$1=1,EconomicInputs!Z36,IF(PolicyInputs!$B$1=2,EconomicInputs!Z68,IF(PolicyInputs!$B$1=3,EconomicInputs!Z100,IF(PolicyInputs!$B$1=4,EconomicInputs!Z132,"error"))))</f>
        <v>41255353.333333336</v>
      </c>
      <c r="AA4" s="61">
        <f>IF(PolicyInputs!$B$1=1,EconomicInputs!AA36,IF(PolicyInputs!$B$1=2,EconomicInputs!AA68,IF(PolicyInputs!$B$1=3,EconomicInputs!AA100,IF(PolicyInputs!$B$1=4,EconomicInputs!AA132,"error"))))</f>
        <v>624012071</v>
      </c>
      <c r="AD4" s="59">
        <f t="shared" ref="AD4:AD29" si="0">SUM(P4:U4)</f>
        <v>75687690033.066193</v>
      </c>
    </row>
    <row r="5" spans="1:31">
      <c r="A5" s="3">
        <f>A4+1</f>
        <v>2011</v>
      </c>
      <c r="B5" s="27">
        <f>IF(PolicyInputs!$B$1=1,EconomicInputs!B37,IF(PolicyInputs!$B$1=2,EconomicInputs!B69,IF(PolicyInputs!$B$1=3,EconomicInputs!B101,IF(PolicyInputs!$B$1=4,EconomicInputs!B133,"error"))))</f>
        <v>6516922</v>
      </c>
      <c r="C5" s="27">
        <f>IF(PolicyInputs!$B$1=1,EconomicInputs!C37,IF(PolicyInputs!$B$1=2,EconomicInputs!C69,IF(PolicyInputs!$B$1=3,EconomicInputs!C101,IF(PolicyInputs!$B$1=4,EconomicInputs!C133,"error"))))</f>
        <v>4727568</v>
      </c>
      <c r="D5" s="27">
        <f>IF(PolicyInputs!$B$1=1,EconomicInputs!D37,IF(PolicyInputs!$B$1=2,EconomicInputs!D69,IF(PolicyInputs!$B$1=3,EconomicInputs!D101,IF(PolicyInputs!$B$1=4,EconomicInputs!D133,"error"))))</f>
        <v>195344.1</v>
      </c>
      <c r="E5" s="27">
        <f>IF(PolicyInputs!$B$1=1,EconomicInputs!E37,IF(PolicyInputs!$B$1=2,EconomicInputs!E69,IF(PolicyInputs!$B$1=3,EconomicInputs!E101,IF(PolicyInputs!$B$1=4,EconomicInputs!E133,"error"))))</f>
        <v>4963815.2713327594</v>
      </c>
      <c r="F5" s="27">
        <f>IF(PolicyInputs!$B$1=1,EconomicInputs!F37,IF(PolicyInputs!$B$1=2,EconomicInputs!F69,IF(PolicyInputs!$B$1=3,EconomicInputs!F101,IF(PolicyInputs!$B$1=4,EconomicInputs!F133,"error"))))</f>
        <v>114</v>
      </c>
      <c r="G5" s="27">
        <f>IF(PolicyInputs!$B$1=1,EconomicInputs!G37,IF(PolicyInputs!$B$1=2,EconomicInputs!G69,IF(PolicyInputs!$B$1=3,EconomicInputs!G101,IF(PolicyInputs!$B$1=4,EconomicInputs!G133,"error"))))</f>
        <v>8506.7250000000004</v>
      </c>
      <c r="H5" s="27">
        <f>IF(PolicyInputs!$B$1=1,EconomicInputs!H37,IF(PolicyInputs!$B$1=2,EconomicInputs!H69,IF(PolicyInputs!$B$1=3,EconomicInputs!H101,IF(PolicyInputs!$B$1=4,EconomicInputs!H133,"error"))))</f>
        <v>170627.75939999995</v>
      </c>
      <c r="I5" s="27">
        <f>IF(PolicyInputs!$B$1=1,EconomicInputs!I37,IF(PolicyInputs!$B$1=2,EconomicInputs!I69,IF(PolicyInputs!$B$1=3,EconomicInputs!I101,IF(PolicyInputs!$B$1=4,EconomicInputs!I133,"error"))))</f>
        <v>59853.330900000001</v>
      </c>
      <c r="J5" s="27">
        <f>IF(PolicyInputs!$B$1=1,EconomicInputs!J37,IF(PolicyInputs!$B$1=2,EconomicInputs!J69,IF(PolicyInputs!$B$1=3,EconomicInputs!J101,IF(PolicyInputs!$B$1=4,EconomicInputs!J133,"error"))))</f>
        <v>89100000</v>
      </c>
      <c r="K5" s="27">
        <f>IF(PolicyInputs!$B$1=1,EconomicInputs!K37,IF(PolicyInputs!$B$1=2,EconomicInputs!K69,IF(PolicyInputs!$B$1=3,EconomicInputs!K101,IF(PolicyInputs!$B$1=4,EconomicInputs!K133,"error"))))</f>
        <v>3126491770.7427502</v>
      </c>
      <c r="L5" s="27">
        <f>IF(PolicyInputs!$B$1=1,EconomicInputs!L37,IF(PolicyInputs!$B$1=2,EconomicInputs!L69,IF(PolicyInputs!$B$1=3,EconomicInputs!L101,IF(PolicyInputs!$B$1=4,EconomicInputs!L133,"error"))))</f>
        <v>1160099842.9069977</v>
      </c>
      <c r="M5" s="27">
        <f>IF(PolicyInputs!$B$1=1,EconomicInputs!M37,IF(PolicyInputs!$B$1=2,EconomicInputs!M69,IF(PolicyInputs!$B$1=3,EconomicInputs!M101,IF(PolicyInputs!$B$1=4,EconomicInputs!M133,"error"))))</f>
        <v>928079874.32559824</v>
      </c>
      <c r="N5" s="51">
        <f>IF(PolicyInputs!$B$1=1,EconomicInputs!N37,IF(PolicyInputs!$B$1=2,EconomicInputs!N69,IF(PolicyInputs!$B$1=3,EconomicInputs!N101,IF(PolicyInputs!$B$1=4,EconomicInputs!N133,"error"))))</f>
        <v>3.4326274379999999</v>
      </c>
      <c r="O5" s="51">
        <f>IF(PolicyInputs!$B$1=1,EconomicInputs!O37,IF(PolicyInputs!$B$1=2,EconomicInputs!O69,IF(PolicyInputs!$B$1=3,EconomicInputs!O101,IF(PolicyInputs!$B$1=4,EconomicInputs!O133,"error"))))</f>
        <v>3.6616922719999998</v>
      </c>
      <c r="P5" s="27">
        <f>IF(PolicyInputs!$B$1=1,EconomicInputs!P37,IF(PolicyInputs!$B$1=2,EconomicInputs!P69,IF(PolicyInputs!$B$1=3,EconomicInputs!P101,IF(PolicyInputs!$B$1=4,EconomicInputs!P133,"error"))))</f>
        <v>416051625</v>
      </c>
      <c r="Q5" s="27">
        <f>IF(PolicyInputs!$B$1=1,EconomicInputs!Q37,IF(PolicyInputs!$B$1=2,EconomicInputs!Q69,IF(PolicyInputs!$B$1=3,EconomicInputs!Q101,IF(PolicyInputs!$B$1=4,EconomicInputs!Q133,"error"))))</f>
        <v>66109268229.478111</v>
      </c>
      <c r="R5" s="27">
        <f>IF(PolicyInputs!$B$1=1,EconomicInputs!R37,IF(PolicyInputs!$B$1=2,EconomicInputs!R69,IF(PolicyInputs!$B$1=3,EconomicInputs!R101,IF(PolicyInputs!$B$1=4,EconomicInputs!R133,"error"))))</f>
        <v>2520205.0543314051</v>
      </c>
      <c r="S5" s="27">
        <f>IF(PolicyInputs!$B$1=1,EconomicInputs!S37,IF(PolicyInputs!$B$1=2,EconomicInputs!S69,IF(PolicyInputs!$B$1=3,EconomicInputs!S101,IF(PolicyInputs!$B$1=4,EconomicInputs!S133,"error"))))</f>
        <v>143726925</v>
      </c>
      <c r="T5" s="27">
        <f>IF(PolicyInputs!$B$1=1,EconomicInputs!T37,IF(PolicyInputs!$B$1=2,EconomicInputs!T69,IF(PolicyInputs!$B$1=3,EconomicInputs!T101,IF(PolicyInputs!$B$1=4,EconomicInputs!T133,"error"))))</f>
        <v>2851844775</v>
      </c>
      <c r="U5" s="27">
        <f>IF(PolicyInputs!$B$1=1,EconomicInputs!U37,IF(PolicyInputs!$B$1=2,EconomicInputs!U69,IF(PolicyInputs!$B$1=3,EconomicInputs!U101,IF(PolicyInputs!$B$1=4,EconomicInputs!U133,"error"))))</f>
        <v>6051660000</v>
      </c>
      <c r="V5" s="27">
        <f>IF(PolicyInputs!$B$1=1,EconomicInputs!V37,IF(PolicyInputs!$B$1=2,EconomicInputs!V69,IF(PolicyInputs!$B$1=3,EconomicInputs!V101,IF(PolicyInputs!$B$1=4,EconomicInputs!V133,"error"))))</f>
        <v>262171646.28032887</v>
      </c>
      <c r="W5" s="27">
        <f>IF(PolicyInputs!$B$1=1,EconomicInputs!W37,IF(PolicyInputs!$B$1=2,EconomicInputs!W69,IF(PolicyInputs!$B$1=3,EconomicInputs!W101,IF(PolicyInputs!$B$1=4,EconomicInputs!W133,"error"))))</f>
        <v>6429800</v>
      </c>
      <c r="X5" s="27">
        <f>IF(PolicyInputs!$B$1=1,EconomicInputs!X37,IF(PolicyInputs!$B$1=2,EconomicInputs!X69,IF(PolicyInputs!$B$1=3,EconomicInputs!X101,IF(PolicyInputs!$B$1=4,EconomicInputs!X133,"error"))))</f>
        <v>81112769000</v>
      </c>
      <c r="Y5" s="61">
        <f>IF(PolicyInputs!$B$1=1,EconomicInputs!Y37,IF(PolicyInputs!$B$1=2,EconomicInputs!Y69,IF(PolicyInputs!$B$1=3,EconomicInputs!Y101,IF(PolicyInputs!$B$1=4,EconomicInputs!Y133,"error"))))</f>
        <v>0</v>
      </c>
      <c r="Z5" s="61">
        <f>IF(PolicyInputs!$B$1=1,EconomicInputs!Z37,IF(PolicyInputs!$B$1=2,EconomicInputs!Z69,IF(PolicyInputs!$B$1=3,EconomicInputs!Z101,IF(PolicyInputs!$B$1=4,EconomicInputs!Z133,"error"))))</f>
        <v>45063790</v>
      </c>
      <c r="AA5" s="61">
        <f>IF(PolicyInputs!$B$1=1,EconomicInputs!AA37,IF(PolicyInputs!$B$1=2,EconomicInputs!AA69,IF(PolicyInputs!$B$1=3,EconomicInputs!AA101,IF(PolicyInputs!$B$1=4,EconomicInputs!AA133,"error"))))</f>
        <v>621200578</v>
      </c>
      <c r="AD5" s="59">
        <f t="shared" si="0"/>
        <v>75575071759.53244</v>
      </c>
      <c r="AE5" s="92"/>
    </row>
    <row r="6" spans="1:31">
      <c r="A6" s="3">
        <f>A5+1</f>
        <v>2012</v>
      </c>
      <c r="B6" s="27">
        <f>IF(PolicyInputs!$B$1=1,EconomicInputs!B38,IF(PolicyInputs!$B$1=2,EconomicInputs!B70,IF(PolicyInputs!$B$1=3,EconomicInputs!B102,IF(PolicyInputs!$B$1=4,EconomicInputs!B134,"error"))))</f>
        <v>6537334</v>
      </c>
      <c r="C6" s="27">
        <f>IF(PolicyInputs!$B$1=1,EconomicInputs!C38,IF(PolicyInputs!$B$1=2,EconomicInputs!C70,IF(PolicyInputs!$B$1=3,EconomicInputs!C102,IF(PolicyInputs!$B$1=4,EconomicInputs!C134,"error"))))</f>
        <v>4634787</v>
      </c>
      <c r="D6" s="27">
        <f>IF(PolicyInputs!$B$1=1,EconomicInputs!D38,IF(PolicyInputs!$B$1=2,EconomicInputs!D70,IF(PolicyInputs!$B$1=3,EconomicInputs!D102,IF(PolicyInputs!$B$1=4,EconomicInputs!D134,"error"))))</f>
        <v>197297.541</v>
      </c>
      <c r="E6" s="27">
        <f>IF(PolicyInputs!$B$1=1,EconomicInputs!E38,IF(PolicyInputs!$B$1=2,EconomicInputs!E70,IF(PolicyInputs!$B$1=3,EconomicInputs!E102,IF(PolicyInputs!$B$1=4,EconomicInputs!E134,"error"))))</f>
        <v>5010399.6578110112</v>
      </c>
      <c r="F6" s="27">
        <f>IF(PolicyInputs!$B$1=1,EconomicInputs!F38,IF(PolicyInputs!$B$1=2,EconomicInputs!F70,IF(PolicyInputs!$B$1=3,EconomicInputs!F102,IF(PolicyInputs!$B$1=4,EconomicInputs!F134,"error"))))</f>
        <v>181</v>
      </c>
      <c r="G6" s="27">
        <f>IF(PolicyInputs!$B$1=1,EconomicInputs!G38,IF(PolicyInputs!$B$1=2,EconomicInputs!G70,IF(PolicyInputs!$B$1=3,EconomicInputs!G102,IF(PolicyInputs!$B$1=4,EconomicInputs!G134,"error"))))</f>
        <v>8591.7922500000004</v>
      </c>
      <c r="H6" s="27">
        <f>IF(PolicyInputs!$B$1=1,EconomicInputs!H38,IF(PolicyInputs!$B$1=2,EconomicInputs!H70,IF(PolicyInputs!$B$1=3,EconomicInputs!H102,IF(PolicyInputs!$B$1=4,EconomicInputs!H134,"error"))))</f>
        <v>171753.90261203996</v>
      </c>
      <c r="I6" s="27">
        <f>IF(PolicyInputs!$B$1=1,EconomicInputs!I38,IF(PolicyInputs!$B$1=2,EconomicInputs!I70,IF(PolicyInputs!$B$1=3,EconomicInputs!I102,IF(PolicyInputs!$B$1=4,EconomicInputs!I134,"error"))))</f>
        <v>61032.441518730004</v>
      </c>
      <c r="J6" s="27">
        <f>IF(PolicyInputs!$B$1=1,EconomicInputs!J38,IF(PolicyInputs!$B$1=2,EconomicInputs!J70,IF(PolicyInputs!$B$1=3,EconomicInputs!J102,IF(PolicyInputs!$B$1=4,EconomicInputs!J134,"error"))))</f>
        <v>90900000</v>
      </c>
      <c r="K6" s="27">
        <f>IF(PolicyInputs!$B$1=1,EconomicInputs!K38,IF(PolicyInputs!$B$1=2,EconomicInputs!K70,IF(PolicyInputs!$B$1=3,EconomicInputs!K102,IF(PolicyInputs!$B$1=4,EconomicInputs!K134,"error"))))</f>
        <v>3070721595.6390829</v>
      </c>
      <c r="L6" s="27">
        <f>IF(PolicyInputs!$B$1=1,EconomicInputs!L38,IF(PolicyInputs!$B$1=2,EconomicInputs!L70,IF(PolicyInputs!$B$1=3,EconomicInputs!L102,IF(PolicyInputs!$B$1=4,EconomicInputs!L134,"error"))))</f>
        <v>1158111177.5809865</v>
      </c>
      <c r="M6" s="27">
        <f>IF(PolicyInputs!$B$1=1,EconomicInputs!M38,IF(PolicyInputs!$B$1=2,EconomicInputs!M70,IF(PolicyInputs!$B$1=3,EconomicInputs!M102,IF(PolicyInputs!$B$1=4,EconomicInputs!M134,"error"))))</f>
        <v>926488942.0647893</v>
      </c>
      <c r="N6" s="51">
        <f>IF(PolicyInputs!$B$1=1,EconomicInputs!N38,IF(PolicyInputs!$B$1=2,EconomicInputs!N70,IF(PolicyInputs!$B$1=3,EconomicInputs!N102,IF(PolicyInputs!$B$1=4,EconomicInputs!N134,"error"))))</f>
        <v>3.47325054</v>
      </c>
      <c r="O6" s="51">
        <f>IF(PolicyInputs!$B$1=1,EconomicInputs!O38,IF(PolicyInputs!$B$1=2,EconomicInputs!O70,IF(PolicyInputs!$B$1=3,EconomicInputs!O102,IF(PolicyInputs!$B$1=4,EconomicInputs!O134,"error"))))</f>
        <v>3.7147603359999994</v>
      </c>
      <c r="P6" s="27">
        <f>IF(PolicyInputs!$B$1=1,EconomicInputs!P38,IF(PolicyInputs!$B$1=2,EconomicInputs!P70,IF(PolicyInputs!$B$1=3,EconomicInputs!P102,IF(PolicyInputs!$B$1=4,EconomicInputs!P134,"error"))))</f>
        <v>415417750</v>
      </c>
      <c r="Q6" s="27">
        <f>IF(PolicyInputs!$B$1=1,EconomicInputs!Q38,IF(PolicyInputs!$B$1=2,EconomicInputs!Q70,IF(PolicyInputs!$B$1=3,EconomicInputs!Q102,IF(PolicyInputs!$B$1=4,EconomicInputs!Q134,"error"))))</f>
        <v>65968340774.852097</v>
      </c>
      <c r="R6" s="27">
        <f>IF(PolicyInputs!$B$1=1,EconomicInputs!R38,IF(PolicyInputs!$B$1=2,EconomicInputs!R70,IF(PolicyInputs!$B$1=3,EconomicInputs!R102,IF(PolicyInputs!$B$1=4,EconomicInputs!R134,"error"))))</f>
        <v>5229883.1696011899</v>
      </c>
      <c r="S6" s="27">
        <f>IF(PolicyInputs!$B$1=1,EconomicInputs!S38,IF(PolicyInputs!$B$1=2,EconomicInputs!S70,IF(PolicyInputs!$B$1=3,EconomicInputs!S102,IF(PolicyInputs!$B$1=4,EconomicInputs!S134,"error"))))</f>
        <v>143507950</v>
      </c>
      <c r="T6" s="27">
        <f>IF(PolicyInputs!$B$1=1,EconomicInputs!T38,IF(PolicyInputs!$B$1=2,EconomicInputs!T70,IF(PolicyInputs!$B$1=3,EconomicInputs!T102,IF(PolicyInputs!$B$1=4,EconomicInputs!T134,"error"))))</f>
        <v>2847499850</v>
      </c>
      <c r="U6" s="27">
        <f>IF(PolicyInputs!$B$1=1,EconomicInputs!U38,IF(PolicyInputs!$B$1=2,EconomicInputs!U70,IF(PolicyInputs!$B$1=3,EconomicInputs!U102,IF(PolicyInputs!$B$1=4,EconomicInputs!U134,"error"))))</f>
        <v>6042440000</v>
      </c>
      <c r="V6" s="27">
        <f>IF(PolicyInputs!$B$1=1,EconomicInputs!V38,IF(PolicyInputs!$B$1=2,EconomicInputs!V70,IF(PolicyInputs!$B$1=3,EconomicInputs!V102,IF(PolicyInputs!$B$1=4,EconomicInputs!V134,"error"))))</f>
        <v>280331361.54000401</v>
      </c>
      <c r="W6" s="27">
        <f>IF(PolicyInputs!$B$1=1,EconomicInputs!W38,IF(PolicyInputs!$B$1=2,EconomicInputs!W70,IF(PolicyInputs!$B$1=3,EconomicInputs!W102,IF(PolicyInputs!$B$1=4,EconomicInputs!W134,"error"))))</f>
        <v>5519876</v>
      </c>
      <c r="X6" s="27">
        <f>IF(PolicyInputs!$B$1=1,EconomicInputs!X38,IF(PolicyInputs!$B$1=2,EconomicInputs!X70,IF(PolicyInputs!$B$1=3,EconomicInputs!X102,IF(PolicyInputs!$B$1=4,EconomicInputs!X134,"error"))))</f>
        <v>86221792000</v>
      </c>
      <c r="Y6" s="61">
        <f>IF(PolicyInputs!$B$1=1,EconomicInputs!Y38,IF(PolicyInputs!$B$1=2,EconomicInputs!Y70,IF(PolicyInputs!$B$1=3,EconomicInputs!Y102,IF(PolicyInputs!$B$1=4,EconomicInputs!Y134,"error"))))</f>
        <v>0</v>
      </c>
      <c r="Z6" s="61">
        <f>IF(PolicyInputs!$B$1=1,EconomicInputs!Z38,IF(PolicyInputs!$B$1=2,EconomicInputs!Z70,IF(PolicyInputs!$B$1=3,EconomicInputs!Z102,IF(PolicyInputs!$B$1=4,EconomicInputs!Z134,"error"))))</f>
        <v>53639630</v>
      </c>
      <c r="AA6" s="61">
        <f>IF(PolicyInputs!$B$1=1,EconomicInputs!AA38,IF(PolicyInputs!$B$1=2,EconomicInputs!AA70,IF(PolicyInputs!$B$1=3,EconomicInputs!AA102,IF(PolicyInputs!$B$1=4,EconomicInputs!AA134,"error"))))</f>
        <v>650673897</v>
      </c>
      <c r="AD6" s="59">
        <f t="shared" si="0"/>
        <v>75422436208.021698</v>
      </c>
      <c r="AE6" s="92"/>
    </row>
    <row r="7" spans="1:31">
      <c r="A7" s="3">
        <f>A6+1</f>
        <v>2013</v>
      </c>
      <c r="B7" s="27">
        <f>IF(PolicyInputs!$B$1=1,EconomicInputs!B39,IF(PolicyInputs!$B$1=2,EconomicInputs!B71,IF(PolicyInputs!$B$1=3,EconomicInputs!B103,IF(PolicyInputs!$B$1=4,EconomicInputs!B135,"error"))))</f>
        <v>6570713</v>
      </c>
      <c r="C7" s="27">
        <f>IF(PolicyInputs!$B$1=1,EconomicInputs!C39,IF(PolicyInputs!$B$1=2,EconomicInputs!C71,IF(PolicyInputs!$B$1=3,EconomicInputs!C103,IF(PolicyInputs!$B$1=4,EconomicInputs!C135,"error"))))</f>
        <v>4579439</v>
      </c>
      <c r="D7" s="27">
        <f>IF(PolicyInputs!$B$1=1,EconomicInputs!D39,IF(PolicyInputs!$B$1=2,EconomicInputs!D71,IF(PolicyInputs!$B$1=3,EconomicInputs!D103,IF(PolicyInputs!$B$1=4,EconomicInputs!D135,"error"))))</f>
        <v>199270.51641000001</v>
      </c>
      <c r="E7" s="27">
        <f>IF(PolicyInputs!$B$1=1,EconomicInputs!E39,IF(PolicyInputs!$B$1=2,EconomicInputs!E71,IF(PolicyInputs!$B$1=3,EconomicInputs!E103,IF(PolicyInputs!$B$1=4,EconomicInputs!E135,"error"))))</f>
        <v>5069713.2174608633</v>
      </c>
      <c r="F7" s="27">
        <f>IF(PolicyInputs!$B$1=1,EconomicInputs!F39,IF(PolicyInputs!$B$1=2,EconomicInputs!F71,IF(PolicyInputs!$B$1=3,EconomicInputs!F103,IF(PolicyInputs!$B$1=4,EconomicInputs!F135,"error"))))</f>
        <v>379</v>
      </c>
      <c r="G7" s="27">
        <f>IF(PolicyInputs!$B$1=1,EconomicInputs!G39,IF(PolicyInputs!$B$1=2,EconomicInputs!G71,IF(PolicyInputs!$B$1=3,EconomicInputs!G103,IF(PolicyInputs!$B$1=4,EconomicInputs!G135,"error"))))</f>
        <v>8677.7101725000011</v>
      </c>
      <c r="H7" s="27">
        <f>IF(PolicyInputs!$B$1=1,EconomicInputs!H39,IF(PolicyInputs!$B$1=2,EconomicInputs!H71,IF(PolicyInputs!$B$1=3,EconomicInputs!H103,IF(PolicyInputs!$B$1=4,EconomicInputs!H135,"error"))))</f>
        <v>172887.47836927942</v>
      </c>
      <c r="I7" s="27">
        <f>IF(PolicyInputs!$B$1=1,EconomicInputs!I39,IF(PolicyInputs!$B$1=2,EconomicInputs!I71,IF(PolicyInputs!$B$1=3,EconomicInputs!I103,IF(PolicyInputs!$B$1=4,EconomicInputs!I135,"error"))))</f>
        <v>62234.78061664899</v>
      </c>
      <c r="J7" s="27">
        <f>IF(PolicyInputs!$B$1=1,EconomicInputs!J39,IF(PolicyInputs!$B$1=2,EconomicInputs!J71,IF(PolicyInputs!$B$1=3,EconomicInputs!J103,IF(PolicyInputs!$B$1=4,EconomicInputs!J135,"error"))))</f>
        <v>92800000</v>
      </c>
      <c r="K7" s="27">
        <f>IF(PolicyInputs!$B$1=1,EconomicInputs!K39,IF(PolicyInputs!$B$1=2,EconomicInputs!K71,IF(PolicyInputs!$B$1=3,EconomicInputs!K103,IF(PolicyInputs!$B$1=4,EconomicInputs!K135,"error"))))</f>
        <v>3054744062.5489893</v>
      </c>
      <c r="L7" s="27">
        <f>IF(PolicyInputs!$B$1=1,EconomicInputs!L39,IF(PolicyInputs!$B$1=2,EconomicInputs!L71,IF(PolicyInputs!$B$1=3,EconomicInputs!L103,IF(PolicyInputs!$B$1=4,EconomicInputs!L135,"error"))))</f>
        <v>1180148397.0848982</v>
      </c>
      <c r="M7" s="27">
        <f>IF(PolicyInputs!$B$1=1,EconomicInputs!M39,IF(PolicyInputs!$B$1=2,EconomicInputs!M71,IF(PolicyInputs!$B$1=3,EconomicInputs!M103,IF(PolicyInputs!$B$1=4,EconomicInputs!M135,"error"))))</f>
        <v>944118717.66791868</v>
      </c>
      <c r="N7" s="51">
        <f>IF(PolicyInputs!$B$1=1,EconomicInputs!N39,IF(PolicyInputs!$B$1=2,EconomicInputs!N71,IF(PolicyInputs!$B$1=3,EconomicInputs!N103,IF(PolicyInputs!$B$1=4,EconomicInputs!N135,"error"))))</f>
        <v>3.36356886</v>
      </c>
      <c r="O7" s="51">
        <f>IF(PolicyInputs!$B$1=1,EconomicInputs!O39,IF(PolicyInputs!$B$1=2,EconomicInputs!O71,IF(PolicyInputs!$B$1=3,EconomicInputs!O103,IF(PolicyInputs!$B$1=4,EconomicInputs!O135,"error"))))</f>
        <v>3.6524630660000001</v>
      </c>
      <c r="P7" s="27">
        <f>IF(PolicyInputs!$B$1=1,EconomicInputs!P39,IF(PolicyInputs!$B$1=2,EconomicInputs!P71,IF(PolicyInputs!$B$1=3,EconomicInputs!P103,IF(PolicyInputs!$B$1=4,EconomicInputs!P135,"error"))))</f>
        <v>419571927.5</v>
      </c>
      <c r="Q7" s="27">
        <f>IF(PolicyInputs!$B$1=1,EconomicInputs!Q39,IF(PolicyInputs!$B$1=2,EconomicInputs!Q71,IF(PolicyInputs!$B$1=3,EconomicInputs!Q103,IF(PolicyInputs!$B$1=4,EconomicInputs!Q135,"error"))))</f>
        <v>66749279898.031837</v>
      </c>
      <c r="R7" s="27">
        <f>IF(PolicyInputs!$B$1=1,EconomicInputs!R39,IF(PolicyInputs!$B$1=2,EconomicInputs!R71,IF(PolicyInputs!$B$1=3,EconomicInputs!R103,IF(PolicyInputs!$B$1=4,EconomicInputs!R135,"error"))))</f>
        <v>8428057.4681599848</v>
      </c>
      <c r="S7" s="27">
        <f>IF(PolicyInputs!$B$1=1,EconomicInputs!S39,IF(PolicyInputs!$B$1=2,EconomicInputs!S71,IF(PolicyInputs!$B$1=3,EconomicInputs!S103,IF(PolicyInputs!$B$1=4,EconomicInputs!S135,"error"))))</f>
        <v>144943029.5</v>
      </c>
      <c r="T7" s="27">
        <f>IF(PolicyInputs!$B$1=1,EconomicInputs!T39,IF(PolicyInputs!$B$1=2,EconomicInputs!T71,IF(PolicyInputs!$B$1=3,EconomicInputs!T103,IF(PolicyInputs!$B$1=4,EconomicInputs!T135,"error"))))</f>
        <v>2866293349.0099998</v>
      </c>
      <c r="U7" s="27">
        <f>IF(PolicyInputs!$B$1=1,EconomicInputs!U39,IF(PolicyInputs!$B$1=2,EconomicInputs!U71,IF(PolicyInputs!$B$1=3,EconomicInputs!U103,IF(PolicyInputs!$B$1=4,EconomicInputs!U135,"error"))))</f>
        <v>6161476068</v>
      </c>
      <c r="V7" s="27">
        <f>IF(PolicyInputs!$B$1=1,EconomicInputs!V39,IF(PolicyInputs!$B$1=2,EconomicInputs!V71,IF(PolicyInputs!$B$1=3,EconomicInputs!V103,IF(PolicyInputs!$B$1=4,EconomicInputs!V135,"error"))))</f>
        <v>264768397.83436936</v>
      </c>
      <c r="W7" s="27">
        <f>IF(PolicyInputs!$B$1=1,EconomicInputs!W39,IF(PolicyInputs!$B$1=2,EconomicInputs!W71,IF(PolicyInputs!$B$1=3,EconomicInputs!W103,IF(PolicyInputs!$B$1=4,EconomicInputs!W135,"error"))))</f>
        <v>5492012</v>
      </c>
      <c r="X7" s="27">
        <f>IF(PolicyInputs!$B$1=1,EconomicInputs!X39,IF(PolicyInputs!$B$1=2,EconomicInputs!X71,IF(PolicyInputs!$B$1=3,EconomicInputs!X103,IF(PolicyInputs!$B$1=4,EconomicInputs!X135,"error"))))</f>
        <v>89720902000</v>
      </c>
      <c r="Y7" s="61">
        <f>IF(PolicyInputs!$B$1=1,EconomicInputs!Y39,IF(PolicyInputs!$B$1=2,EconomicInputs!Y71,IF(PolicyInputs!$B$1=3,EconomicInputs!Y103,IF(PolicyInputs!$B$1=4,EconomicInputs!Y135,"error"))))</f>
        <v>23699688969.945053</v>
      </c>
      <c r="Z7" s="61">
        <f>IF(PolicyInputs!$B$1=1,EconomicInputs!Z39,IF(PolicyInputs!$B$1=2,EconomicInputs!Z71,IF(PolicyInputs!$B$1=3,EconomicInputs!Z103,IF(PolicyInputs!$B$1=4,EconomicInputs!Z135,"error"))))</f>
        <v>53749413.333333336</v>
      </c>
      <c r="AA7" s="61">
        <f>IF(PolicyInputs!$B$1=1,EconomicInputs!AA39,IF(PolicyInputs!$B$1=2,EconomicInputs!AA71,IF(PolicyInputs!$B$1=3,EconomicInputs!AA103,IF(PolicyInputs!$B$1=4,EconomicInputs!AA135,"error"))))</f>
        <v>653996175.4713099</v>
      </c>
      <c r="AD7" s="59">
        <f t="shared" si="0"/>
        <v>76349992329.509995</v>
      </c>
      <c r="AE7" s="92"/>
    </row>
    <row r="8" spans="1:31">
      <c r="A8" s="3">
        <f>A7+1</f>
        <v>2014</v>
      </c>
      <c r="B8" s="27">
        <f>IF(PolicyInputs!$B$1=1,EconomicInputs!B40,IF(PolicyInputs!$B$1=2,EconomicInputs!B72,IF(PolicyInputs!$B$1=3,EconomicInputs!B104,IF(PolicyInputs!$B$1=4,EconomicInputs!B136,"error"))))</f>
        <v>6596855</v>
      </c>
      <c r="C8" s="27">
        <f>IF(PolicyInputs!$B$1=1,EconomicInputs!C40,IF(PolicyInputs!$B$1=2,EconomicInputs!C72,IF(PolicyInputs!$B$1=3,EconomicInputs!C104,IF(PolicyInputs!$B$1=4,EconomicInputs!C136,"error"))))</f>
        <v>4563231</v>
      </c>
      <c r="D8" s="27">
        <f>IF(PolicyInputs!$B$1=1,EconomicInputs!D40,IF(PolicyInputs!$B$1=2,EconomicInputs!D72,IF(PolicyInputs!$B$1=3,EconomicInputs!D104,IF(PolicyInputs!$B$1=4,EconomicInputs!D136,"error"))))</f>
        <v>201263.22157410003</v>
      </c>
      <c r="E8" s="27">
        <f>IF(PolicyInputs!$B$1=1,EconomicInputs!E40,IF(PolicyInputs!$B$1=2,EconomicInputs!E72,IF(PolicyInputs!$B$1=3,EconomicInputs!E104,IF(PolicyInputs!$B$1=4,EconomicInputs!E136,"error"))))</f>
        <v>5120100.772731971</v>
      </c>
      <c r="F8" s="27">
        <f>IF(PolicyInputs!$B$1=1,EconomicInputs!F40,IF(PolicyInputs!$B$1=2,EconomicInputs!F72,IF(PolicyInputs!$B$1=3,EconomicInputs!F104,IF(PolicyInputs!$B$1=4,EconomicInputs!F136,"error"))))</f>
        <v>582</v>
      </c>
      <c r="G8" s="27">
        <f>IF(PolicyInputs!$B$1=1,EconomicInputs!G40,IF(PolicyInputs!$B$1=2,EconomicInputs!G72,IF(PolicyInputs!$B$1=3,EconomicInputs!G104,IF(PolicyInputs!$B$1=4,EconomicInputs!G136,"error"))))</f>
        <v>8764.4872742250009</v>
      </c>
      <c r="H8" s="27">
        <f>IF(PolicyInputs!$B$1=1,EconomicInputs!H40,IF(PolicyInputs!$B$1=2,EconomicInputs!H72,IF(PolicyInputs!$B$1=3,EconomicInputs!H104,IF(PolicyInputs!$B$1=4,EconomicInputs!H136,"error"))))</f>
        <v>174028.53572651668</v>
      </c>
      <c r="I8" s="27">
        <f>IF(PolicyInputs!$B$1=1,EconomicInputs!I40,IF(PolicyInputs!$B$1=2,EconomicInputs!I72,IF(PolicyInputs!$B$1=3,EconomicInputs!I104,IF(PolicyInputs!$B$1=4,EconomicInputs!I136,"error"))))</f>
        <v>63460.805794796979</v>
      </c>
      <c r="J8" s="27">
        <f>IF(PolicyInputs!$B$1=1,EconomicInputs!J40,IF(PolicyInputs!$B$1=2,EconomicInputs!J72,IF(PolicyInputs!$B$1=3,EconomicInputs!J104,IF(PolicyInputs!$B$1=4,EconomicInputs!J136,"error"))))</f>
        <v>96100000</v>
      </c>
      <c r="K8" s="27">
        <f>IF(PolicyInputs!$B$1=1,EconomicInputs!K40,IF(PolicyInputs!$B$1=2,EconomicInputs!K72,IF(PolicyInputs!$B$1=3,EconomicInputs!K104,IF(PolicyInputs!$B$1=4,EconomicInputs!K136,"error"))))</f>
        <v>3031687719.9218755</v>
      </c>
      <c r="L8" s="27">
        <f>IF(PolicyInputs!$B$1=1,EconomicInputs!L40,IF(PolicyInputs!$B$1=2,EconomicInputs!L72,IF(PolicyInputs!$B$1=3,EconomicInputs!L104,IF(PolicyInputs!$B$1=4,EconomicInputs!L136,"error"))))</f>
        <v>1191736558.220331</v>
      </c>
      <c r="M8" s="27">
        <f>IF(PolicyInputs!$B$1=1,EconomicInputs!M40,IF(PolicyInputs!$B$1=2,EconomicInputs!M72,IF(PolicyInputs!$B$1=3,EconomicInputs!M104,IF(PolicyInputs!$B$1=4,EconomicInputs!M136,"error"))))</f>
        <v>953389246.57626486</v>
      </c>
      <c r="N8" s="51">
        <f>IF(PolicyInputs!$B$1=1,EconomicInputs!N40,IF(PolicyInputs!$B$1=2,EconomicInputs!N72,IF(PolicyInputs!$B$1=3,EconomicInputs!N104,IF(PolicyInputs!$B$1=4,EconomicInputs!N136,"error"))))</f>
        <v>3.184828488</v>
      </c>
      <c r="O8" s="51">
        <f>IF(PolicyInputs!$B$1=1,EconomicInputs!O40,IF(PolicyInputs!$B$1=2,EconomicInputs!O72,IF(PolicyInputs!$B$1=3,EconomicInputs!O104,IF(PolicyInputs!$B$1=4,EconomicInputs!O136,"error"))))</f>
        <v>3.4678784280000001</v>
      </c>
      <c r="P8" s="27">
        <f>IF(PolicyInputs!$B$1=1,EconomicInputs!P40,IF(PolicyInputs!$B$1=2,EconomicInputs!P72,IF(PolicyInputs!$B$1=3,EconomicInputs!P104,IF(PolicyInputs!$B$1=4,EconomicInputs!P136,"error"))))</f>
        <v>423767646.77499998</v>
      </c>
      <c r="Q8" s="27">
        <f>IF(PolicyInputs!$B$1=1,EconomicInputs!Q40,IF(PolicyInputs!$B$1=2,EconomicInputs!Q72,IF(PolicyInputs!$B$1=3,EconomicInputs!Q104,IF(PolicyInputs!$B$1=4,EconomicInputs!Q136,"error"))))</f>
        <v>67412696719.832497</v>
      </c>
      <c r="R8" s="27">
        <f>IF(PolicyInputs!$B$1=1,EconomicInputs!R40,IF(PolicyInputs!$B$1=2,EconomicInputs!R72,IF(PolicyInputs!$B$1=3,EconomicInputs!R104,IF(PolicyInputs!$B$1=4,EconomicInputs!R136,"error"))))</f>
        <v>12588315.222503254</v>
      </c>
      <c r="S8" s="27">
        <f>IF(PolicyInputs!$B$1=1,EconomicInputs!S40,IF(PolicyInputs!$B$1=2,EconomicInputs!S72,IF(PolicyInputs!$B$1=3,EconomicInputs!S104,IF(PolicyInputs!$B$1=4,EconomicInputs!S136,"error"))))</f>
        <v>146392459.79499999</v>
      </c>
      <c r="T8" s="27">
        <f>IF(PolicyInputs!$B$1=1,EconomicInputs!T40,IF(PolicyInputs!$B$1=2,EconomicInputs!T72,IF(PolicyInputs!$B$1=3,EconomicInputs!T104,IF(PolicyInputs!$B$1=4,EconomicInputs!T136,"error"))))</f>
        <v>2885210885.1134658</v>
      </c>
      <c r="U8" s="27">
        <f>IF(PolicyInputs!$B$1=1,EconomicInputs!U40,IF(PolicyInputs!$B$1=2,EconomicInputs!U72,IF(PolicyInputs!$B$1=3,EconomicInputs!U104,IF(PolicyInputs!$B$1=4,EconomicInputs!U136,"error"))))</f>
        <v>6282857146.5395994</v>
      </c>
      <c r="V8" s="27">
        <f>IF(PolicyInputs!$B$1=1,EconomicInputs!V40,IF(PolicyInputs!$B$1=2,EconomicInputs!V72,IF(PolicyInputs!$B$1=3,EconomicInputs!V104,IF(PolicyInputs!$B$1=4,EconomicInputs!V136,"error"))))</f>
        <v>313597854.42149591</v>
      </c>
      <c r="W8" s="27">
        <f>IF(PolicyInputs!$B$1=1,EconomicInputs!W40,IF(PolicyInputs!$B$1=2,EconomicInputs!W72,IF(PolicyInputs!$B$1=3,EconomicInputs!W104,IF(PolicyInputs!$B$1=4,EconomicInputs!W136,"error"))))</f>
        <v>5459060</v>
      </c>
      <c r="X8" s="27">
        <f>IF(PolicyInputs!$B$1=1,EconomicInputs!X40,IF(PolicyInputs!$B$1=2,EconomicInputs!X72,IF(PolicyInputs!$B$1=3,EconomicInputs!X104,IF(PolicyInputs!$B$1=4,EconomicInputs!X136,"error"))))</f>
        <v>91929139000</v>
      </c>
      <c r="Y8" s="61">
        <f>IF(PolicyInputs!$B$1=1,EconomicInputs!Y40,IF(PolicyInputs!$B$1=2,EconomicInputs!Y72,IF(PolicyInputs!$B$1=3,EconomicInputs!Y104,IF(PolicyInputs!$B$1=4,EconomicInputs!Y136,"error"))))</f>
        <v>25186078523.433437</v>
      </c>
      <c r="Z8" s="61">
        <f>IF(PolicyInputs!$B$1=1,EconomicInputs!Z40,IF(PolicyInputs!$B$1=2,EconomicInputs!Z72,IF(PolicyInputs!$B$1=3,EconomicInputs!Z104,IF(PolicyInputs!$B$1=4,EconomicInputs!Z136,"error"))))</f>
        <v>61238700</v>
      </c>
      <c r="AA8" s="61">
        <f>IF(PolicyInputs!$B$1=1,EconomicInputs!AA40,IF(PolicyInputs!$B$1=2,EconomicInputs!AA72,IF(PolicyInputs!$B$1=3,EconomicInputs!AA104,IF(PolicyInputs!$B$1=4,EconomicInputs!AA136,"error"))))</f>
        <v>656598140.89259231</v>
      </c>
      <c r="AD8" s="59">
        <f t="shared" si="0"/>
        <v>77163513173.278061</v>
      </c>
      <c r="AE8" s="92"/>
    </row>
    <row r="9" spans="1:31">
      <c r="A9" s="3">
        <f>A8+1</f>
        <v>2015</v>
      </c>
      <c r="B9" s="27">
        <f>IF(PolicyInputs!$B$1=1,EconomicInputs!B41,IF(PolicyInputs!$B$1=2,EconomicInputs!B73,IF(PolicyInputs!$B$1=3,EconomicInputs!B105,IF(PolicyInputs!$B$1=4,EconomicInputs!B137,"error"))))</f>
        <v>6688049</v>
      </c>
      <c r="C9" s="27">
        <f>IF(PolicyInputs!$B$1=1,EconomicInputs!C41,IF(PolicyInputs!$B$1=2,EconomicInputs!C73,IF(PolicyInputs!$B$1=3,EconomicInputs!C105,IF(PolicyInputs!$B$1=4,EconomicInputs!C137,"error"))))</f>
        <v>4628129.9079999998</v>
      </c>
      <c r="D9" s="27">
        <f>IF(PolicyInputs!$B$1=1,EconomicInputs!D41,IF(PolicyInputs!$B$1=2,EconomicInputs!D73,IF(PolicyInputs!$B$1=3,EconomicInputs!D105,IF(PolicyInputs!$B$1=4,EconomicInputs!D137,"error"))))</f>
        <v>203275.85378984103</v>
      </c>
      <c r="E9" s="27">
        <f>IF(PolicyInputs!$B$1=1,EconomicInputs!E41,IF(PolicyInputs!$B$1=2,EconomicInputs!E73,IF(PolicyInputs!$B$1=3,EconomicInputs!E105,IF(PolicyInputs!$B$1=4,EconomicInputs!E137,"error"))))</f>
        <v>5170884.7270039385</v>
      </c>
      <c r="F9" s="27">
        <f>IF(PolicyInputs!$B$1=1,EconomicInputs!F41,IF(PolicyInputs!$B$1=2,EconomicInputs!F73,IF(PolicyInputs!$B$1=3,EconomicInputs!F105,IF(PolicyInputs!$B$1=4,EconomicInputs!F137,"error"))))</f>
        <v>1382.7168999351561</v>
      </c>
      <c r="G9" s="27">
        <f>IF(PolicyInputs!$B$1=1,EconomicInputs!G41,IF(PolicyInputs!$B$1=2,EconomicInputs!G73,IF(PolicyInputs!$B$1=3,EconomicInputs!G105,IF(PolicyInputs!$B$1=4,EconomicInputs!G137,"error"))))</f>
        <v>8852.1321469672512</v>
      </c>
      <c r="H9" s="27">
        <f>IF(PolicyInputs!$B$1=1,EconomicInputs!H41,IF(PolicyInputs!$B$1=2,EconomicInputs!H73,IF(PolicyInputs!$B$1=3,EconomicInputs!H105,IF(PolicyInputs!$B$1=4,EconomicInputs!H137,"error"))))</f>
        <v>175177.12406231163</v>
      </c>
      <c r="I9" s="27">
        <f>IF(PolicyInputs!$B$1=1,EconomicInputs!I41,IF(PolicyInputs!$B$1=2,EconomicInputs!I73,IF(PolicyInputs!$B$1=3,EconomicInputs!I105,IF(PolicyInputs!$B$1=4,EconomicInputs!I137,"error"))))</f>
        <v>64710.983668954475</v>
      </c>
      <c r="J9" s="27">
        <f>IF(PolicyInputs!$B$1=1,EconomicInputs!J41,IF(PolicyInputs!$B$1=2,EconomicInputs!J73,IF(PolicyInputs!$B$1=3,EconomicInputs!J105,IF(PolicyInputs!$B$1=4,EconomicInputs!J137,"error"))))</f>
        <v>94748446.181286544</v>
      </c>
      <c r="K9" s="27">
        <f>IF(PolicyInputs!$B$1=1,EconomicInputs!K41,IF(PolicyInputs!$B$1=2,EconomicInputs!K73,IF(PolicyInputs!$B$1=3,EconomicInputs!K105,IF(PolicyInputs!$B$1=4,EconomicInputs!K137,"error"))))</f>
        <v>2917679864.2568655</v>
      </c>
      <c r="L9" s="27">
        <f>IF(PolicyInputs!$B$1=1,EconomicInputs!L41,IF(PolicyInputs!$B$1=2,EconomicInputs!L73,IF(PolicyInputs!$B$1=3,EconomicInputs!L105,IF(PolicyInputs!$B$1=4,EconomicInputs!L137,"error"))))</f>
        <v>1201293313.3255191</v>
      </c>
      <c r="M9" s="27">
        <f>IF(PolicyInputs!$B$1=1,EconomicInputs!M41,IF(PolicyInputs!$B$1=2,EconomicInputs!M73,IF(PolicyInputs!$B$1=3,EconomicInputs!M105,IF(PolicyInputs!$B$1=4,EconomicInputs!M137,"error"))))</f>
        <v>961034650.66041529</v>
      </c>
      <c r="N9" s="51">
        <f>IF(PolicyInputs!$B$1=1,EconomicInputs!N41,IF(PolicyInputs!$B$1=2,EconomicInputs!N73,IF(PolicyInputs!$B$1=3,EconomicInputs!N105,IF(PolicyInputs!$B$1=4,EconomicInputs!N137,"error"))))</f>
        <v>2.9766796499999999</v>
      </c>
      <c r="O9" s="51">
        <f>IF(PolicyInputs!$B$1=1,EconomicInputs!O41,IF(PolicyInputs!$B$1=2,EconomicInputs!O73,IF(PolicyInputs!$B$1=3,EconomicInputs!O105,IF(PolicyInputs!$B$1=4,EconomicInputs!O137,"error"))))</f>
        <v>3.3017033804999998</v>
      </c>
      <c r="P9" s="27">
        <f>IF(PolicyInputs!$B$1=1,EconomicInputs!P41,IF(PolicyInputs!$B$1=2,EconomicInputs!P73,IF(PolicyInputs!$B$1=3,EconomicInputs!P105,IF(PolicyInputs!$B$1=4,EconomicInputs!P137,"error"))))</f>
        <v>428005323.24274999</v>
      </c>
      <c r="Q9" s="27">
        <f>IF(PolicyInputs!$B$1=1,EconomicInputs!Q41,IF(PolicyInputs!$B$1=2,EconomicInputs!Q73,IF(PolicyInputs!$B$1=3,EconomicInputs!Q105,IF(PolicyInputs!$B$1=4,EconomicInputs!Q137,"error"))))</f>
        <v>68081332643.13353</v>
      </c>
      <c r="R9" s="27">
        <f>IF(PolicyInputs!$B$1=1,EconomicInputs!R41,IF(PolicyInputs!$B$1=2,EconomicInputs!R73,IF(PolicyInputs!$B$1=3,EconomicInputs!R105,IF(PolicyInputs!$B$1=4,EconomicInputs!R137,"error"))))</f>
        <v>18205242.272026967</v>
      </c>
      <c r="S9" s="27">
        <f>IF(PolicyInputs!$B$1=1,EconomicInputs!S41,IF(PolicyInputs!$B$1=2,EconomicInputs!S73,IF(PolicyInputs!$B$1=3,EconomicInputs!S105,IF(PolicyInputs!$B$1=4,EconomicInputs!S137,"error"))))</f>
        <v>147856384.39295</v>
      </c>
      <c r="T9" s="27">
        <f>IF(PolicyInputs!$B$1=1,EconomicInputs!T41,IF(PolicyInputs!$B$1=2,EconomicInputs!T73,IF(PolicyInputs!$B$1=3,EconomicInputs!T105,IF(PolicyInputs!$B$1=4,EconomicInputs!T137,"error"))))</f>
        <v>2904253276.955214</v>
      </c>
      <c r="U9" s="27">
        <f>IF(PolicyInputs!$B$1=1,EconomicInputs!U41,IF(PolicyInputs!$B$1=2,EconomicInputs!U73,IF(PolicyInputs!$B$1=3,EconomicInputs!U105,IF(PolicyInputs!$B$1=4,EconomicInputs!U137,"error"))))</f>
        <v>6406629432.3264294</v>
      </c>
      <c r="V9" s="27">
        <f>IF(PolicyInputs!$B$1=1,EconomicInputs!V41,IF(PolicyInputs!$B$1=2,EconomicInputs!V73,IF(PolicyInputs!$B$1=3,EconomicInputs!V105,IF(PolicyInputs!$B$1=4,EconomicInputs!V137,"error"))))</f>
        <v>325881311.9406864</v>
      </c>
      <c r="W9" s="27">
        <f>IF(PolicyInputs!$B$1=1,EconomicInputs!W41,IF(PolicyInputs!$B$1=2,EconomicInputs!W73,IF(PolicyInputs!$B$1=3,EconomicInputs!W105,IF(PolicyInputs!$B$1=4,EconomicInputs!W137,"error"))))</f>
        <v>5500843.0267771417</v>
      </c>
      <c r="X9" s="27">
        <f>IF(PolicyInputs!$B$1=1,EconomicInputs!X41,IF(PolicyInputs!$B$1=2,EconomicInputs!X73,IF(PolicyInputs!$B$1=3,EconomicInputs!X105,IF(PolicyInputs!$B$1=4,EconomicInputs!X137,"error"))))</f>
        <v>95205426000</v>
      </c>
      <c r="Y9" s="61">
        <f>IF(PolicyInputs!$B$1=1,EconomicInputs!Y41,IF(PolicyInputs!$B$1=2,EconomicInputs!Y73,IF(PolicyInputs!$B$1=3,EconomicInputs!Y105,IF(PolicyInputs!$B$1=4,EconomicInputs!Y137,"error"))))</f>
        <v>26374661215.463669</v>
      </c>
      <c r="Z9" s="61">
        <f>IF(PolicyInputs!$B$1=1,EconomicInputs!Z41,IF(PolicyInputs!$B$1=2,EconomicInputs!Z73,IF(PolicyInputs!$B$1=3,EconomicInputs!Z105,IF(PolicyInputs!$B$1=4,EconomicInputs!Z137,"error"))))</f>
        <v>64154342.498143569</v>
      </c>
      <c r="AA9" s="61">
        <f>IF(PolicyInputs!$B$1=1,EconomicInputs!AA41,IF(PolicyInputs!$B$1=2,EconomicInputs!AA73,IF(PolicyInputs!$B$1=3,EconomicInputs!AA105,IF(PolicyInputs!$B$1=4,EconomicInputs!AA137,"error"))))</f>
        <v>665674861.67250323</v>
      </c>
      <c r="AD9" s="59">
        <f t="shared" si="0"/>
        <v>77986282302.322906</v>
      </c>
      <c r="AE9" s="92"/>
    </row>
    <row r="10" spans="1:31">
      <c r="A10" s="3">
        <f t="shared" ref="A10:A29" si="1">A9+1</f>
        <v>2016</v>
      </c>
      <c r="B10" s="27">
        <f>IF(PolicyInputs!$B$1=1,EconomicInputs!B42,IF(PolicyInputs!$B$1=2,EconomicInputs!B74,IF(PolicyInputs!$B$1=3,EconomicInputs!B106,IF(PolicyInputs!$B$1=4,EconomicInputs!B138,"error"))))</f>
        <v>6728852.0826461725</v>
      </c>
      <c r="C10" s="27">
        <f>IF(PolicyInputs!$B$1=1,EconomicInputs!C42,IF(PolicyInputs!$B$1=2,EconomicInputs!C74,IF(PolicyInputs!$B$1=3,EconomicInputs!C106,IF(PolicyInputs!$B$1=4,EconomicInputs!C138,"error"))))</f>
        <v>4656365.641191151</v>
      </c>
      <c r="D10" s="27">
        <f>IF(PolicyInputs!$B$1=1,EconomicInputs!D42,IF(PolicyInputs!$B$1=2,EconomicInputs!D74,IF(PolicyInputs!$B$1=3,EconomicInputs!D106,IF(PolicyInputs!$B$1=4,EconomicInputs!D138,"error"))))</f>
        <v>205308.61232773945</v>
      </c>
      <c r="E10" s="27">
        <f>IF(PolicyInputs!$B$1=1,EconomicInputs!E42,IF(PolicyInputs!$B$1=2,EconomicInputs!E74,IF(PolicyInputs!$B$1=3,EconomicInputs!E106,IF(PolicyInputs!$B$1=4,EconomicInputs!E138,"error"))))</f>
        <v>5222247.1655888865</v>
      </c>
      <c r="F10" s="27">
        <f>IF(PolicyInputs!$B$1=1,EconomicInputs!F42,IF(PolicyInputs!$B$1=2,EconomicInputs!F74,IF(PolicyInputs!$B$1=3,EconomicInputs!F106,IF(PolicyInputs!$B$1=4,EconomicInputs!F138,"error"))))</f>
        <v>1742.9527540253475</v>
      </c>
      <c r="G10" s="27">
        <f>IF(PolicyInputs!$B$1=1,EconomicInputs!G42,IF(PolicyInputs!$B$1=2,EconomicInputs!G74,IF(PolicyInputs!$B$1=3,EconomicInputs!G106,IF(PolicyInputs!$B$1=4,EconomicInputs!G138,"error"))))</f>
        <v>8940.6534684369235</v>
      </c>
      <c r="H10" s="27">
        <f>IF(PolicyInputs!$B$1=1,EconomicInputs!H42,IF(PolicyInputs!$B$1=2,EconomicInputs!H74,IF(PolicyInputs!$B$1=3,EconomicInputs!H106,IF(PolicyInputs!$B$1=4,EconomicInputs!H138,"error"))))</f>
        <v>176333.29308112292</v>
      </c>
      <c r="I10" s="27">
        <f>IF(PolicyInputs!$B$1=1,EconomicInputs!I42,IF(PolicyInputs!$B$1=2,EconomicInputs!I74,IF(PolicyInputs!$B$1=3,EconomicInputs!I106,IF(PolicyInputs!$B$1=4,EconomicInputs!I138,"error"))))</f>
        <v>65985.790047232891</v>
      </c>
      <c r="J10" s="27">
        <f>IF(PolicyInputs!$B$1=1,EconomicInputs!J42,IF(PolicyInputs!$B$1=2,EconomicInputs!J74,IF(PolicyInputs!$B$1=3,EconomicInputs!J106,IF(PolicyInputs!$B$1=4,EconomicInputs!J138,"error"))))</f>
        <v>95417331.645059913</v>
      </c>
      <c r="K10" s="27">
        <f>IF(PolicyInputs!$B$1=1,EconomicInputs!K42,IF(PolicyInputs!$B$1=2,EconomicInputs!K74,IF(PolicyInputs!$B$1=3,EconomicInputs!K106,IF(PolicyInputs!$B$1=4,EconomicInputs!K138,"error"))))</f>
        <v>2896405221.5885086</v>
      </c>
      <c r="L10" s="27">
        <f>IF(PolicyInputs!$B$1=1,EconomicInputs!L42,IF(PolicyInputs!$B$1=2,EconomicInputs!L74,IF(PolicyInputs!$B$1=3,EconomicInputs!L106,IF(PolicyInputs!$B$1=4,EconomicInputs!L138,"error"))))</f>
        <v>1211203952.7380965</v>
      </c>
      <c r="M10" s="27">
        <f>IF(PolicyInputs!$B$1=1,EconomicInputs!M42,IF(PolicyInputs!$B$1=2,EconomicInputs!M74,IF(PolicyInputs!$B$1=3,EconomicInputs!M106,IF(PolicyInputs!$B$1=4,EconomicInputs!M138,"error"))))</f>
        <v>968963162.19047725</v>
      </c>
      <c r="N10" s="51">
        <f>IF(PolicyInputs!$B$1=1,EconomicInputs!N42,IF(PolicyInputs!$B$1=2,EconomicInputs!N74,IF(PolicyInputs!$B$1=3,EconomicInputs!N106,IF(PolicyInputs!$B$1=4,EconomicInputs!N138,"error"))))</f>
        <v>2.8737574860000001</v>
      </c>
      <c r="O10" s="51">
        <f>IF(PolicyInputs!$B$1=1,EconomicInputs!O42,IF(PolicyInputs!$B$1=2,EconomicInputs!O74,IF(PolicyInputs!$B$1=3,EconomicInputs!O106,IF(PolicyInputs!$B$1=4,EconomicInputs!O138,"error"))))</f>
        <v>3.2545656395</v>
      </c>
      <c r="P10" s="27">
        <f>IF(PolicyInputs!$B$1=1,EconomicInputs!P42,IF(PolicyInputs!$B$1=2,EconomicInputs!P74,IF(PolicyInputs!$B$1=3,EconomicInputs!P106,IF(PolicyInputs!$B$1=4,EconomicInputs!P138,"error"))))</f>
        <v>432285376.47517747</v>
      </c>
      <c r="Q10" s="27">
        <f>IF(PolicyInputs!$B$1=1,EconomicInputs!Q42,IF(PolicyInputs!$B$1=2,EconomicInputs!Q74,IF(PolicyInputs!$B$1=3,EconomicInputs!Q106,IF(PolicyInputs!$B$1=4,EconomicInputs!Q138,"error"))))</f>
        <v>68757585054.718536</v>
      </c>
      <c r="R10" s="27">
        <f>IF(PolicyInputs!$B$1=1,EconomicInputs!R42,IF(PolicyInputs!$B$1=2,EconomicInputs!R74,IF(PolicyInputs!$B$1=3,EconomicInputs!R106,IF(PolicyInputs!$B$1=4,EconomicInputs!R138,"error"))))</f>
        <v>22948209.541066907</v>
      </c>
      <c r="S10" s="27">
        <f>IF(PolicyInputs!$B$1=1,EconomicInputs!S42,IF(PolicyInputs!$B$1=2,EconomicInputs!S74,IF(PolicyInputs!$B$1=3,EconomicInputs!S106,IF(PolicyInputs!$B$1=4,EconomicInputs!S138,"error"))))</f>
        <v>149334948.2368795</v>
      </c>
      <c r="T10" s="27">
        <f>IF(PolicyInputs!$B$1=1,EconomicInputs!T42,IF(PolicyInputs!$B$1=2,EconomicInputs!T74,IF(PolicyInputs!$B$1=3,EconomicInputs!T106,IF(PolicyInputs!$B$1=4,EconomicInputs!T138,"error"))))</f>
        <v>2923421348.5831184</v>
      </c>
      <c r="U10" s="27">
        <f>IF(PolicyInputs!$B$1=1,EconomicInputs!U42,IF(PolicyInputs!$B$1=2,EconomicInputs!U74,IF(PolicyInputs!$B$1=3,EconomicInputs!U106,IF(PolicyInputs!$B$1=4,EconomicInputs!U138,"error"))))</f>
        <v>6532840032.14326</v>
      </c>
      <c r="V10" s="27">
        <f>IF(PolicyInputs!$B$1=1,EconomicInputs!V42,IF(PolicyInputs!$B$1=2,EconomicInputs!V74,IF(PolicyInputs!$B$1=3,EconomicInputs!V106,IF(PolicyInputs!$B$1=4,EconomicInputs!V138,"error"))))</f>
        <v>336066216.49471223</v>
      </c>
      <c r="W10" s="27">
        <f>IF(PolicyInputs!$B$1=1,EconomicInputs!W42,IF(PolicyInputs!$B$1=2,EconomicInputs!W74,IF(PolicyInputs!$B$1=3,EconomicInputs!W106,IF(PolicyInputs!$B$1=4,EconomicInputs!W138,"error"))))</f>
        <v>5565161.0619570594</v>
      </c>
      <c r="X10" s="27">
        <f>IF(PolicyInputs!$B$1=1,EconomicInputs!X42,IF(PolicyInputs!$B$1=2,EconomicInputs!X74,IF(PolicyInputs!$B$1=3,EconomicInputs!X106,IF(PolicyInputs!$B$1=4,EconomicInputs!X138,"error"))))</f>
        <v>98994412000</v>
      </c>
      <c r="Y10" s="61">
        <f>IF(PolicyInputs!$B$1=1,EconomicInputs!Y42,IF(PolicyInputs!$B$1=2,EconomicInputs!Y74,IF(PolicyInputs!$B$1=3,EconomicInputs!Y106,IF(PolicyInputs!$B$1=4,EconomicInputs!Y138,"error"))))</f>
        <v>27665150619.342133</v>
      </c>
      <c r="Z10" s="61">
        <f>IF(PolicyInputs!$B$1=1,EconomicInputs!Z42,IF(PolicyInputs!$B$1=2,EconomicInputs!Z74,IF(PolicyInputs!$B$1=3,EconomicInputs!Z106,IF(PolicyInputs!$B$1=4,EconomicInputs!Z138,"error"))))</f>
        <v>66341437.59844055</v>
      </c>
      <c r="AA10" s="61">
        <f>IF(PolicyInputs!$B$1=1,EconomicInputs!AA42,IF(PolicyInputs!$B$1=2,EconomicInputs!AA74,IF(PolicyInputs!$B$1=3,EconomicInputs!AA106,IF(PolicyInputs!$B$1=4,EconomicInputs!AA138,"error"))))</f>
        <v>669736073.90290141</v>
      </c>
      <c r="AD10" s="59">
        <f t="shared" si="0"/>
        <v>78818414969.698029</v>
      </c>
      <c r="AE10" s="92"/>
    </row>
    <row r="11" spans="1:31">
      <c r="A11" s="3">
        <f t="shared" si="1"/>
        <v>2017</v>
      </c>
      <c r="B11" s="27">
        <f>IF(PolicyInputs!$B$1=1,EconomicInputs!B43,IF(PolicyInputs!$B$1=2,EconomicInputs!B75,IF(PolicyInputs!$B$1=3,EconomicInputs!B107,IF(PolicyInputs!$B$1=4,EconomicInputs!B139,"error"))))</f>
        <v>6769904.100602692</v>
      </c>
      <c r="C11" s="27">
        <f>IF(PolicyInputs!$B$1=1,EconomicInputs!C43,IF(PolicyInputs!$B$1=2,EconomicInputs!C75,IF(PolicyInputs!$B$1=3,EconomicInputs!C107,IF(PolicyInputs!$B$1=4,EconomicInputs!C139,"error"))))</f>
        <v>4684773.6376170628</v>
      </c>
      <c r="D11" s="27">
        <f>IF(PolicyInputs!$B$1=1,EconomicInputs!D43,IF(PolicyInputs!$B$1=2,EconomicInputs!D75,IF(PolicyInputs!$B$1=3,EconomicInputs!D107,IF(PolicyInputs!$B$1=4,EconomicInputs!D139,"error"))))</f>
        <v>207361.69845101685</v>
      </c>
      <c r="E11" s="27">
        <f>IF(PolicyInputs!$B$1=1,EconomicInputs!E43,IF(PolicyInputs!$B$1=2,EconomicInputs!E75,IF(PolicyInputs!$B$1=3,EconomicInputs!E107,IF(PolicyInputs!$B$1=4,EconomicInputs!E139,"error"))))</f>
        <v>5274147.3086424097</v>
      </c>
      <c r="F11" s="27">
        <f>IF(PolicyInputs!$B$1=1,EconomicInputs!F43,IF(PolicyInputs!$B$1=2,EconomicInputs!F75,IF(PolicyInputs!$B$1=3,EconomicInputs!F107,IF(PolicyInputs!$B$1=4,EconomicInputs!F139,"error"))))</f>
        <v>2082.7108839321882</v>
      </c>
      <c r="G11" s="27">
        <f>IF(PolicyInputs!$B$1=1,EconomicInputs!G43,IF(PolicyInputs!$B$1=2,EconomicInputs!G75,IF(PolicyInputs!$B$1=3,EconomicInputs!G107,IF(PolicyInputs!$B$1=4,EconomicInputs!G139,"error"))))</f>
        <v>9030.0600031212925</v>
      </c>
      <c r="H11" s="27">
        <f>IF(PolicyInputs!$B$1=1,EconomicInputs!H43,IF(PolicyInputs!$B$1=2,EconomicInputs!H75,IF(PolicyInputs!$B$1=3,EconomicInputs!H107,IF(PolicyInputs!$B$1=4,EconomicInputs!H139,"error"))))</f>
        <v>177497.09281545828</v>
      </c>
      <c r="I11" s="27">
        <f>IF(PolicyInputs!$B$1=1,EconomicInputs!I43,IF(PolicyInputs!$B$1=2,EconomicInputs!I75,IF(PolicyInputs!$B$1=3,EconomicInputs!I107,IF(PolicyInputs!$B$1=4,EconomicInputs!I139,"error"))))</f>
        <v>67285.710111163382</v>
      </c>
      <c r="J11" s="27">
        <f>IF(PolicyInputs!$B$1=1,EconomicInputs!J43,IF(PolicyInputs!$B$1=2,EconomicInputs!J75,IF(PolicyInputs!$B$1=3,EconomicInputs!J107,IF(PolicyInputs!$B$1=4,EconomicInputs!J139,"error"))))</f>
        <v>96165572.479166165</v>
      </c>
      <c r="K11" s="27">
        <f>IF(PolicyInputs!$B$1=1,EconomicInputs!K43,IF(PolicyInputs!$B$1=2,EconomicInputs!K75,IF(PolicyInputs!$B$1=3,EconomicInputs!K107,IF(PolicyInputs!$B$1=4,EconomicInputs!K139,"error"))))</f>
        <v>2863462909.5483313</v>
      </c>
      <c r="L11" s="27">
        <f>IF(PolicyInputs!$B$1=1,EconomicInputs!L43,IF(PolicyInputs!$B$1=2,EconomicInputs!L75,IF(PolicyInputs!$B$1=3,EconomicInputs!L107,IF(PolicyInputs!$B$1=4,EconomicInputs!L139,"error"))))</f>
        <v>1217085875.7327056</v>
      </c>
      <c r="M11" s="27">
        <f>IF(PolicyInputs!$B$1=1,EconomicInputs!M43,IF(PolicyInputs!$B$1=2,EconomicInputs!M75,IF(PolicyInputs!$B$1=3,EconomicInputs!M107,IF(PolicyInputs!$B$1=4,EconomicInputs!M139,"error"))))</f>
        <v>973668700.58616447</v>
      </c>
      <c r="N11" s="51">
        <f>IF(PolicyInputs!$B$1=1,EconomicInputs!N43,IF(PolicyInputs!$B$1=2,EconomicInputs!N75,IF(PolicyInputs!$B$1=3,EconomicInputs!N107,IF(PolicyInputs!$B$1=4,EconomicInputs!N139,"error"))))</f>
        <v>2.8317264840000003</v>
      </c>
      <c r="O11" s="51">
        <f>IF(PolicyInputs!$B$1=1,EconomicInputs!O43,IF(PolicyInputs!$B$1=2,EconomicInputs!O75,IF(PolicyInputs!$B$1=3,EconomicInputs!O107,IF(PolicyInputs!$B$1=4,EconomicInputs!O139,"error"))))</f>
        <v>3.2552696014999998</v>
      </c>
      <c r="P11" s="27">
        <f>IF(PolicyInputs!$B$1=1,EconomicInputs!P43,IF(PolicyInputs!$B$1=2,EconomicInputs!P75,IF(PolicyInputs!$B$1=3,EconomicInputs!P107,IF(PolicyInputs!$B$1=4,EconomicInputs!P139,"error"))))</f>
        <v>436608230.23992926</v>
      </c>
      <c r="Q11" s="27">
        <f>IF(PolicyInputs!$B$1=1,EconomicInputs!Q43,IF(PolicyInputs!$B$1=2,EconomicInputs!Q75,IF(PolicyInputs!$B$1=3,EconomicInputs!Q107,IF(PolicyInputs!$B$1=4,EconomicInputs!Q139,"error"))))</f>
        <v>69440917035.607681</v>
      </c>
      <c r="R11" s="27">
        <f>IF(PolicyInputs!$B$1=1,EconomicInputs!R43,IF(PolicyInputs!$B$1=2,EconomicInputs!R75,IF(PolicyInputs!$B$1=3,EconomicInputs!R107,IF(PolicyInputs!$B$1=4,EconomicInputs!R139,"error"))))</f>
        <v>27421561.294511199</v>
      </c>
      <c r="S11" s="27">
        <f>IF(PolicyInputs!$B$1=1,EconomicInputs!S43,IF(PolicyInputs!$B$1=2,EconomicInputs!S75,IF(PolicyInputs!$B$1=3,EconomicInputs!S107,IF(PolicyInputs!$B$1=4,EconomicInputs!S139,"error"))))</f>
        <v>150828297.71924829</v>
      </c>
      <c r="T11" s="27">
        <f>IF(PolicyInputs!$B$1=1,EconomicInputs!T43,IF(PolicyInputs!$B$1=2,EconomicInputs!T75,IF(PolicyInputs!$B$1=3,EconomicInputs!T107,IF(PolicyInputs!$B$1=4,EconomicInputs!T139,"error"))))</f>
        <v>2942715929.483767</v>
      </c>
      <c r="U11" s="27">
        <f>IF(PolicyInputs!$B$1=1,EconomicInputs!U43,IF(PolicyInputs!$B$1=2,EconomicInputs!U75,IF(PolicyInputs!$B$1=3,EconomicInputs!U107,IF(PolicyInputs!$B$1=4,EconomicInputs!U139,"error"))))</f>
        <v>6661536980.7764845</v>
      </c>
      <c r="V11" s="27">
        <f>IF(PolicyInputs!$B$1=1,EconomicInputs!V43,IF(PolicyInputs!$B$1=2,EconomicInputs!V75,IF(PolicyInputs!$B$1=3,EconomicInputs!V107,IF(PolicyInputs!$B$1=4,EconomicInputs!V139,"error"))))</f>
        <v>346569434.11847764</v>
      </c>
      <c r="W11" s="27">
        <f>IF(PolicyInputs!$B$1=1,EconomicInputs!W43,IF(PolicyInputs!$B$1=2,EconomicInputs!W75,IF(PolicyInputs!$B$1=3,EconomicInputs!W107,IF(PolicyInputs!$B$1=4,EconomicInputs!W139,"error"))))</f>
        <v>5630325.4540201817</v>
      </c>
      <c r="X11" s="27">
        <f>IF(PolicyInputs!$B$1=1,EconomicInputs!X43,IF(PolicyInputs!$B$1=2,EconomicInputs!X75,IF(PolicyInputs!$B$1=3,EconomicInputs!X107,IF(PolicyInputs!$B$1=4,EconomicInputs!X139,"error"))))</f>
        <v>102539266000</v>
      </c>
      <c r="Y11" s="61">
        <f>IF(PolicyInputs!$B$1=1,EconomicInputs!Y43,IF(PolicyInputs!$B$1=2,EconomicInputs!Y75,IF(PolicyInputs!$B$1=3,EconomicInputs!Y107,IF(PolicyInputs!$B$1=4,EconomicInputs!Y139,"error"))))</f>
        <v>28013197318.610371</v>
      </c>
      <c r="Z11" s="61">
        <f>IF(PolicyInputs!$B$1=1,EconomicInputs!Z43,IF(PolicyInputs!$B$1=2,EconomicInputs!Z75,IF(PolicyInputs!$B$1=3,EconomicInputs!Z107,IF(PolicyInputs!$B$1=4,EconomicInputs!Z139,"error"))))</f>
        <v>68888447.028759629</v>
      </c>
      <c r="AA11" s="61">
        <f>IF(PolicyInputs!$B$1=1,EconomicInputs!AA43,IF(PolicyInputs!$B$1=2,EconomicInputs!AA75,IF(PolicyInputs!$B$1=3,EconomicInputs!AA107,IF(PolicyInputs!$B$1=4,EconomicInputs!AA139,"error"))))</f>
        <v>673822063.16144049</v>
      </c>
      <c r="AD11" s="59">
        <f t="shared" si="0"/>
        <v>79660028035.121628</v>
      </c>
      <c r="AE11" s="92"/>
    </row>
    <row r="12" spans="1:31">
      <c r="A12" s="3">
        <f t="shared" si="1"/>
        <v>2018</v>
      </c>
      <c r="B12" s="27">
        <f>IF(PolicyInputs!$B$1=1,EconomicInputs!B44,IF(PolicyInputs!$B$1=2,EconomicInputs!B76,IF(PolicyInputs!$B$1=3,EconomicInputs!B108,IF(PolicyInputs!$B$1=4,EconomicInputs!B140,"error"))))</f>
        <v>6811206.5725976722</v>
      </c>
      <c r="C12" s="27">
        <f>IF(PolicyInputs!$B$1=1,EconomicInputs!C44,IF(PolicyInputs!$B$1=2,EconomicInputs!C76,IF(PolicyInputs!$B$1=3,EconomicInputs!C108,IF(PolicyInputs!$B$1=4,EconomicInputs!C140,"error"))))</f>
        <v>4713354.9482375886</v>
      </c>
      <c r="D12" s="27">
        <f>IF(PolicyInputs!$B$1=1,EconomicInputs!D44,IF(PolicyInputs!$B$1=2,EconomicInputs!D76,IF(PolicyInputs!$B$1=3,EconomicInputs!D108,IF(PolicyInputs!$B$1=4,EconomicInputs!D140,"error"))))</f>
        <v>209435.31543552704</v>
      </c>
      <c r="E12" s="27">
        <f>IF(PolicyInputs!$B$1=1,EconomicInputs!E44,IF(PolicyInputs!$B$1=2,EconomicInputs!E76,IF(PolicyInputs!$B$1=3,EconomicInputs!E108,IF(PolicyInputs!$B$1=4,EconomicInputs!E140,"error"))))</f>
        <v>5326503.8714867225</v>
      </c>
      <c r="F12" s="27">
        <f>IF(PolicyInputs!$B$1=1,EconomicInputs!F44,IF(PolicyInputs!$B$1=2,EconomicInputs!F76,IF(PolicyInputs!$B$1=3,EconomicInputs!F108,IF(PolicyInputs!$B$1=4,EconomicInputs!F140,"error"))))</f>
        <v>2488.4482348822057</v>
      </c>
      <c r="G12" s="27">
        <f>IF(PolicyInputs!$B$1=1,EconomicInputs!G44,IF(PolicyInputs!$B$1=2,EconomicInputs!G76,IF(PolicyInputs!$B$1=3,EconomicInputs!G108,IF(PolicyInputs!$B$1=4,EconomicInputs!G140,"error"))))</f>
        <v>9120.3606031525051</v>
      </c>
      <c r="H12" s="27">
        <f>IF(PolicyInputs!$B$1=1,EconomicInputs!H44,IF(PolicyInputs!$B$1=2,EconomicInputs!H76,IF(PolicyInputs!$B$1=3,EconomicInputs!H108,IF(PolicyInputs!$B$1=4,EconomicInputs!H140,"error"))))</f>
        <v>178668.57362804032</v>
      </c>
      <c r="I12" s="27">
        <f>IF(PolicyInputs!$B$1=1,EconomicInputs!I44,IF(PolicyInputs!$B$1=2,EconomicInputs!I76,IF(PolicyInputs!$B$1=3,EconomicInputs!I108,IF(PolicyInputs!$B$1=4,EconomicInputs!I140,"error"))))</f>
        <v>68611.238600353303</v>
      </c>
      <c r="J12" s="27">
        <f>IF(PolicyInputs!$B$1=1,EconomicInputs!J44,IF(PolicyInputs!$B$1=2,EconomicInputs!J76,IF(PolicyInputs!$B$1=3,EconomicInputs!J108,IF(PolicyInputs!$B$1=4,EconomicInputs!J140,"error"))))</f>
        <v>96564181.870536759</v>
      </c>
      <c r="K12" s="27">
        <f>IF(PolicyInputs!$B$1=1,EconomicInputs!K44,IF(PolicyInputs!$B$1=2,EconomicInputs!K76,IF(PolicyInputs!$B$1=3,EconomicInputs!K108,IF(PolicyInputs!$B$1=4,EconomicInputs!K140,"error"))))</f>
        <v>2828747442.2511139</v>
      </c>
      <c r="L12" s="27">
        <f>IF(PolicyInputs!$B$1=1,EconomicInputs!L44,IF(PolicyInputs!$B$1=2,EconomicInputs!L76,IF(PolicyInputs!$B$1=3,EconomicInputs!L108,IF(PolicyInputs!$B$1=4,EconomicInputs!L140,"error"))))</f>
        <v>1224297124.4968691</v>
      </c>
      <c r="M12" s="27">
        <f>IF(PolicyInputs!$B$1=1,EconomicInputs!M44,IF(PolicyInputs!$B$1=2,EconomicInputs!M76,IF(PolicyInputs!$B$1=3,EconomicInputs!M108,IF(PolicyInputs!$B$1=4,EconomicInputs!M140,"error"))))</f>
        <v>979437699.59749532</v>
      </c>
      <c r="N12" s="51">
        <f>IF(PolicyInputs!$B$1=1,EconomicInputs!N44,IF(PolicyInputs!$B$1=2,EconomicInputs!N76,IF(PolicyInputs!$B$1=3,EconomicInputs!N108,IF(PolicyInputs!$B$1=4,EconomicInputs!N140,"error"))))</f>
        <v>2.8248474960000003</v>
      </c>
      <c r="O12" s="51">
        <f>IF(PolicyInputs!$B$1=1,EconomicInputs!O44,IF(PolicyInputs!$B$1=2,EconomicInputs!O76,IF(PolicyInputs!$B$1=3,EconomicInputs!O108,IF(PolicyInputs!$B$1=4,EconomicInputs!O140,"error"))))</f>
        <v>3.2887879569999998</v>
      </c>
      <c r="P12" s="27">
        <f>IF(PolicyInputs!$B$1=1,EconomicInputs!P44,IF(PolicyInputs!$B$1=2,EconomicInputs!P76,IF(PolicyInputs!$B$1=3,EconomicInputs!P108,IF(PolicyInputs!$B$1=4,EconomicInputs!P140,"error"))))</f>
        <v>440974312.54232854</v>
      </c>
      <c r="Q12" s="27">
        <f>IF(PolicyInputs!$B$1=1,EconomicInputs!Q44,IF(PolicyInputs!$B$1=2,EconomicInputs!Q76,IF(PolicyInputs!$B$1=3,EconomicInputs!Q108,IF(PolicyInputs!$B$1=4,EconomicInputs!Q140,"error"))))</f>
        <v>70130258368.714554</v>
      </c>
      <c r="R12" s="27">
        <f>IF(PolicyInputs!$B$1=1,EconomicInputs!R44,IF(PolicyInputs!$B$1=2,EconomicInputs!R76,IF(PolicyInputs!$B$1=3,EconomicInputs!R108,IF(PolicyInputs!$B$1=4,EconomicInputs!R140,"error"))))</f>
        <v>32763614.156670153</v>
      </c>
      <c r="S12" s="27">
        <f>IF(PolicyInputs!$B$1=1,EconomicInputs!S44,IF(PolicyInputs!$B$1=2,EconomicInputs!S76,IF(PolicyInputs!$B$1=3,EconomicInputs!S108,IF(PolicyInputs!$B$1=4,EconomicInputs!S140,"error"))))</f>
        <v>152336580.69644079</v>
      </c>
      <c r="T12" s="27">
        <f>IF(PolicyInputs!$B$1=1,EconomicInputs!T44,IF(PolicyInputs!$B$1=2,EconomicInputs!T76,IF(PolicyInputs!$B$1=3,EconomicInputs!T108,IF(PolicyInputs!$B$1=4,EconomicInputs!T140,"error"))))</f>
        <v>2962137854.6183596</v>
      </c>
      <c r="U12" s="27">
        <f>IF(PolicyInputs!$B$1=1,EconomicInputs!U44,IF(PolicyInputs!$B$1=2,EconomicInputs!U76,IF(PolicyInputs!$B$1=3,EconomicInputs!U108,IF(PolicyInputs!$B$1=4,EconomicInputs!U140,"error"))))</f>
        <v>6792769259.297781</v>
      </c>
      <c r="V12" s="27">
        <f>IF(PolicyInputs!$B$1=1,EconomicInputs!V44,IF(PolicyInputs!$B$1=2,EconomicInputs!V76,IF(PolicyInputs!$B$1=3,EconomicInputs!V108,IF(PolicyInputs!$B$1=4,EconomicInputs!V140,"error"))))</f>
        <v>357400913.18310684</v>
      </c>
      <c r="W12" s="27">
        <f>IF(PolicyInputs!$B$1=1,EconomicInputs!W44,IF(PolicyInputs!$B$1=2,EconomicInputs!W76,IF(PolicyInputs!$B$1=3,EconomicInputs!W108,IF(PolicyInputs!$B$1=4,EconomicInputs!W140,"error"))))</f>
        <v>5696348.7996432781</v>
      </c>
      <c r="X12" s="27">
        <f>IF(PolicyInputs!$B$1=1,EconomicInputs!X44,IF(PolicyInputs!$B$1=2,EconomicInputs!X76,IF(PolicyInputs!$B$1=3,EconomicInputs!X108,IF(PolicyInputs!$B$1=4,EconomicInputs!X140,"error"))))</f>
        <v>106231686000</v>
      </c>
      <c r="Y12" s="61">
        <f>IF(PolicyInputs!$B$1=1,EconomicInputs!Y44,IF(PolicyInputs!$B$1=2,EconomicInputs!Y76,IF(PolicyInputs!$B$1=3,EconomicInputs!Y108,IF(PolicyInputs!$B$1=4,EconomicInputs!Y140,"error"))))</f>
        <v>27943499295.931656</v>
      </c>
      <c r="Z12" s="61">
        <f>IF(PolicyInputs!$B$1=1,EconomicInputs!Z44,IF(PolicyInputs!$B$1=2,EconomicInputs!Z76,IF(PolicyInputs!$B$1=3,EconomicInputs!Z108,IF(PolicyInputs!$B$1=4,EconomicInputs!Z140,"error"))))</f>
        <v>71333241.190216526</v>
      </c>
      <c r="AA12" s="61">
        <f>IF(PolicyInputs!$B$1=1,EconomicInputs!AA44,IF(PolicyInputs!$B$1=2,EconomicInputs!AA76,IF(PolicyInputs!$B$1=3,EconomicInputs!AA108,IF(PolicyInputs!$B$1=4,EconomicInputs!AA140,"error"))))</f>
        <v>677932980.61015987</v>
      </c>
      <c r="AD12" s="59">
        <f t="shared" si="0"/>
        <v>80511239990.026138</v>
      </c>
      <c r="AE12" s="92"/>
    </row>
    <row r="13" spans="1:31">
      <c r="A13" s="3">
        <f t="shared" si="1"/>
        <v>2019</v>
      </c>
      <c r="B13" s="27">
        <f>IF(PolicyInputs!$B$1=1,EconomicInputs!B45,IF(PolicyInputs!$B$1=2,EconomicInputs!B77,IF(PolicyInputs!$B$1=3,EconomicInputs!B109,IF(PolicyInputs!$B$1=4,EconomicInputs!B141,"error"))))</f>
        <v>6852761.0266248267</v>
      </c>
      <c r="C13" s="27">
        <f>IF(PolicyInputs!$B$1=1,EconomicInputs!C45,IF(PolicyInputs!$B$1=2,EconomicInputs!C77,IF(PolicyInputs!$B$1=3,EconomicInputs!C109,IF(PolicyInputs!$B$1=4,EconomicInputs!C141,"error"))))</f>
        <v>4742110.6304243794</v>
      </c>
      <c r="D13" s="27">
        <f>IF(PolicyInputs!$B$1=1,EconomicInputs!D45,IF(PolicyInputs!$B$1=2,EconomicInputs!D77,IF(PolicyInputs!$B$1=3,EconomicInputs!D109,IF(PolicyInputs!$B$1=4,EconomicInputs!D141,"error"))))</f>
        <v>211529.66858988232</v>
      </c>
      <c r="E13" s="27">
        <f>IF(PolicyInputs!$B$1=1,EconomicInputs!E45,IF(PolicyInputs!$B$1=2,EconomicInputs!E77,IF(PolicyInputs!$B$1=3,EconomicInputs!E109,IF(PolicyInputs!$B$1=4,EconomicInputs!E141,"error"))))</f>
        <v>5379422.9931743992</v>
      </c>
      <c r="F13" s="27">
        <f>IF(PolicyInputs!$B$1=1,EconomicInputs!F45,IF(PolicyInputs!$B$1=2,EconomicInputs!F77,IF(PolicyInputs!$B$1=3,EconomicInputs!F109,IF(PolicyInputs!$B$1=4,EconomicInputs!F141,"error"))))</f>
        <v>2859.2497444218025</v>
      </c>
      <c r="G13" s="27">
        <f>IF(PolicyInputs!$B$1=1,EconomicInputs!G45,IF(PolicyInputs!$B$1=2,EconomicInputs!G77,IF(PolicyInputs!$B$1=3,EconomicInputs!G109,IF(PolicyInputs!$B$1=4,EconomicInputs!G141,"error"))))</f>
        <v>9211.5642091840309</v>
      </c>
      <c r="H13" s="27">
        <f>IF(PolicyInputs!$B$1=1,EconomicInputs!H45,IF(PolicyInputs!$B$1=2,EconomicInputs!H77,IF(PolicyInputs!$B$1=3,EconomicInputs!H109,IF(PolicyInputs!$B$1=4,EconomicInputs!H141,"error"))))</f>
        <v>179847.78621398538</v>
      </c>
      <c r="I13" s="27">
        <f>IF(PolicyInputs!$B$1=1,EconomicInputs!I45,IF(PolicyInputs!$B$1=2,EconomicInputs!I77,IF(PolicyInputs!$B$1=3,EconomicInputs!I109,IF(PolicyInputs!$B$1=4,EconomicInputs!I141,"error"))))</f>
        <v>69962.880000780264</v>
      </c>
      <c r="J13" s="27">
        <f>IF(PolicyInputs!$B$1=1,EconomicInputs!J45,IF(PolicyInputs!$B$1=2,EconomicInputs!J77,IF(PolicyInputs!$B$1=3,EconomicInputs!J109,IF(PolicyInputs!$B$1=4,EconomicInputs!J141,"error"))))</f>
        <v>96916039.950240821</v>
      </c>
      <c r="K13" s="27">
        <f>IF(PolicyInputs!$B$1=1,EconomicInputs!K45,IF(PolicyInputs!$B$1=2,EconomicInputs!K77,IF(PolicyInputs!$B$1=3,EconomicInputs!K109,IF(PolicyInputs!$B$1=4,EconomicInputs!K141,"error"))))</f>
        <v>2792728606.3637867</v>
      </c>
      <c r="L13" s="27">
        <f>IF(PolicyInputs!$B$1=1,EconomicInputs!L45,IF(PolicyInputs!$B$1=2,EconomicInputs!L77,IF(PolicyInputs!$B$1=3,EconomicInputs!L109,IF(PolicyInputs!$B$1=4,EconomicInputs!L141,"error"))))</f>
        <v>1234228470.0114279</v>
      </c>
      <c r="M13" s="27">
        <f>IF(PolicyInputs!$B$1=1,EconomicInputs!M45,IF(PolicyInputs!$B$1=2,EconomicInputs!M77,IF(PolicyInputs!$B$1=3,EconomicInputs!M109,IF(PolicyInputs!$B$1=4,EconomicInputs!M141,"error"))))</f>
        <v>987382776.0091424</v>
      </c>
      <c r="N13" s="51">
        <f>IF(PolicyInputs!$B$1=1,EconomicInputs!N45,IF(PolicyInputs!$B$1=2,EconomicInputs!N77,IF(PolicyInputs!$B$1=3,EconomicInputs!N109,IF(PolicyInputs!$B$1=4,EconomicInputs!N141,"error"))))</f>
        <v>2.8337001660000003</v>
      </c>
      <c r="O13" s="51">
        <f>IF(PolicyInputs!$B$1=1,EconomicInputs!O45,IF(PolicyInputs!$B$1=2,EconomicInputs!O77,IF(PolicyInputs!$B$1=3,EconomicInputs!O109,IF(PolicyInputs!$B$1=4,EconomicInputs!O141,"error"))))</f>
        <v>3.3600651455000001</v>
      </c>
      <c r="P13" s="27">
        <f>IF(PolicyInputs!$B$1=1,EconomicInputs!P45,IF(PolicyInputs!$B$1=2,EconomicInputs!P77,IF(PolicyInputs!$B$1=3,EconomicInputs!P109,IF(PolicyInputs!$B$1=4,EconomicInputs!P141,"error"))))</f>
        <v>445384055.66775185</v>
      </c>
      <c r="Q13" s="27">
        <f>IF(PolicyInputs!$B$1=1,EconomicInputs!Q45,IF(PolicyInputs!$B$1=2,EconomicInputs!Q77,IF(PolicyInputs!$B$1=3,EconomicInputs!Q109,IF(PolicyInputs!$B$1=4,EconomicInputs!Q141,"error"))))</f>
        <v>70827006510.862503</v>
      </c>
      <c r="R13" s="27">
        <f>IF(PolicyInputs!$B$1=1,EconomicInputs!R45,IF(PolicyInputs!$B$1=2,EconomicInputs!R77,IF(PolicyInputs!$B$1=3,EconomicInputs!R109,IF(PolicyInputs!$B$1=4,EconomicInputs!R141,"error"))))</f>
        <v>37645691.837436289</v>
      </c>
      <c r="S13" s="27">
        <f>IF(PolicyInputs!$B$1=1,EconomicInputs!S45,IF(PolicyInputs!$B$1=2,EconomicInputs!S77,IF(PolicyInputs!$B$1=3,EconomicInputs!S109,IF(PolicyInputs!$B$1=4,EconomicInputs!S141,"error"))))</f>
        <v>153859946.50340518</v>
      </c>
      <c r="T13" s="27">
        <f>IF(PolicyInputs!$B$1=1,EconomicInputs!T45,IF(PolicyInputs!$B$1=2,EconomicInputs!T77,IF(PolicyInputs!$B$1=3,EconomicInputs!T109,IF(PolicyInputs!$B$1=4,EconomicInputs!T141,"error"))))</f>
        <v>2981687964.4588408</v>
      </c>
      <c r="U13" s="27">
        <f>IF(PolicyInputs!$B$1=1,EconomicInputs!U45,IF(PolicyInputs!$B$1=2,EconomicInputs!U77,IF(PolicyInputs!$B$1=3,EconomicInputs!U109,IF(PolicyInputs!$B$1=4,EconomicInputs!U141,"error"))))</f>
        <v>6926586813.7059479</v>
      </c>
      <c r="V13" s="27">
        <f>IF(PolicyInputs!$B$1=1,EconomicInputs!V45,IF(PolicyInputs!$B$1=2,EconomicInputs!V77,IF(PolicyInputs!$B$1=3,EconomicInputs!V109,IF(PolicyInputs!$B$1=4,EconomicInputs!V141,"error"))))</f>
        <v>368570912.98031569</v>
      </c>
      <c r="W13" s="27">
        <f>IF(PolicyInputs!$B$1=1,EconomicInputs!W45,IF(PolicyInputs!$B$1=2,EconomicInputs!W77,IF(PolicyInputs!$B$1=3,EconomicInputs!W109,IF(PolicyInputs!$B$1=4,EconomicInputs!W141,"error"))))</f>
        <v>5763243.9037536308</v>
      </c>
      <c r="X13" s="27">
        <f>IF(PolicyInputs!$B$1=1,EconomicInputs!X45,IF(PolicyInputs!$B$1=2,EconomicInputs!X77,IF(PolicyInputs!$B$1=3,EconomicInputs!X109,IF(PolicyInputs!$B$1=4,EconomicInputs!X141,"error"))))</f>
        <v>110267145000</v>
      </c>
      <c r="Y13" s="61">
        <f>IF(PolicyInputs!$B$1=1,EconomicInputs!Y45,IF(PolicyInputs!$B$1=2,EconomicInputs!Y77,IF(PolicyInputs!$B$1=3,EconomicInputs!Y109,IF(PolicyInputs!$B$1=4,EconomicInputs!Y141,"error"))))</f>
        <v>28075961164.626144</v>
      </c>
      <c r="Z13" s="61">
        <f>IF(PolicyInputs!$B$1=1,EconomicInputs!Z45,IF(PolicyInputs!$B$1=2,EconomicInputs!Z77,IF(PolicyInputs!$B$1=3,EconomicInputs!Z109,IF(PolicyInputs!$B$1=4,EconomicInputs!Z141,"error"))))</f>
        <v>73333623.335636824</v>
      </c>
      <c r="AA13" s="61">
        <f>IF(PolicyInputs!$B$1=1,EconomicInputs!AA45,IF(PolicyInputs!$B$1=2,EconomicInputs!AA77,IF(PolicyInputs!$B$1=3,EconomicInputs!AA109,IF(PolicyInputs!$B$1=4,EconomicInputs!AA141,"error"))))</f>
        <v>682068978.33332288</v>
      </c>
      <c r="AD13" s="59">
        <f t="shared" si="0"/>
        <v>81372170983.035889</v>
      </c>
      <c r="AE13" s="92"/>
    </row>
    <row r="14" spans="1:31">
      <c r="A14" s="3">
        <f t="shared" si="1"/>
        <v>2020</v>
      </c>
      <c r="B14" s="27">
        <f>IF(PolicyInputs!$B$1=1,EconomicInputs!B46,IF(PolicyInputs!$B$1=2,EconomicInputs!B78,IF(PolicyInputs!$B$1=3,EconomicInputs!B110,IF(PolicyInputs!$B$1=4,EconomicInputs!B142,"error"))))</f>
        <v>6894569</v>
      </c>
      <c r="C14" s="27">
        <f>IF(PolicyInputs!$B$1=1,EconomicInputs!C46,IF(PolicyInputs!$B$1=2,EconomicInputs!C78,IF(PolicyInputs!$B$1=3,EconomicInputs!C110,IF(PolicyInputs!$B$1=4,EconomicInputs!C142,"error"))))</f>
        <v>4771041.7479999997</v>
      </c>
      <c r="D14" s="27">
        <f>IF(PolicyInputs!$B$1=1,EconomicInputs!D46,IF(PolicyInputs!$B$1=2,EconomicInputs!D78,IF(PolicyInputs!$B$1=3,EconomicInputs!D110,IF(PolicyInputs!$B$1=4,EconomicInputs!D142,"error"))))</f>
        <v>213644.96527578114</v>
      </c>
      <c r="E14" s="27">
        <f>IF(PolicyInputs!$B$1=1,EconomicInputs!E46,IF(PolicyInputs!$B$1=2,EconomicInputs!E78,IF(PolicyInputs!$B$1=3,EconomicInputs!E110,IF(PolicyInputs!$B$1=4,EconomicInputs!E142,"error"))))</f>
        <v>5432892.4069822878</v>
      </c>
      <c r="F14" s="27">
        <f>IF(PolicyInputs!$B$1=1,EconomicInputs!F46,IF(PolicyInputs!$B$1=2,EconomicInputs!F78,IF(PolicyInputs!$B$1=3,EconomicInputs!F110,IF(PolicyInputs!$B$1=4,EconomicInputs!F142,"error"))))</f>
        <v>3212.658365720883</v>
      </c>
      <c r="G14" s="27">
        <f>IF(PolicyInputs!$B$1=1,EconomicInputs!G46,IF(PolicyInputs!$B$1=2,EconomicInputs!G78,IF(PolicyInputs!$B$1=3,EconomicInputs!G110,IF(PolicyInputs!$B$1=4,EconomicInputs!G142,"error"))))</f>
        <v>9303.6798512758705</v>
      </c>
      <c r="H14" s="27">
        <f>IF(PolicyInputs!$B$1=1,EconomicInputs!H46,IF(PolicyInputs!$B$1=2,EconomicInputs!H78,IF(PolicyInputs!$B$1=3,EconomicInputs!H110,IF(PolicyInputs!$B$1=4,EconomicInputs!H142,"error"))))</f>
        <v>181034.78160299765</v>
      </c>
      <c r="I14" s="27">
        <f>IF(PolicyInputs!$B$1=1,EconomicInputs!I46,IF(PolicyInputs!$B$1=2,EconomicInputs!I78,IF(PolicyInputs!$B$1=3,EconomicInputs!I110,IF(PolicyInputs!$B$1=4,EconomicInputs!I142,"error"))))</f>
        <v>71341.148736795643</v>
      </c>
      <c r="J14" s="27">
        <f>IF(PolicyInputs!$B$1=1,EconomicInputs!J46,IF(PolicyInputs!$B$1=2,EconomicInputs!J78,IF(PolicyInputs!$B$1=3,EconomicInputs!J110,IF(PolicyInputs!$B$1=4,EconomicInputs!J142,"error"))))</f>
        <v>97230962.06627664</v>
      </c>
      <c r="K14" s="27">
        <f>IF(PolicyInputs!$B$1=1,EconomicInputs!K46,IF(PolicyInputs!$B$1=2,EconomicInputs!K78,IF(PolicyInputs!$B$1=3,EconomicInputs!K110,IF(PolicyInputs!$B$1=4,EconomicInputs!K142,"error"))))</f>
        <v>2754642365.6786895</v>
      </c>
      <c r="L14" s="27">
        <f>IF(PolicyInputs!$B$1=1,EconomicInputs!L46,IF(PolicyInputs!$B$1=2,EconomicInputs!L78,IF(PolicyInputs!$B$1=3,EconomicInputs!L110,IF(PolicyInputs!$B$1=4,EconomicInputs!L142,"error"))))</f>
        <v>1245273730.3751051</v>
      </c>
      <c r="M14" s="27">
        <f>IF(PolicyInputs!$B$1=1,EconomicInputs!M46,IF(PolicyInputs!$B$1=2,EconomicInputs!M78,IF(PolicyInputs!$B$1=3,EconomicInputs!M110,IF(PolicyInputs!$B$1=4,EconomicInputs!M142,"error"))))</f>
        <v>996218984.30008411</v>
      </c>
      <c r="N14" s="51">
        <f>IF(PolicyInputs!$B$1=1,EconomicInputs!N46,IF(PolicyInputs!$B$1=2,EconomicInputs!N78,IF(PolicyInputs!$B$1=3,EconomicInputs!N110,IF(PolicyInputs!$B$1=4,EconomicInputs!N142,"error"))))</f>
        <v>2.8746523859999997</v>
      </c>
      <c r="O14" s="51">
        <f>IF(PolicyInputs!$B$1=1,EconomicInputs!O46,IF(PolicyInputs!$B$1=2,EconomicInputs!O78,IF(PolicyInputs!$B$1=3,EconomicInputs!O110,IF(PolicyInputs!$B$1=4,EconomicInputs!O142,"error"))))</f>
        <v>3.4178244764999999</v>
      </c>
      <c r="P14" s="27">
        <f>IF(PolicyInputs!$B$1=1,EconomicInputs!P46,IF(PolicyInputs!$B$1=2,EconomicInputs!P78,IF(PolicyInputs!$B$1=3,EconomicInputs!P110,IF(PolicyInputs!$B$1=4,EconomicInputs!P142,"error"))))</f>
        <v>449837896.22442937</v>
      </c>
      <c r="Q14" s="27">
        <f>IF(PolicyInputs!$B$1=1,EconomicInputs!Q46,IF(PolicyInputs!$B$1=2,EconomicInputs!Q78,IF(PolicyInputs!$B$1=3,EconomicInputs!Q110,IF(PolicyInputs!$B$1=4,EconomicInputs!Q142,"error"))))</f>
        <v>71530999954.900726</v>
      </c>
      <c r="R14" s="27">
        <f>IF(PolicyInputs!$B$1=1,EconomicInputs!R46,IF(PolicyInputs!$B$1=2,EconomicInputs!R78,IF(PolicyInputs!$B$1=3,EconomicInputs!R110,IF(PolicyInputs!$B$1=4,EconomicInputs!R142,"error"))))</f>
        <v>42298769.826199226</v>
      </c>
      <c r="S14" s="27">
        <f>IF(PolicyInputs!$B$1=1,EconomicInputs!S46,IF(PolicyInputs!$B$1=2,EconomicInputs!S78,IF(PolicyInputs!$B$1=3,EconomicInputs!S110,IF(PolicyInputs!$B$1=4,EconomicInputs!S142,"error"))))</f>
        <v>155398545.96843925</v>
      </c>
      <c r="T14" s="27">
        <f>IF(PolicyInputs!$B$1=1,EconomicInputs!T46,IF(PolicyInputs!$B$1=2,EconomicInputs!T78,IF(PolicyInputs!$B$1=3,EconomicInputs!T110,IF(PolicyInputs!$B$1=4,EconomicInputs!T142,"error"))))</f>
        <v>3001367105.0242691</v>
      </c>
      <c r="U14" s="27">
        <f>IF(PolicyInputs!$B$1=1,EconomicInputs!U46,IF(PolicyInputs!$B$1=2,EconomicInputs!U78,IF(PolicyInputs!$B$1=3,EconomicInputs!U110,IF(PolicyInputs!$B$1=4,EconomicInputs!U142,"error"))))</f>
        <v>7063040573.9359531</v>
      </c>
      <c r="V14" s="27">
        <f>IF(PolicyInputs!$B$1=1,EconomicInputs!V46,IF(PolicyInputs!$B$1=2,EconomicInputs!V78,IF(PolicyInputs!$B$1=3,EconomicInputs!V110,IF(PolicyInputs!$B$1=4,EconomicInputs!V142,"error"))))</f>
        <v>380090013.4397428</v>
      </c>
      <c r="W14" s="27">
        <f>IF(PolicyInputs!$B$1=1,EconomicInputs!W46,IF(PolicyInputs!$B$1=2,EconomicInputs!W78,IF(PolicyInputs!$B$1=3,EconomicInputs!W110,IF(PolicyInputs!$B$1=4,EconomicInputs!W142,"error"))))</f>
        <v>5831023.7832381744</v>
      </c>
      <c r="X14" s="27">
        <f>IF(PolicyInputs!$B$1=1,EconomicInputs!X46,IF(PolicyInputs!$B$1=2,EconomicInputs!X78,IF(PolicyInputs!$B$1=3,EconomicInputs!X110,IF(PolicyInputs!$B$1=4,EconomicInputs!X142,"error"))))</f>
        <v>114279158000</v>
      </c>
      <c r="Y14" s="61">
        <f>IF(PolicyInputs!$B$1=1,EconomicInputs!Y46,IF(PolicyInputs!$B$1=2,EconomicInputs!Y78,IF(PolicyInputs!$B$1=3,EconomicInputs!Y110,IF(PolicyInputs!$B$1=4,EconomicInputs!Y142,"error"))))</f>
        <v>28306195992.230606</v>
      </c>
      <c r="Z14" s="61">
        <f>IF(PolicyInputs!$B$1=1,EconomicInputs!Z46,IF(PolicyInputs!$B$1=2,EconomicInputs!Z78,IF(PolicyInputs!$B$1=3,EconomicInputs!Z110,IF(PolicyInputs!$B$1=4,EconomicInputs!Z142,"error"))))</f>
        <v>75151511.927123174</v>
      </c>
      <c r="AA14" s="61">
        <f>IF(PolicyInputs!$B$1=1,EconomicInputs!AA46,IF(PolicyInputs!$B$1=2,EconomicInputs!AA78,IF(PolicyInputs!$B$1=3,EconomicInputs!AA110,IF(PolicyInputs!$B$1=4,EconomicInputs!AA142,"error"))))</f>
        <v>686230209.34304285</v>
      </c>
      <c r="AD14" s="59">
        <f t="shared" si="0"/>
        <v>82242942845.88002</v>
      </c>
      <c r="AE14" s="92"/>
    </row>
    <row r="15" spans="1:31">
      <c r="A15" s="3">
        <f t="shared" si="1"/>
        <v>2021</v>
      </c>
      <c r="B15" s="27">
        <f>IF(PolicyInputs!$B$1=1,EconomicInputs!B47,IF(PolicyInputs!$B$1=2,EconomicInputs!B79,IF(PolicyInputs!$B$1=3,EconomicInputs!B111,IF(PolicyInputs!$B$1=4,EconomicInputs!B143,"error"))))</f>
        <v>6935380.1824488426</v>
      </c>
      <c r="C15" s="27">
        <f>IF(PolicyInputs!$B$1=1,EconomicInputs!C47,IF(PolicyInputs!$B$1=2,EconomicInputs!C79,IF(PolicyInputs!$B$1=3,EconomicInputs!C111,IF(PolicyInputs!$B$1=4,EconomicInputs!C143,"error"))))</f>
        <v>4799283.0862545986</v>
      </c>
      <c r="D15" s="27">
        <f>IF(PolicyInputs!$B$1=1,EconomicInputs!D47,IF(PolicyInputs!$B$1=2,EconomicInputs!D79,IF(PolicyInputs!$B$1=3,EconomicInputs!D111,IF(PolicyInputs!$B$1=4,EconomicInputs!D143,"error"))))</f>
        <v>215781.41492853896</v>
      </c>
      <c r="E15" s="27">
        <f>IF(PolicyInputs!$B$1=1,EconomicInputs!E47,IF(PolicyInputs!$B$1=2,EconomicInputs!E79,IF(PolicyInputs!$B$1=3,EconomicInputs!E111,IF(PolicyInputs!$B$1=4,EconomicInputs!E143,"error"))))</f>
        <v>5486899.3869893709</v>
      </c>
      <c r="F15" s="27">
        <f>IF(PolicyInputs!$B$1=1,EconomicInputs!F47,IF(PolicyInputs!$B$1=2,EconomicInputs!F79,IF(PolicyInputs!$B$1=3,EconomicInputs!F111,IF(PolicyInputs!$B$1=4,EconomicInputs!F143,"error"))))</f>
        <v>3566.7290121177211</v>
      </c>
      <c r="G15" s="27">
        <f>IF(PolicyInputs!$B$1=1,EconomicInputs!G47,IF(PolicyInputs!$B$1=2,EconomicInputs!G79,IF(PolicyInputs!$B$1=3,EconomicInputs!G111,IF(PolicyInputs!$B$1=4,EconomicInputs!G143,"error"))))</f>
        <v>9396.7166497886301</v>
      </c>
      <c r="H15" s="27">
        <f>IF(PolicyInputs!$B$1=1,EconomicInputs!H47,IF(PolicyInputs!$B$1=2,EconomicInputs!H79,IF(PolicyInputs!$B$1=3,EconomicInputs!H111,IF(PolicyInputs!$B$1=4,EconomicInputs!H143,"error"))))</f>
        <v>182229.61116157746</v>
      </c>
      <c r="I15" s="27">
        <f>IF(PolicyInputs!$B$1=1,EconomicInputs!I47,IF(PolicyInputs!$B$1=2,EconomicInputs!I79,IF(PolicyInputs!$B$1=3,EconomicInputs!I111,IF(PolicyInputs!$B$1=4,EconomicInputs!I143,"error"))))</f>
        <v>72746.569366910509</v>
      </c>
      <c r="J15" s="27">
        <f>IF(PolicyInputs!$B$1=1,EconomicInputs!J47,IF(PolicyInputs!$B$1=2,EconomicInputs!J79,IF(PolicyInputs!$B$1=3,EconomicInputs!J111,IF(PolicyInputs!$B$1=4,EconomicInputs!J143,"error"))))</f>
        <v>97515966.152356729</v>
      </c>
      <c r="K15" s="27">
        <f>IF(PolicyInputs!$B$1=1,EconomicInputs!K47,IF(PolicyInputs!$B$1=2,EconomicInputs!K79,IF(PolicyInputs!$B$1=3,EconomicInputs!K111,IF(PolicyInputs!$B$1=4,EconomicInputs!K143,"error"))))</f>
        <v>2711898049.5140886</v>
      </c>
      <c r="L15" s="27">
        <f>IF(PolicyInputs!$B$1=1,EconomicInputs!L47,IF(PolicyInputs!$B$1=2,EconomicInputs!L79,IF(PolicyInputs!$B$1=3,EconomicInputs!L111,IF(PolicyInputs!$B$1=4,EconomicInputs!L143,"error"))))</f>
        <v>1257435031.1185977</v>
      </c>
      <c r="M15" s="27">
        <f>IF(PolicyInputs!$B$1=1,EconomicInputs!M47,IF(PolicyInputs!$B$1=2,EconomicInputs!M79,IF(PolicyInputs!$B$1=3,EconomicInputs!M111,IF(PolicyInputs!$B$1=4,EconomicInputs!M143,"error"))))</f>
        <v>1005948024.8948783</v>
      </c>
      <c r="N15" s="51">
        <f>IF(PolicyInputs!$B$1=1,EconomicInputs!N47,IF(PolicyInputs!$B$1=2,EconomicInputs!N79,IF(PolicyInputs!$B$1=3,EconomicInputs!N111,IF(PolicyInputs!$B$1=4,EconomicInputs!N143,"error"))))</f>
        <v>2.9113698480000001</v>
      </c>
      <c r="O15" s="51">
        <f>IF(PolicyInputs!$B$1=1,EconomicInputs!O47,IF(PolicyInputs!$B$1=2,EconomicInputs!O79,IF(PolicyInputs!$B$1=3,EconomicInputs!O111,IF(PolicyInputs!$B$1=4,EconomicInputs!O143,"error"))))</f>
        <v>3.483640909</v>
      </c>
      <c r="P15" s="27">
        <f>IF(PolicyInputs!$B$1=1,EconomicInputs!P47,IF(PolicyInputs!$B$1=2,EconomicInputs!P79,IF(PolicyInputs!$B$1=3,EconomicInputs!P111,IF(PolicyInputs!$B$1=4,EconomicInputs!P143,"error"))))</f>
        <v>454336275.18667364</v>
      </c>
      <c r="Q15" s="27">
        <f>IF(PolicyInputs!$B$1=1,EconomicInputs!Q47,IF(PolicyInputs!$B$1=2,EconomicInputs!Q79,IF(PolicyInputs!$B$1=3,EconomicInputs!Q111,IF(PolicyInputs!$B$1=4,EconomicInputs!Q143,"error"))))</f>
        <v>72242071147.749344</v>
      </c>
      <c r="R15" s="27">
        <f>IF(PolicyInputs!$B$1=1,EconomicInputs!R47,IF(PolicyInputs!$B$1=2,EconomicInputs!R79,IF(PolicyInputs!$B$1=3,EconomicInputs!R111,IF(PolicyInputs!$B$1=4,EconomicInputs!R143,"error"))))</f>
        <v>46960564.22485505</v>
      </c>
      <c r="S15" s="27">
        <f>IF(PolicyInputs!$B$1=1,EconomicInputs!S47,IF(PolicyInputs!$B$1=2,EconomicInputs!S79,IF(PolicyInputs!$B$1=3,EconomicInputs!S111,IF(PolicyInputs!$B$1=4,EconomicInputs!S143,"error"))))</f>
        <v>156952531.42812365</v>
      </c>
      <c r="T15" s="27">
        <f>IF(PolicyInputs!$B$1=1,EconomicInputs!T47,IF(PolicyInputs!$B$1=2,EconomicInputs!T79,IF(PolicyInputs!$B$1=3,EconomicInputs!T111,IF(PolicyInputs!$B$1=4,EconomicInputs!T143,"error"))))</f>
        <v>3021176127.917429</v>
      </c>
      <c r="U15" s="27">
        <f>IF(PolicyInputs!$B$1=1,EconomicInputs!U47,IF(PolicyInputs!$B$1=2,EconomicInputs!U79,IF(PolicyInputs!$B$1=3,EconomicInputs!U111,IF(PolicyInputs!$B$1=4,EconomicInputs!U143,"error"))))</f>
        <v>7202182473.2424917</v>
      </c>
      <c r="V15" s="27">
        <f>IF(PolicyInputs!$B$1=1,EconomicInputs!V47,IF(PolicyInputs!$B$1=2,EconomicInputs!V79,IF(PolicyInputs!$B$1=3,EconomicInputs!V111,IF(PolicyInputs!$B$1=4,EconomicInputs!V143,"error"))))</f>
        <v>391898386.31328863</v>
      </c>
      <c r="W15" s="27">
        <f>IF(PolicyInputs!$B$1=1,EconomicInputs!W47,IF(PolicyInputs!$B$1=2,EconomicInputs!W79,IF(PolicyInputs!$B$1=3,EconomicInputs!W111,IF(PolicyInputs!$B$1=4,EconomicInputs!W143,"error"))))</f>
        <v>5899701.6707218904</v>
      </c>
      <c r="X15" s="27">
        <f>IF(PolicyInputs!$B$1=1,EconomicInputs!X47,IF(PolicyInputs!$B$1=2,EconomicInputs!X79,IF(PolicyInputs!$B$1=3,EconomicInputs!X111,IF(PolicyInputs!$B$1=4,EconomicInputs!X143,"error"))))</f>
        <v>118176580000</v>
      </c>
      <c r="Y15" s="61">
        <f>IF(PolicyInputs!$B$1=1,EconomicInputs!Y47,IF(PolicyInputs!$B$1=2,EconomicInputs!Y79,IF(PolicyInputs!$B$1=3,EconomicInputs!Y111,IF(PolicyInputs!$B$1=4,EconomicInputs!Y143,"error"))))</f>
        <v>28662171667.816147</v>
      </c>
      <c r="Z15" s="61">
        <f>IF(PolicyInputs!$B$1=1,EconomicInputs!Z47,IF(PolicyInputs!$B$1=2,EconomicInputs!Z79,IF(PolicyInputs!$B$1=3,EconomicInputs!Z111,IF(PolicyInputs!$B$1=4,EconomicInputs!Z143,"error"))))</f>
        <v>76797726.496682703</v>
      </c>
      <c r="AA15" s="61">
        <f>IF(PolicyInputs!$B$1=1,EconomicInputs!AA47,IF(PolicyInputs!$B$1=2,EconomicInputs!AA79,IF(PolicyInputs!$B$1=3,EconomicInputs!AA111,IF(PolicyInputs!$B$1=4,EconomicInputs!AA143,"error"))))</f>
        <v>690292227.76296246</v>
      </c>
      <c r="AD15" s="59">
        <f t="shared" si="0"/>
        <v>83123679119.748932</v>
      </c>
      <c r="AE15" s="92"/>
    </row>
    <row r="16" spans="1:31">
      <c r="A16" s="3">
        <f t="shared" si="1"/>
        <v>2022</v>
      </c>
      <c r="B16" s="27">
        <f>IF(PolicyInputs!$B$1=1,EconomicInputs!B48,IF(PolicyInputs!$B$1=2,EconomicInputs!B80,IF(PolicyInputs!$B$1=3,EconomicInputs!B112,IF(PolicyInputs!$B$1=4,EconomicInputs!B144,"error"))))</f>
        <v>6976432.939478036</v>
      </c>
      <c r="C16" s="27">
        <f>IF(PolicyInputs!$B$1=1,EconomicInputs!C48,IF(PolicyInputs!$B$1=2,EconomicInputs!C80,IF(PolicyInputs!$B$1=3,EconomicInputs!C112,IF(PolicyInputs!$B$1=4,EconomicInputs!C144,"error"))))</f>
        <v>4827691.5941188009</v>
      </c>
      <c r="D16" s="27">
        <f>IF(PolicyInputs!$B$1=1,EconomicInputs!D48,IF(PolicyInputs!$B$1=2,EconomicInputs!D80,IF(PolicyInputs!$B$1=3,EconomicInputs!D112,IF(PolicyInputs!$B$1=4,EconomicInputs!D144,"error"))))</f>
        <v>217939.22907782436</v>
      </c>
      <c r="E16" s="27">
        <f>IF(PolicyInputs!$B$1=1,EconomicInputs!E48,IF(PolicyInputs!$B$1=2,EconomicInputs!E80,IF(PolicyInputs!$B$1=3,EconomicInputs!E112,IF(PolicyInputs!$B$1=4,EconomicInputs!E144,"error"))))</f>
        <v>5541421.2023889655</v>
      </c>
      <c r="F16" s="27">
        <f>IF(PolicyInputs!$B$1=1,EconomicInputs!F48,IF(PolicyInputs!$B$1=2,EconomicInputs!F80,IF(PolicyInputs!$B$1=3,EconomicInputs!F112,IF(PolicyInputs!$B$1=4,EconomicInputs!F144,"error"))))</f>
        <v>3949.5747725386173</v>
      </c>
      <c r="G16" s="27">
        <f>IF(PolicyInputs!$B$1=1,EconomicInputs!G48,IF(PolicyInputs!$B$1=2,EconomicInputs!G80,IF(PolicyInputs!$B$1=3,EconomicInputs!G112,IF(PolicyInputs!$B$1=4,EconomicInputs!G144,"error"))))</f>
        <v>9490.683816286517</v>
      </c>
      <c r="H16" s="27">
        <f>IF(PolicyInputs!$B$1=1,EconomicInputs!H48,IF(PolicyInputs!$B$1=2,EconomicInputs!H80,IF(PolicyInputs!$B$1=3,EconomicInputs!H112,IF(PolicyInputs!$B$1=4,EconomicInputs!H144,"error"))))</f>
        <v>183432.32659524382</v>
      </c>
      <c r="I16" s="27">
        <f>IF(PolicyInputs!$B$1=1,EconomicInputs!I48,IF(PolicyInputs!$B$1=2,EconomicInputs!I80,IF(PolicyInputs!$B$1=3,EconomicInputs!I112,IF(PolicyInputs!$B$1=4,EconomicInputs!I144,"error"))))</f>
        <v>74179.676783438656</v>
      </c>
      <c r="J16" s="27">
        <f>IF(PolicyInputs!$B$1=1,EconomicInputs!J48,IF(PolicyInputs!$B$1=2,EconomicInputs!J80,IF(PolicyInputs!$B$1=3,EconomicInputs!J112,IF(PolicyInputs!$B$1=4,EconomicInputs!J144,"error"))))</f>
        <v>97776243.532790825</v>
      </c>
      <c r="K16" s="27">
        <f>IF(PolicyInputs!$B$1=1,EconomicInputs!K48,IF(PolicyInputs!$B$1=2,EconomicInputs!K80,IF(PolicyInputs!$B$1=3,EconomicInputs!K112,IF(PolicyInputs!$B$1=4,EconomicInputs!K144,"error"))))</f>
        <v>2665068181.7288957</v>
      </c>
      <c r="L16" s="27">
        <f>IF(PolicyInputs!$B$1=1,EconomicInputs!L48,IF(PolicyInputs!$B$1=2,EconomicInputs!L80,IF(PolicyInputs!$B$1=3,EconomicInputs!L112,IF(PolicyInputs!$B$1=4,EconomicInputs!L144,"error"))))</f>
        <v>1270907561.6156631</v>
      </c>
      <c r="M16" s="27">
        <f>IF(PolicyInputs!$B$1=1,EconomicInputs!M48,IF(PolicyInputs!$B$1=2,EconomicInputs!M80,IF(PolicyInputs!$B$1=3,EconomicInputs!M112,IF(PolicyInputs!$B$1=4,EconomicInputs!M144,"error"))))</f>
        <v>1016726049.2925305</v>
      </c>
      <c r="N16" s="51">
        <f>IF(PolicyInputs!$B$1=1,EconomicInputs!N48,IF(PolicyInputs!$B$1=2,EconomicInputs!N80,IF(PolicyInputs!$B$1=3,EconomicInputs!N112,IF(PolicyInputs!$B$1=4,EconomicInputs!N144,"error"))))</f>
        <v>2.9413499099999996</v>
      </c>
      <c r="O16" s="51">
        <f>IF(PolicyInputs!$B$1=1,EconomicInputs!O48,IF(PolicyInputs!$B$1=2,EconomicInputs!O80,IF(PolicyInputs!$B$1=3,EconomicInputs!O112,IF(PolicyInputs!$B$1=4,EconomicInputs!O144,"error"))))</f>
        <v>3.5540338714999997</v>
      </c>
      <c r="P16" s="27">
        <f>IF(PolicyInputs!$B$1=1,EconomicInputs!P48,IF(PolicyInputs!$B$1=2,EconomicInputs!P80,IF(PolicyInputs!$B$1=3,EconomicInputs!P112,IF(PolicyInputs!$B$1=4,EconomicInputs!P144,"error"))))</f>
        <v>458879637.9385404</v>
      </c>
      <c r="Q16" s="27">
        <f>IF(PolicyInputs!$B$1=1,EconomicInputs!Q48,IF(PolicyInputs!$B$1=2,EconomicInputs!Q80,IF(PolicyInputs!$B$1=3,EconomicInputs!Q112,IF(PolicyInputs!$B$1=4,EconomicInputs!Q144,"error"))))</f>
        <v>72959920809.170441</v>
      </c>
      <c r="R16" s="27">
        <f>IF(PolicyInputs!$B$1=1,EconomicInputs!R48,IF(PolicyInputs!$B$1=2,EconomicInputs!R80,IF(PolicyInputs!$B$1=3,EconomicInputs!R112,IF(PolicyInputs!$B$1=4,EconomicInputs!R144,"error"))))</f>
        <v>52001219.923528433</v>
      </c>
      <c r="S16" s="27">
        <f>IF(PolicyInputs!$B$1=1,EconomicInputs!S48,IF(PolicyInputs!$B$1=2,EconomicInputs!S80,IF(PolicyInputs!$B$1=3,EconomicInputs!S112,IF(PolicyInputs!$B$1=4,EconomicInputs!S144,"error"))))</f>
        <v>158522056.74240488</v>
      </c>
      <c r="T16" s="27">
        <f>IF(PolicyInputs!$B$1=1,EconomicInputs!T48,IF(PolicyInputs!$B$1=2,EconomicInputs!T80,IF(PolicyInputs!$B$1=3,EconomicInputs!T112,IF(PolicyInputs!$B$1=4,EconomicInputs!T144,"error"))))</f>
        <v>3041115890.3616838</v>
      </c>
      <c r="U16" s="27">
        <f>IF(PolicyInputs!$B$1=1,EconomicInputs!U48,IF(PolicyInputs!$B$1=2,EconomicInputs!U80,IF(PolicyInputs!$B$1=3,EconomicInputs!U112,IF(PolicyInputs!$B$1=4,EconomicInputs!U144,"error"))))</f>
        <v>7344065467.9653702</v>
      </c>
      <c r="V16" s="27">
        <f>IF(PolicyInputs!$B$1=1,EconomicInputs!V48,IF(PolicyInputs!$B$1=2,EconomicInputs!V80,IF(PolicyInputs!$B$1=3,EconomicInputs!V112,IF(PolicyInputs!$B$1=4,EconomicInputs!V144,"error"))))</f>
        <v>404073613.52393949</v>
      </c>
      <c r="W16" s="27">
        <f>IF(PolicyInputs!$B$1=1,EconomicInputs!W48,IF(PolicyInputs!$B$1=2,EconomicInputs!W80,IF(PolicyInputs!$B$1=3,EconomicInputs!W112,IF(PolicyInputs!$B$1=4,EconomicInputs!W144,"error"))))</f>
        <v>5969291.0184166366</v>
      </c>
      <c r="X16" s="27">
        <f>IF(PolicyInputs!$B$1=1,EconomicInputs!X48,IF(PolicyInputs!$B$1=2,EconomicInputs!X80,IF(PolicyInputs!$B$1=3,EconomicInputs!X112,IF(PolicyInputs!$B$1=4,EconomicInputs!X144,"error"))))</f>
        <v>122315379000</v>
      </c>
      <c r="Y16" s="61">
        <f>IF(PolicyInputs!$B$1=1,EconomicInputs!Y48,IF(PolicyInputs!$B$1=2,EconomicInputs!Y80,IF(PolicyInputs!$B$1=3,EconomicInputs!Y112,IF(PolicyInputs!$B$1=4,EconomicInputs!Y144,"error"))))</f>
        <v>29046857588.27898</v>
      </c>
      <c r="Z16" s="61">
        <f>IF(PolicyInputs!$B$1=1,EconomicInputs!Z48,IF(PolicyInputs!$B$1=2,EconomicInputs!Z80,IF(PolicyInputs!$B$1=3,EconomicInputs!Z112,IF(PolicyInputs!$B$1=4,EconomicInputs!Z144,"error"))))</f>
        <v>78303857.705853537</v>
      </c>
      <c r="AA16" s="61">
        <f>IF(PolicyInputs!$B$1=1,EconomicInputs!AA48,IF(PolicyInputs!$B$1=2,EconomicInputs!AA80,IF(PolicyInputs!$B$1=3,EconomicInputs!AA112,IF(PolicyInputs!$B$1=4,EconomicInputs!AA144,"error"))))</f>
        <v>694378290.58287942</v>
      </c>
      <c r="AD16" s="59">
        <f t="shared" si="0"/>
        <v>84014505082.101959</v>
      </c>
      <c r="AE16" s="92"/>
    </row>
    <row r="17" spans="1:31">
      <c r="A17" s="3">
        <f t="shared" si="1"/>
        <v>2023</v>
      </c>
      <c r="B17" s="27">
        <f>IF(PolicyInputs!$B$1=1,EconomicInputs!B49,IF(PolicyInputs!$B$1=2,EconomicInputs!B81,IF(PolicyInputs!$B$1=3,EconomicInputs!B113,IF(PolicyInputs!$B$1=4,EconomicInputs!B145,"error"))))</f>
        <v>7017728.7010456054</v>
      </c>
      <c r="C17" s="27">
        <f>IF(PolicyInputs!$B$1=1,EconomicInputs!C49,IF(PolicyInputs!$B$1=2,EconomicInputs!C81,IF(PolicyInputs!$B$1=3,EconomicInputs!C113,IF(PolicyInputs!$B$1=4,EconomicInputs!C145,"error"))))</f>
        <v>4856268.2611235585</v>
      </c>
      <c r="D17" s="27">
        <f>IF(PolicyInputs!$B$1=1,EconomicInputs!D49,IF(PolicyInputs!$B$1=2,EconomicInputs!D81,IF(PolicyInputs!$B$1=3,EconomicInputs!D113,IF(PolicyInputs!$B$1=4,EconomicInputs!D145,"error"))))</f>
        <v>220118.62136860262</v>
      </c>
      <c r="E17" s="27">
        <f>IF(PolicyInputs!$B$1=1,EconomicInputs!E49,IF(PolicyInputs!$B$1=2,EconomicInputs!E81,IF(PolicyInputs!$B$1=3,EconomicInputs!E113,IF(PolicyInputs!$B$1=4,EconomicInputs!E145,"error"))))</f>
        <v>5596467.0336460629</v>
      </c>
      <c r="F17" s="27">
        <f>IF(PolicyInputs!$B$1=1,EconomicInputs!F49,IF(PolicyInputs!$B$1=2,EconomicInputs!F81,IF(PolicyInputs!$B$1=3,EconomicInputs!F113,IF(PolicyInputs!$B$1=4,EconomicInputs!F145,"error"))))</f>
        <v>4357.4512870563194</v>
      </c>
      <c r="G17" s="27">
        <f>IF(PolicyInputs!$B$1=1,EconomicInputs!G49,IF(PolicyInputs!$B$1=2,EconomicInputs!G81,IF(PolicyInputs!$B$1=3,EconomicInputs!G113,IF(PolicyInputs!$B$1=4,EconomicInputs!G145,"error"))))</f>
        <v>9585.5906544493828</v>
      </c>
      <c r="H17" s="27">
        <f>IF(PolicyInputs!$B$1=1,EconomicInputs!H49,IF(PolicyInputs!$B$1=2,EconomicInputs!H81,IF(PolicyInputs!$B$1=3,EconomicInputs!H113,IF(PolicyInputs!$B$1=4,EconomicInputs!H145,"error"))))</f>
        <v>184642.97995077242</v>
      </c>
      <c r="I17" s="27">
        <f>IF(PolicyInputs!$B$1=1,EconomicInputs!I49,IF(PolicyInputs!$B$1=2,EconomicInputs!I81,IF(PolicyInputs!$B$1=3,EconomicInputs!I113,IF(PolicyInputs!$B$1=4,EconomicInputs!I145,"error"))))</f>
        <v>75641.016416072394</v>
      </c>
      <c r="J17" s="27">
        <f>IF(PolicyInputs!$B$1=1,EconomicInputs!J49,IF(PolicyInputs!$B$1=2,EconomicInputs!J81,IF(PolicyInputs!$B$1=3,EconomicInputs!J113,IF(PolicyInputs!$B$1=4,EconomicInputs!J145,"error"))))</f>
        <v>98015742.216549546</v>
      </c>
      <c r="K17" s="27">
        <f>IF(PolicyInputs!$B$1=1,EconomicInputs!K49,IF(PolicyInputs!$B$1=2,EconomicInputs!K81,IF(PolicyInputs!$B$1=3,EconomicInputs!K113,IF(PolicyInputs!$B$1=4,EconomicInputs!K145,"error"))))</f>
        <v>2614691084.8068686</v>
      </c>
      <c r="L17" s="27">
        <f>IF(PolicyInputs!$B$1=1,EconomicInputs!L49,IF(PolicyInputs!$B$1=2,EconomicInputs!L81,IF(PolicyInputs!$B$1=3,EconomicInputs!L113,IF(PolicyInputs!$B$1=4,EconomicInputs!L145,"error"))))</f>
        <v>1285805868.6411619</v>
      </c>
      <c r="M17" s="27">
        <f>IF(PolicyInputs!$B$1=1,EconomicInputs!M49,IF(PolicyInputs!$B$1=2,EconomicInputs!M81,IF(PolicyInputs!$B$1=3,EconomicInputs!M113,IF(PolicyInputs!$B$1=4,EconomicInputs!M145,"error"))))</f>
        <v>1028644694.9129295</v>
      </c>
      <c r="N17" s="51">
        <f>IF(PolicyInputs!$B$1=1,EconomicInputs!N49,IF(PolicyInputs!$B$1=2,EconomicInputs!N81,IF(PolicyInputs!$B$1=3,EconomicInputs!N113,IF(PolicyInputs!$B$1=4,EconomicInputs!N145,"error"))))</f>
        <v>2.9884639440000003</v>
      </c>
      <c r="O17" s="51">
        <f>IF(PolicyInputs!$B$1=1,EconomicInputs!O49,IF(PolicyInputs!$B$1=2,EconomicInputs!O81,IF(PolicyInputs!$B$1=3,EconomicInputs!O113,IF(PolicyInputs!$B$1=4,EconomicInputs!O145,"error"))))</f>
        <v>3.6032557855</v>
      </c>
      <c r="P17" s="27">
        <f>IF(PolicyInputs!$B$1=1,EconomicInputs!P49,IF(PolicyInputs!$B$1=2,EconomicInputs!P81,IF(PolicyInputs!$B$1=3,EconomicInputs!P113,IF(PolicyInputs!$B$1=4,EconomicInputs!P145,"error"))))</f>
        <v>463468434.31792581</v>
      </c>
      <c r="Q17" s="27">
        <f>IF(PolicyInputs!$B$1=1,EconomicInputs!Q49,IF(PolicyInputs!$B$1=2,EconomicInputs!Q81,IF(PolicyInputs!$B$1=3,EconomicInputs!Q113,IF(PolicyInputs!$B$1=4,EconomicInputs!Q145,"error"))))</f>
        <v>73684669811.7659</v>
      </c>
      <c r="R17" s="27">
        <f>IF(PolicyInputs!$B$1=1,EconomicInputs!R49,IF(PolicyInputs!$B$1=2,EconomicInputs!R81,IF(PolicyInputs!$B$1=3,EconomicInputs!R113,IF(PolicyInputs!$B$1=4,EconomicInputs!R145,"error"))))</f>
        <v>57371437.618988097</v>
      </c>
      <c r="S17" s="27">
        <f>IF(PolicyInputs!$B$1=1,EconomicInputs!S49,IF(PolicyInputs!$B$1=2,EconomicInputs!S81,IF(PolicyInputs!$B$1=3,EconomicInputs!S113,IF(PolicyInputs!$B$1=4,EconomicInputs!S145,"error"))))</f>
        <v>160107277.30982894</v>
      </c>
      <c r="T17" s="27">
        <f>IF(PolicyInputs!$B$1=1,EconomicInputs!T49,IF(PolicyInputs!$B$1=2,EconomicInputs!T81,IF(PolicyInputs!$B$1=3,EconomicInputs!T113,IF(PolicyInputs!$B$1=4,EconomicInputs!T145,"error"))))</f>
        <v>3061187255.2380705</v>
      </c>
      <c r="U17" s="27">
        <f>IF(PolicyInputs!$B$1=1,EconomicInputs!U49,IF(PolicyInputs!$B$1=2,EconomicInputs!U81,IF(PolicyInputs!$B$1=3,EconomicInputs!U113,IF(PolicyInputs!$B$1=4,EconomicInputs!U145,"error"))))</f>
        <v>7488743557.684289</v>
      </c>
      <c r="V17" s="27">
        <f>IF(PolicyInputs!$B$1=1,EconomicInputs!V49,IF(PolicyInputs!$B$1=2,EconomicInputs!V81,IF(PolicyInputs!$B$1=3,EconomicInputs!V113,IF(PolicyInputs!$B$1=4,EconomicInputs!V145,"error"))))</f>
        <v>416627092.24775803</v>
      </c>
      <c r="W17" s="27">
        <f>IF(PolicyInputs!$B$1=1,EconomicInputs!W49,IF(PolicyInputs!$B$1=2,EconomicInputs!W81,IF(PolicyInputs!$B$1=3,EconomicInputs!W113,IF(PolicyInputs!$B$1=4,EconomicInputs!W145,"error"))))</f>
        <v>6039805.5020418568</v>
      </c>
      <c r="X17" s="27">
        <f>IF(PolicyInputs!$B$1=1,EconomicInputs!X49,IF(PolicyInputs!$B$1=2,EconomicInputs!X81,IF(PolicyInputs!$B$1=3,EconomicInputs!X113,IF(PolicyInputs!$B$1=4,EconomicInputs!X145,"error"))))</f>
        <v>126856676000</v>
      </c>
      <c r="Y17" s="61">
        <f>IF(PolicyInputs!$B$1=1,EconomicInputs!Y49,IF(PolicyInputs!$B$1=2,EconomicInputs!Y81,IF(PolicyInputs!$B$1=3,EconomicInputs!Y113,IF(PolicyInputs!$B$1=4,EconomicInputs!Y145,"error"))))</f>
        <v>29459019899.1077</v>
      </c>
      <c r="Z17" s="61">
        <f>IF(PolicyInputs!$B$1=1,EconomicInputs!Z49,IF(PolicyInputs!$B$1=2,EconomicInputs!Z81,IF(PolicyInputs!$B$1=3,EconomicInputs!Z113,IF(PolicyInputs!$B$1=4,EconomicInputs!Z145,"error"))))</f>
        <v>79691471.796481475</v>
      </c>
      <c r="AA17" s="61">
        <f>IF(PolicyInputs!$B$1=1,EconomicInputs!AA49,IF(PolicyInputs!$B$1=2,EconomicInputs!AA81,IF(PolicyInputs!$B$1=3,EconomicInputs!AA113,IF(PolicyInputs!$B$1=4,EconomicInputs!AA145,"error"))))</f>
        <v>698488540.12936926</v>
      </c>
      <c r="AD17" s="59">
        <f t="shared" si="0"/>
        <v>84915547773.935013</v>
      </c>
      <c r="AE17" s="92"/>
    </row>
    <row r="18" spans="1:31">
      <c r="A18" s="3">
        <f t="shared" si="1"/>
        <v>2024</v>
      </c>
      <c r="B18" s="27">
        <f>IF(PolicyInputs!$B$1=1,EconomicInputs!B50,IF(PolicyInputs!$B$1=2,EconomicInputs!B82,IF(PolicyInputs!$B$1=3,EconomicInputs!B114,IF(PolicyInputs!$B$1=4,EconomicInputs!B146,"error"))))</f>
        <v>7059268.9055739604</v>
      </c>
      <c r="C18" s="27">
        <f>IF(PolicyInputs!$B$1=1,EconomicInputs!C50,IF(PolicyInputs!$B$1=2,EconomicInputs!C82,IF(PolicyInputs!$B$1=3,EconomicInputs!C114,IF(PolicyInputs!$B$1=4,EconomicInputs!C146,"error"))))</f>
        <v>4885014.0826571798</v>
      </c>
      <c r="D18" s="27">
        <f>IF(PolicyInputs!$B$1=1,EconomicInputs!D50,IF(PolicyInputs!$B$1=2,EconomicInputs!D82,IF(PolicyInputs!$B$1=3,EconomicInputs!D114,IF(PolicyInputs!$B$1=4,EconomicInputs!D146,"error"))))</f>
        <v>222319.80758228863</v>
      </c>
      <c r="E18" s="27">
        <f>IF(PolicyInputs!$B$1=1,EconomicInputs!E50,IF(PolicyInputs!$B$1=2,EconomicInputs!E82,IF(PolicyInputs!$B$1=3,EconomicInputs!E114,IF(PolicyInputs!$B$1=4,EconomicInputs!E146,"error"))))</f>
        <v>5652013.0827127481</v>
      </c>
      <c r="F18" s="27">
        <f>IF(PolicyInputs!$B$1=1,EconomicInputs!F50,IF(PolicyInputs!$B$1=2,EconomicInputs!F82,IF(PolicyInputs!$B$1=3,EconomicInputs!F114,IF(PolicyInputs!$B$1=4,EconomicInputs!F146,"error"))))</f>
        <v>4819.6470697028562</v>
      </c>
      <c r="G18" s="27">
        <f>IF(PolicyInputs!$B$1=1,EconomicInputs!G50,IF(PolicyInputs!$B$1=2,EconomicInputs!G82,IF(PolicyInputs!$B$1=3,EconomicInputs!G114,IF(PolicyInputs!$B$1=4,EconomicInputs!G146,"error"))))</f>
        <v>9681.4465609938761</v>
      </c>
      <c r="H18" s="27">
        <f>IF(PolicyInputs!$B$1=1,EconomicInputs!H50,IF(PolicyInputs!$B$1=2,EconomicInputs!H82,IF(PolicyInputs!$B$1=3,EconomicInputs!H114,IF(PolicyInputs!$B$1=4,EconomicInputs!H146,"error"))))</f>
        <v>185861.62361844751</v>
      </c>
      <c r="I18" s="27">
        <f>IF(PolicyInputs!$B$1=1,EconomicInputs!I50,IF(PolicyInputs!$B$1=2,EconomicInputs!I82,IF(PolicyInputs!$B$1=3,EconomicInputs!I114,IF(PolicyInputs!$B$1=4,EconomicInputs!I146,"error"))))</f>
        <v>77131.144439469019</v>
      </c>
      <c r="J18" s="27">
        <f>IF(PolicyInputs!$B$1=1,EconomicInputs!J50,IF(PolicyInputs!$B$1=2,EconomicInputs!J82,IF(PolicyInputs!$B$1=3,EconomicInputs!J114,IF(PolicyInputs!$B$1=4,EconomicInputs!J146,"error"))))</f>
        <v>98237534.574385151</v>
      </c>
      <c r="K18" s="27">
        <f>IF(PolicyInputs!$B$1=1,EconomicInputs!K50,IF(PolicyInputs!$B$1=2,EconomicInputs!K82,IF(PolicyInputs!$B$1=3,EconomicInputs!K114,IF(PolicyInputs!$B$1=4,EconomicInputs!K146,"error"))))</f>
        <v>2560767475.1847768</v>
      </c>
      <c r="L18" s="27">
        <f>IF(PolicyInputs!$B$1=1,EconomicInputs!L50,IF(PolicyInputs!$B$1=2,EconomicInputs!L82,IF(PolicyInputs!$B$1=3,EconomicInputs!L114,IF(PolicyInputs!$B$1=4,EconomicInputs!L146,"error"))))</f>
        <v>1301956201.3763971</v>
      </c>
      <c r="M18" s="27">
        <f>IF(PolicyInputs!$B$1=1,EconomicInputs!M50,IF(PolicyInputs!$B$1=2,EconomicInputs!M82,IF(PolicyInputs!$B$1=3,EconomicInputs!M114,IF(PolicyInputs!$B$1=4,EconomicInputs!M146,"error"))))</f>
        <v>1041564961.1011177</v>
      </c>
      <c r="N18" s="51">
        <f>IF(PolicyInputs!$B$1=1,EconomicInputs!N50,IF(PolicyInputs!$B$1=2,EconomicInputs!N82,IF(PolicyInputs!$B$1=3,EconomicInputs!N114,IF(PolicyInputs!$B$1=4,EconomicInputs!N146,"error"))))</f>
        <v>3.0247099020000001</v>
      </c>
      <c r="O18" s="51">
        <f>IF(PolicyInputs!$B$1=1,EconomicInputs!O50,IF(PolicyInputs!$B$1=2,EconomicInputs!O82,IF(PolicyInputs!$B$1=3,EconomicInputs!O114,IF(PolicyInputs!$B$1=4,EconomicInputs!O146,"error"))))</f>
        <v>3.6485752170000003</v>
      </c>
      <c r="P18" s="27">
        <f>IF(PolicyInputs!$B$1=1,EconomicInputs!P50,IF(PolicyInputs!$B$1=2,EconomicInputs!P82,IF(PolicyInputs!$B$1=3,EconomicInputs!P114,IF(PolicyInputs!$B$1=4,EconomicInputs!P146,"error"))))</f>
        <v>468103118.6611051</v>
      </c>
      <c r="Q18" s="27">
        <f>IF(PolicyInputs!$B$1=1,EconomicInputs!Q50,IF(PolicyInputs!$B$1=2,EconomicInputs!Q82,IF(PolicyInputs!$B$1=3,EconomicInputs!Q114,IF(PolicyInputs!$B$1=4,EconomicInputs!Q146,"error"))))</f>
        <v>74416004823.697586</v>
      </c>
      <c r="R18" s="27">
        <f>IF(PolicyInputs!$B$1=1,EconomicInputs!R50,IF(PolicyInputs!$B$1=2,EconomicInputs!R82,IF(PolicyInputs!$B$1=3,EconomicInputs!R114,IF(PolicyInputs!$B$1=4,EconomicInputs!R146,"error"))))</f>
        <v>63456838.181170359</v>
      </c>
      <c r="S18" s="27">
        <f>IF(PolicyInputs!$B$1=1,EconomicInputs!S50,IF(PolicyInputs!$B$1=2,EconomicInputs!S82,IF(PolicyInputs!$B$1=3,EconomicInputs!S114,IF(PolicyInputs!$B$1=4,EconomicInputs!S146,"error"))))</f>
        <v>161708350.08292723</v>
      </c>
      <c r="T18" s="27">
        <f>IF(PolicyInputs!$B$1=1,EconomicInputs!T50,IF(PolicyInputs!$B$1=2,EconomicInputs!T82,IF(PolicyInputs!$B$1=3,EconomicInputs!T114,IF(PolicyInputs!$B$1=4,EconomicInputs!T146,"error"))))</f>
        <v>3081391091.1226416</v>
      </c>
      <c r="U18" s="27">
        <f>IF(PolicyInputs!$B$1=1,EconomicInputs!U50,IF(PolicyInputs!$B$1=2,EconomicInputs!U82,IF(PolicyInputs!$B$1=3,EconomicInputs!U114,IF(PolicyInputs!$B$1=4,EconomicInputs!U146,"error"))))</f>
        <v>7636271805.770668</v>
      </c>
      <c r="V18" s="27">
        <f>IF(PolicyInputs!$B$1=1,EconomicInputs!V50,IF(PolicyInputs!$B$1=2,EconomicInputs!V82,IF(PolicyInputs!$B$1=3,EconomicInputs!V114,IF(PolicyInputs!$B$1=4,EconomicInputs!V146,"error"))))</f>
        <v>429570573.74036682</v>
      </c>
      <c r="W18" s="27">
        <f>IF(PolicyInputs!$B$1=1,EconomicInputs!W50,IF(PolicyInputs!$B$1=2,EconomicInputs!W82,IF(PolicyInputs!$B$1=3,EconomicInputs!W114,IF(PolicyInputs!$B$1=4,EconomicInputs!W146,"error"))))</f>
        <v>6111259.024818508</v>
      </c>
      <c r="X18" s="27">
        <f>IF(PolicyInputs!$B$1=1,EconomicInputs!X50,IF(PolicyInputs!$B$1=2,EconomicInputs!X82,IF(PolicyInputs!$B$1=3,EconomicInputs!X114,IF(PolicyInputs!$B$1=4,EconomicInputs!X146,"error"))))</f>
        <v>131623193000</v>
      </c>
      <c r="Y18" s="61">
        <f>IF(PolicyInputs!$B$1=1,EconomicInputs!Y50,IF(PolicyInputs!$B$1=2,EconomicInputs!Y82,IF(PolicyInputs!$B$1=3,EconomicInputs!Y114,IF(PolicyInputs!$B$1=4,EconomicInputs!Y146,"error"))))</f>
        <v>29924678589.160797</v>
      </c>
      <c r="Z18" s="61">
        <f>IF(PolicyInputs!$B$1=1,EconomicInputs!Z50,IF(PolicyInputs!$B$1=2,EconomicInputs!Z82,IF(PolicyInputs!$B$1=3,EconomicInputs!Z114,IF(PolicyInputs!$B$1=4,EconomicInputs!Z146,"error"))))</f>
        <v>80977770.202317223</v>
      </c>
      <c r="AA18" s="61">
        <f>IF(PolicyInputs!$B$1=1,EconomicInputs!AA50,IF(PolicyInputs!$B$1=2,EconomicInputs!AA82,IF(PolicyInputs!$B$1=3,EconomicInputs!AA114,IF(PolicyInputs!$B$1=4,EconomicInputs!AA146,"error"))))</f>
        <v>702623119.57148468</v>
      </c>
      <c r="AD18" s="59">
        <f t="shared" si="0"/>
        <v>85826936027.516083</v>
      </c>
      <c r="AE18" s="92"/>
    </row>
    <row r="19" spans="1:31">
      <c r="A19" s="3">
        <f t="shared" si="1"/>
        <v>2025</v>
      </c>
      <c r="B19" s="27">
        <f>IF(PolicyInputs!$B$1=1,EconomicInputs!B51,IF(PolicyInputs!$B$1=2,EconomicInputs!B83,IF(PolicyInputs!$B$1=3,EconomicInputs!B115,IF(PolicyInputs!$B$1=4,EconomicInputs!B147,"error"))))</f>
        <v>7101055</v>
      </c>
      <c r="C19" s="27">
        <f>IF(PolicyInputs!$B$1=1,EconomicInputs!C51,IF(PolicyInputs!$B$1=2,EconomicInputs!C83,IF(PolicyInputs!$B$1=3,EconomicInputs!C115,IF(PolicyInputs!$B$1=4,EconomicInputs!C147,"error"))))</f>
        <v>4913930.0599999996</v>
      </c>
      <c r="D19" s="27">
        <f>IF(PolicyInputs!$B$1=1,EconomicInputs!D51,IF(PolicyInputs!$B$1=2,EconomicInputs!D83,IF(PolicyInputs!$B$1=3,EconomicInputs!D115,IF(PolicyInputs!$B$1=4,EconomicInputs!D147,"error"))))</f>
        <v>224543.00565811151</v>
      </c>
      <c r="E19" s="27">
        <f>IF(PolicyInputs!$B$1=1,EconomicInputs!E51,IF(PolicyInputs!$B$1=2,EconomicInputs!E83,IF(PolicyInputs!$B$1=3,EconomicInputs!E115,IF(PolicyInputs!$B$1=4,EconomicInputs!E147,"error"))))</f>
        <v>5708033.9207105776</v>
      </c>
      <c r="F19" s="27">
        <f>IF(PolicyInputs!$B$1=1,EconomicInputs!F51,IF(PolicyInputs!$B$1=2,EconomicInputs!F83,IF(PolicyInputs!$B$1=3,EconomicInputs!F115,IF(PolicyInputs!$B$1=4,EconomicInputs!F147,"error"))))</f>
        <v>5367.1363696977496</v>
      </c>
      <c r="G19" s="27">
        <f>IF(PolicyInputs!$B$1=1,EconomicInputs!G51,IF(PolicyInputs!$B$1=2,EconomicInputs!G83,IF(PolicyInputs!$B$1=3,EconomicInputs!G115,IF(PolicyInputs!$B$1=4,EconomicInputs!G147,"error"))))</f>
        <v>9778.2610266038155</v>
      </c>
      <c r="H19" s="27">
        <f>IF(PolicyInputs!$B$1=1,EconomicInputs!H51,IF(PolicyInputs!$B$1=2,EconomicInputs!H83,IF(PolicyInputs!$B$1=3,EconomicInputs!H115,IF(PolicyInputs!$B$1=4,EconomicInputs!H147,"error"))))</f>
        <v>187088.31033432926</v>
      </c>
      <c r="I19" s="27">
        <f>IF(PolicyInputs!$B$1=1,EconomicInputs!I51,IF(PolicyInputs!$B$1=2,EconomicInputs!I83,IF(PolicyInputs!$B$1=3,EconomicInputs!I115,IF(PolicyInputs!$B$1=4,EconomicInputs!I147,"error"))))</f>
        <v>78650.62798492657</v>
      </c>
      <c r="J19" s="27">
        <f>IF(PolicyInputs!$B$1=1,EconomicInputs!J51,IF(PolicyInputs!$B$1=2,EconomicInputs!J83,IF(PolicyInputs!$B$1=3,EconomicInputs!J115,IF(PolicyInputs!$B$1=4,EconomicInputs!J147,"error"))))</f>
        <v>98444058.459106848</v>
      </c>
      <c r="K19" s="27">
        <f>IF(PolicyInputs!$B$1=1,EconomicInputs!K51,IF(PolicyInputs!$B$1=2,EconomicInputs!K83,IF(PolicyInputs!$B$1=3,EconomicInputs!K115,IF(PolicyInputs!$B$1=4,EconomicInputs!K147,"error"))))</f>
        <v>2504121543.1520319</v>
      </c>
      <c r="L19" s="27">
        <f>IF(PolicyInputs!$B$1=1,EconomicInputs!L51,IF(PolicyInputs!$B$1=2,EconomicInputs!L83,IF(PolicyInputs!$B$1=3,EconomicInputs!L115,IF(PolicyInputs!$B$1=4,EconomicInputs!L147,"error"))))</f>
        <v>1319063143.3213499</v>
      </c>
      <c r="M19" s="27">
        <f>IF(PolicyInputs!$B$1=1,EconomicInputs!M51,IF(PolicyInputs!$B$1=2,EconomicInputs!M83,IF(PolicyInputs!$B$1=3,EconomicInputs!M115,IF(PolicyInputs!$B$1=4,EconomicInputs!M147,"error"))))</f>
        <v>1055250514.6570799</v>
      </c>
      <c r="N19" s="51">
        <f>IF(PolicyInputs!$B$1=1,EconomicInputs!N51,IF(PolicyInputs!$B$1=2,EconomicInputs!N83,IF(PolicyInputs!$B$1=3,EconomicInputs!N115,IF(PolicyInputs!$B$1=4,EconomicInputs!N147,"error"))))</f>
        <v>3.0551553120000001</v>
      </c>
      <c r="O19" s="51">
        <f>IF(PolicyInputs!$B$1=1,EconomicInputs!O51,IF(PolicyInputs!$B$1=2,EconomicInputs!O83,IF(PolicyInputs!$B$1=3,EconomicInputs!O115,IF(PolicyInputs!$B$1=4,EconomicInputs!O147,"error"))))</f>
        <v>3.7040794350000001</v>
      </c>
      <c r="P19" s="27">
        <f>IF(PolicyInputs!$B$1=1,EconomicInputs!P51,IF(PolicyInputs!$B$1=2,EconomicInputs!P83,IF(PolicyInputs!$B$1=3,EconomicInputs!P115,IF(PolicyInputs!$B$1=4,EconomicInputs!P147,"error"))))</f>
        <v>472784149.84771615</v>
      </c>
      <c r="Q19" s="27">
        <f>IF(PolicyInputs!$B$1=1,EconomicInputs!Q51,IF(PolicyInputs!$B$1=2,EconomicInputs!Q83,IF(PolicyInputs!$B$1=3,EconomicInputs!Q115,IF(PolicyInputs!$B$1=4,EconomicInputs!Q147,"error"))))</f>
        <v>75153591041.150787</v>
      </c>
      <c r="R19" s="27">
        <f>IF(PolicyInputs!$B$1=1,EconomicInputs!R51,IF(PolicyInputs!$B$1=2,EconomicInputs!R83,IF(PolicyInputs!$B$1=3,EconomicInputs!R115,IF(PolicyInputs!$B$1=4,EconomicInputs!R147,"error"))))</f>
        <v>70665237.346762091</v>
      </c>
      <c r="S19" s="27">
        <f>IF(PolicyInputs!$B$1=1,EconomicInputs!S51,IF(PolicyInputs!$B$1=2,EconomicInputs!S83,IF(PolicyInputs!$B$1=3,EconomicInputs!S115,IF(PolicyInputs!$B$1=4,EconomicInputs!S147,"error"))))</f>
        <v>163325433.58375651</v>
      </c>
      <c r="T19" s="27">
        <f>IF(PolicyInputs!$B$1=1,EconomicInputs!T51,IF(PolicyInputs!$B$1=2,EconomicInputs!T83,IF(PolicyInputs!$B$1=3,EconomicInputs!T115,IF(PolicyInputs!$B$1=4,EconomicInputs!T147,"error"))))</f>
        <v>3101728272.3240509</v>
      </c>
      <c r="U19" s="27">
        <f>IF(PolicyInputs!$B$1=1,EconomicInputs!U51,IF(PolicyInputs!$B$1=2,EconomicInputs!U83,IF(PolicyInputs!$B$1=3,EconomicInputs!U115,IF(PolicyInputs!$B$1=4,EconomicInputs!U147,"error"))))</f>
        <v>7786706360.3443508</v>
      </c>
      <c r="V19" s="27">
        <f>IF(PolicyInputs!$B$1=1,EconomicInputs!V51,IF(PolicyInputs!$B$1=2,EconomicInputs!V83,IF(PolicyInputs!$B$1=3,EconomicInputs!V115,IF(PolicyInputs!$B$1=4,EconomicInputs!V147,"error"))))</f>
        <v>442916174.33724624</v>
      </c>
      <c r="W19" s="27">
        <f>IF(PolicyInputs!$B$1=1,EconomicInputs!W51,IF(PolicyInputs!$B$1=2,EconomicInputs!W83,IF(PolicyInputs!$B$1=3,EconomicInputs!W115,IF(PolicyInputs!$B$1=4,EconomicInputs!W147,"error"))))</f>
        <v>6183665.7215376161</v>
      </c>
      <c r="X19" s="27">
        <f>IF(PolicyInputs!$B$1=1,EconomicInputs!X51,IF(PolicyInputs!$B$1=2,EconomicInputs!X83,IF(PolicyInputs!$B$1=3,EconomicInputs!X115,IF(PolicyInputs!$B$1=4,EconomicInputs!X147,"error"))))</f>
        <v>136571049999.99998</v>
      </c>
      <c r="Y19" s="61">
        <f>IF(PolicyInputs!$B$1=1,EconomicInputs!Y51,IF(PolicyInputs!$B$1=2,EconomicInputs!Y83,IF(PolicyInputs!$B$1=3,EconomicInputs!Y115,IF(PolicyInputs!$B$1=4,EconomicInputs!Y147,"error"))))</f>
        <v>30878347234.785065</v>
      </c>
      <c r="Z19" s="61">
        <f>IF(PolicyInputs!$B$1=1,EconomicInputs!Z51,IF(PolicyInputs!$B$1=2,EconomicInputs!Z83,IF(PolicyInputs!$B$1=3,EconomicInputs!Z115,IF(PolicyInputs!$B$1=4,EconomicInputs!Z147,"error"))))</f>
        <v>82176461.904254764</v>
      </c>
      <c r="AA19" s="61">
        <f>IF(PolicyInputs!$B$1=1,EconomicInputs!AA51,IF(PolicyInputs!$B$1=2,EconomicInputs!AA83,IF(PolicyInputs!$B$1=3,EconomicInputs!AA115,IF(PolicyInputs!$B$1=4,EconomicInputs!AA147,"error"))))</f>
        <v>706782172.92574215</v>
      </c>
      <c r="AD19" s="59">
        <f t="shared" si="0"/>
        <v>86748800494.597412</v>
      </c>
      <c r="AE19" s="92"/>
    </row>
    <row r="20" spans="1:31">
      <c r="A20" s="3">
        <f t="shared" si="1"/>
        <v>2026</v>
      </c>
      <c r="B20" s="27">
        <f>IF(PolicyInputs!$B$1=1,EconomicInputs!B52,IF(PolicyInputs!$B$1=2,EconomicInputs!B84,IF(PolicyInputs!$B$1=3,EconomicInputs!B116,IF(PolicyInputs!$B$1=4,EconomicInputs!B148,"error"))))</f>
        <v>7141886.5243841968</v>
      </c>
      <c r="C20" s="27">
        <f>IF(PolicyInputs!$B$1=1,EconomicInputs!C52,IF(PolicyInputs!$B$1=2,EconomicInputs!C84,IF(PolicyInputs!$B$1=3,EconomicInputs!C116,IF(PolicyInputs!$B$1=4,EconomicInputs!C148,"error"))))</f>
        <v>4942185.4748738641</v>
      </c>
      <c r="D20" s="27">
        <f>IF(PolicyInputs!$B$1=1,EconomicInputs!D52,IF(PolicyInputs!$B$1=2,EconomicInputs!D84,IF(PolicyInputs!$B$1=3,EconomicInputs!D116,IF(PolicyInputs!$B$1=4,EconomicInputs!D148,"error"))))</f>
        <v>226788.43571469263</v>
      </c>
      <c r="E20" s="27">
        <f>IF(PolicyInputs!$B$1=1,EconomicInputs!E52,IF(PolicyInputs!$B$1=2,EconomicInputs!E84,IF(PolicyInputs!$B$1=3,EconomicInputs!E116,IF(PolicyInputs!$B$1=4,EconomicInputs!E148,"error"))))</f>
        <v>5764517.9845888112</v>
      </c>
      <c r="F20" s="27">
        <f>IF(PolicyInputs!$B$1=1,EconomicInputs!F52,IF(PolicyInputs!$B$1=2,EconomicInputs!F84,IF(PolicyInputs!$B$1=3,EconomicInputs!F116,IF(PolicyInputs!$B$1=4,EconomicInputs!F148,"error"))))</f>
        <v>6017.0830622669309</v>
      </c>
      <c r="G20" s="27">
        <f>IF(PolicyInputs!$B$1=1,EconomicInputs!G52,IF(PolicyInputs!$B$1=2,EconomicInputs!G84,IF(PolicyInputs!$B$1=3,EconomicInputs!G116,IF(PolicyInputs!$B$1=4,EconomicInputs!G148,"error"))))</f>
        <v>9876.0436368698538</v>
      </c>
      <c r="H20" s="27">
        <f>IF(PolicyInputs!$B$1=1,EconomicInputs!H52,IF(PolicyInputs!$B$1=2,EconomicInputs!H84,IF(PolicyInputs!$B$1=3,EconomicInputs!H116,IF(PolicyInputs!$B$1=4,EconomicInputs!H148,"error"))))</f>
        <v>188323.09318253581</v>
      </c>
      <c r="I20" s="27">
        <f>IF(PolicyInputs!$B$1=1,EconomicInputs!I52,IF(PolicyInputs!$B$1=2,EconomicInputs!I84,IF(PolicyInputs!$B$1=3,EconomicInputs!I116,IF(PolicyInputs!$B$1=4,EconomicInputs!I148,"error"))))</f>
        <v>80200.045356229617</v>
      </c>
      <c r="J20" s="27">
        <f>IF(PolicyInputs!$B$1=1,EconomicInputs!J52,IF(PolicyInputs!$B$1=2,EconomicInputs!J84,IF(PolicyInputs!$B$1=3,EconomicInputs!J116,IF(PolicyInputs!$B$1=4,EconomicInputs!J148,"error"))))</f>
        <v>98637280.676199034</v>
      </c>
      <c r="K20" s="27">
        <f>IF(PolicyInputs!$B$1=1,EconomicInputs!K52,IF(PolicyInputs!$B$1=2,EconomicInputs!K84,IF(PolicyInputs!$B$1=3,EconomicInputs!K116,IF(PolicyInputs!$B$1=4,EconomicInputs!K148,"error"))))</f>
        <v>2448124572.7619905</v>
      </c>
      <c r="L20" s="27">
        <f>IF(PolicyInputs!$B$1=1,EconomicInputs!L52,IF(PolicyInputs!$B$1=2,EconomicInputs!L84,IF(PolicyInputs!$B$1=3,EconomicInputs!L116,IF(PolicyInputs!$B$1=4,EconomicInputs!L148,"error"))))</f>
        <v>1336840765.6078403</v>
      </c>
      <c r="M20" s="27">
        <f>IF(PolicyInputs!$B$1=1,EconomicInputs!M52,IF(PolicyInputs!$B$1=2,EconomicInputs!M84,IF(PolicyInputs!$B$1=3,EconomicInputs!M116,IF(PolicyInputs!$B$1=4,EconomicInputs!M148,"error"))))</f>
        <v>1069472612.4862723</v>
      </c>
      <c r="N20" s="51">
        <f>IF(PolicyInputs!$B$1=1,EconomicInputs!N52,IF(PolicyInputs!$B$1=2,EconomicInputs!N84,IF(PolicyInputs!$B$1=3,EconomicInputs!N116,IF(PolicyInputs!$B$1=4,EconomicInputs!N148,"error"))))</f>
        <v>3.0795923520000001</v>
      </c>
      <c r="O20" s="51">
        <f>IF(PolicyInputs!$B$1=1,EconomicInputs!O52,IF(PolicyInputs!$B$1=2,EconomicInputs!O84,IF(PolicyInputs!$B$1=3,EconomicInputs!O116,IF(PolicyInputs!$B$1=4,EconomicInputs!O148,"error"))))</f>
        <v>3.7470090735000001</v>
      </c>
      <c r="P20" s="27">
        <f>IF(PolicyInputs!$B$1=1,EconomicInputs!P52,IF(PolicyInputs!$B$1=2,EconomicInputs!P84,IF(PolicyInputs!$B$1=3,EconomicInputs!P116,IF(PolicyInputs!$B$1=4,EconomicInputs!P148,"error"))))</f>
        <v>477511991.34619331</v>
      </c>
      <c r="Q20" s="27">
        <f>IF(PolicyInputs!$B$1=1,EconomicInputs!Q52,IF(PolicyInputs!$B$1=2,EconomicInputs!Q84,IF(PolicyInputs!$B$1=3,EconomicInputs!Q116,IF(PolicyInputs!$B$1=4,EconomicInputs!Q148,"error"))))</f>
        <v>75897276221.724915</v>
      </c>
      <c r="R20" s="27">
        <f>IF(PolicyInputs!$B$1=1,EconomicInputs!R52,IF(PolicyInputs!$B$1=2,EconomicInputs!R84,IF(PolicyInputs!$B$1=3,EconomicInputs!R116,IF(PolicyInputs!$B$1=4,EconomicInputs!R148,"error"))))</f>
        <v>79222619.557594091</v>
      </c>
      <c r="S20" s="27">
        <f>IF(PolicyInputs!$B$1=1,EconomicInputs!S52,IF(PolicyInputs!$B$1=2,EconomicInputs!S84,IF(PolicyInputs!$B$1=3,EconomicInputs!S116,IF(PolicyInputs!$B$1=4,EconomicInputs!S148,"error"))))</f>
        <v>164958687.91959408</v>
      </c>
      <c r="T20" s="27">
        <f>IF(PolicyInputs!$B$1=1,EconomicInputs!T52,IF(PolicyInputs!$B$1=2,EconomicInputs!T84,IF(PolicyInputs!$B$1=3,EconomicInputs!T116,IF(PolicyInputs!$B$1=4,EconomicInputs!T148,"error"))))</f>
        <v>3122199678.9213891</v>
      </c>
      <c r="U20" s="27">
        <f>IF(PolicyInputs!$B$1=1,EconomicInputs!U52,IF(PolicyInputs!$B$1=2,EconomicInputs!U84,IF(PolicyInputs!$B$1=3,EconomicInputs!U116,IF(PolicyInputs!$B$1=4,EconomicInputs!U148,"error"))))</f>
        <v>7940104475.643137</v>
      </c>
      <c r="V20" s="27">
        <f>IF(PolicyInputs!$B$1=1,EconomicInputs!V52,IF(PolicyInputs!$B$1=2,EconomicInputs!V84,IF(PolicyInputs!$B$1=3,EconomicInputs!V116,IF(PolicyInputs!$B$1=4,EconomicInputs!V148,"error"))))</f>
        <v>456599545.18789881</v>
      </c>
      <c r="W20" s="27">
        <f>IF(PolicyInputs!$B$1=1,EconomicInputs!W52,IF(PolicyInputs!$B$1=2,EconomicInputs!W84,IF(PolicyInputs!$B$1=3,EconomicInputs!W116,IF(PolicyInputs!$B$1=4,EconomicInputs!W148,"error"))))</f>
        <v>6257039.962704883</v>
      </c>
      <c r="X20" s="27">
        <f>IF(PolicyInputs!$B$1=1,EconomicInputs!X52,IF(PolicyInputs!$B$1=2,EconomicInputs!X84,IF(PolicyInputs!$B$1=3,EconomicInputs!X116,IF(PolicyInputs!$B$1=4,EconomicInputs!X148,"error"))))</f>
        <v>141796972000</v>
      </c>
      <c r="Y20" s="61">
        <f>IF(PolicyInputs!$B$1=1,EconomicInputs!Y52,IF(PolicyInputs!$B$1=2,EconomicInputs!Y84,IF(PolicyInputs!$B$1=3,EconomicInputs!Y116,IF(PolicyInputs!$B$1=4,EconomicInputs!Y148,"error"))))</f>
        <v>31809117816.504318</v>
      </c>
      <c r="Z20" s="61">
        <f>IF(PolicyInputs!$B$1=1,EconomicInputs!Z52,IF(PolicyInputs!$B$1=2,EconomicInputs!Z84,IF(PolicyInputs!$B$1=3,EconomicInputs!Z116,IF(PolicyInputs!$B$1=4,EconomicInputs!Z148,"error"))))</f>
        <v>83298665.076175258</v>
      </c>
      <c r="AA20" s="61">
        <f>IF(PolicyInputs!$B$1=1,EconomicInputs!AA52,IF(PolicyInputs!$B$1=2,EconomicInputs!AA84,IF(PolicyInputs!$B$1=3,EconomicInputs!AA116,IF(PolicyInputs!$B$1=4,EconomicInputs!AA148,"error"))))</f>
        <v>710846216.01907587</v>
      </c>
      <c r="AD20" s="59">
        <f t="shared" si="0"/>
        <v>87681273675.112823</v>
      </c>
      <c r="AE20" s="92"/>
    </row>
    <row r="21" spans="1:31">
      <c r="A21" s="3">
        <f t="shared" si="1"/>
        <v>2027</v>
      </c>
      <c r="B21" s="27">
        <f>IF(PolicyInputs!$B$1=1,EconomicInputs!B53,IF(PolicyInputs!$B$1=2,EconomicInputs!B85,IF(PolicyInputs!$B$1=3,EconomicInputs!B117,IF(PolicyInputs!$B$1=4,EconomicInputs!B149,"error"))))</f>
        <v>7182952.832667904</v>
      </c>
      <c r="C21" s="27">
        <f>IF(PolicyInputs!$B$1=1,EconomicInputs!C53,IF(PolicyInputs!$B$1=2,EconomicInputs!C85,IF(PolicyInputs!$B$1=3,EconomicInputs!C117,IF(PolicyInputs!$B$1=4,EconomicInputs!C149,"error"))))</f>
        <v>4970603.3602061896</v>
      </c>
      <c r="D21" s="27">
        <f>IF(PolicyInputs!$B$1=1,EconomicInputs!D53,IF(PolicyInputs!$B$1=2,EconomicInputs!D85,IF(PolicyInputs!$B$1=3,EconomicInputs!D117,IF(PolicyInputs!$B$1=4,EconomicInputs!D149,"error"))))</f>
        <v>229056.32007183955</v>
      </c>
      <c r="E21" s="27">
        <f>IF(PolicyInputs!$B$1=1,EconomicInputs!E53,IF(PolicyInputs!$B$1=2,EconomicInputs!E85,IF(PolicyInputs!$B$1=3,EconomicInputs!E117,IF(PolicyInputs!$B$1=4,EconomicInputs!E149,"error"))))</f>
        <v>5821481.690325967</v>
      </c>
      <c r="F21" s="27">
        <f>IF(PolicyInputs!$B$1=1,EconomicInputs!F53,IF(PolicyInputs!$B$1=2,EconomicInputs!F85,IF(PolicyInputs!$B$1=3,EconomicInputs!F117,IF(PolicyInputs!$B$1=4,EconomicInputs!F149,"error"))))</f>
        <v>6758.7280016224831</v>
      </c>
      <c r="G21" s="27">
        <f>IF(PolicyInputs!$B$1=1,EconomicInputs!G53,IF(PolicyInputs!$B$1=2,EconomicInputs!G85,IF(PolicyInputs!$B$1=3,EconomicInputs!G117,IF(PolicyInputs!$B$1=4,EconomicInputs!G149,"error"))))</f>
        <v>9974.8040732385525</v>
      </c>
      <c r="H21" s="27">
        <f>IF(PolicyInputs!$B$1=1,EconomicInputs!H53,IF(PolicyInputs!$B$1=2,EconomicInputs!H85,IF(PolicyInputs!$B$1=3,EconomicInputs!H117,IF(PolicyInputs!$B$1=4,EconomicInputs!H149,"error"))))</f>
        <v>189566.02559754055</v>
      </c>
      <c r="I21" s="27">
        <f>IF(PolicyInputs!$B$1=1,EconomicInputs!I53,IF(PolicyInputs!$B$1=2,EconomicInputs!I85,IF(PolicyInputs!$B$1=3,EconomicInputs!I117,IF(PolicyInputs!$B$1=4,EconomicInputs!I149,"error"))))</f>
        <v>81779.986249747351</v>
      </c>
      <c r="J21" s="27">
        <f>IF(PolicyInputs!$B$1=1,EconomicInputs!J53,IF(PolicyInputs!$B$1=2,EconomicInputs!J85,IF(PolicyInputs!$B$1=3,EconomicInputs!J117,IF(PolicyInputs!$B$1=4,EconomicInputs!J149,"error"))))</f>
        <v>98818810.996317029</v>
      </c>
      <c r="K21" s="27">
        <f>IF(PolicyInputs!$B$1=1,EconomicInputs!K53,IF(PolicyInputs!$B$1=2,EconomicInputs!K85,IF(PolicyInputs!$B$1=3,EconomicInputs!K117,IF(PolicyInputs!$B$1=4,EconomicInputs!K149,"error"))))</f>
        <v>2393808163.7748322</v>
      </c>
      <c r="L21" s="27">
        <f>IF(PolicyInputs!$B$1=1,EconomicInputs!L53,IF(PolicyInputs!$B$1=2,EconomicInputs!L85,IF(PolicyInputs!$B$1=3,EconomicInputs!L117,IF(PolicyInputs!$B$1=4,EconomicInputs!L149,"error"))))</f>
        <v>1355231945.9243481</v>
      </c>
      <c r="M21" s="27">
        <f>IF(PolicyInputs!$B$1=1,EconomicInputs!M53,IF(PolicyInputs!$B$1=2,EconomicInputs!M85,IF(PolicyInputs!$B$1=3,EconomicInputs!M117,IF(PolicyInputs!$B$1=4,EconomicInputs!M149,"error"))))</f>
        <v>1084185556.7394786</v>
      </c>
      <c r="N21" s="51">
        <f>IF(PolicyInputs!$B$1=1,EconomicInputs!N53,IF(PolicyInputs!$B$1=2,EconomicInputs!N85,IF(PolicyInputs!$B$1=3,EconomicInputs!N117,IF(PolicyInputs!$B$1=4,EconomicInputs!N149,"error"))))</f>
        <v>3.1196236800000001</v>
      </c>
      <c r="O21" s="51">
        <f>IF(PolicyInputs!$B$1=1,EconomicInputs!O53,IF(PolicyInputs!$B$1=2,EconomicInputs!O85,IF(PolicyInputs!$B$1=3,EconomicInputs!O117,IF(PolicyInputs!$B$1=4,EconomicInputs!O149,"error"))))</f>
        <v>3.8022677595000003</v>
      </c>
      <c r="P21" s="27">
        <f>IF(PolicyInputs!$B$1=1,EconomicInputs!P53,IF(PolicyInputs!$B$1=2,EconomicInputs!P85,IF(PolicyInputs!$B$1=3,EconomicInputs!P117,IF(PolicyInputs!$B$1=4,EconomicInputs!P149,"error"))))</f>
        <v>482287111.25965524</v>
      </c>
      <c r="Q21" s="27">
        <f>IF(PolicyInputs!$B$1=1,EconomicInputs!Q53,IF(PolicyInputs!$B$1=2,EconomicInputs!Q85,IF(PolicyInputs!$B$1=3,EconomicInputs!Q117,IF(PolicyInputs!$B$1=4,EconomicInputs!Q149,"error"))))</f>
        <v>76647276502.84198</v>
      </c>
      <c r="R21" s="27">
        <f>IF(PolicyInputs!$B$1=1,EconomicInputs!R53,IF(PolicyInputs!$B$1=2,EconomicInputs!R85,IF(PolicyInputs!$B$1=3,EconomicInputs!R117,IF(PolicyInputs!$B$1=4,EconomicInputs!R149,"error"))))</f>
        <v>88987326.853359729</v>
      </c>
      <c r="S21" s="27">
        <f>IF(PolicyInputs!$B$1=1,EconomicInputs!S53,IF(PolicyInputs!$B$1=2,EconomicInputs!S85,IF(PolicyInputs!$B$1=3,EconomicInputs!S117,IF(PolicyInputs!$B$1=4,EconomicInputs!S149,"error"))))</f>
        <v>166608274.79879001</v>
      </c>
      <c r="T21" s="27">
        <f>IF(PolicyInputs!$B$1=1,EconomicInputs!T53,IF(PolicyInputs!$B$1=2,EconomicInputs!T85,IF(PolicyInputs!$B$1=3,EconomicInputs!T117,IF(PolicyInputs!$B$1=4,EconomicInputs!T149,"error"))))</f>
        <v>3142806196.8022699</v>
      </c>
      <c r="U21" s="27">
        <f>IF(PolicyInputs!$B$1=1,EconomicInputs!U53,IF(PolicyInputs!$B$1=2,EconomicInputs!U85,IF(PolicyInputs!$B$1=3,EconomicInputs!U117,IF(PolicyInputs!$B$1=4,EconomicInputs!U149,"error"))))</f>
        <v>8096524533.8133059</v>
      </c>
      <c r="V21" s="27">
        <f>IF(PolicyInputs!$B$1=1,EconomicInputs!V53,IF(PolicyInputs!$B$1=2,EconomicInputs!V85,IF(PolicyInputs!$B$1=3,EconomicInputs!V117,IF(PolicyInputs!$B$1=4,EconomicInputs!V149,"error"))))</f>
        <v>470705647.58164001</v>
      </c>
      <c r="W21" s="27">
        <f>IF(PolicyInputs!$B$1=1,EconomicInputs!W53,IF(PolicyInputs!$B$1=2,EconomicInputs!W85,IF(PolicyInputs!$B$1=3,EconomicInputs!W117,IF(PolicyInputs!$B$1=4,EconomicInputs!W149,"error"))))</f>
        <v>6331396.3587628165</v>
      </c>
      <c r="X21" s="27">
        <f>IF(PolicyInputs!$B$1=1,EconomicInputs!X53,IF(PolicyInputs!$B$1=2,EconomicInputs!X85,IF(PolicyInputs!$B$1=3,EconomicInputs!X117,IF(PolicyInputs!$B$1=4,EconomicInputs!X149,"error"))))</f>
        <v>147324390000</v>
      </c>
      <c r="Y21" s="61">
        <f>IF(PolicyInputs!$B$1=1,EconomicInputs!Y53,IF(PolicyInputs!$B$1=2,EconomicInputs!Y85,IF(PolicyInputs!$B$1=3,EconomicInputs!Y117,IF(PolicyInputs!$B$1=4,EconomicInputs!Y149,"error"))))</f>
        <v>32629382473.947456</v>
      </c>
      <c r="Z21" s="61">
        <f>IF(PolicyInputs!$B$1=1,EconomicInputs!Z53,IF(PolicyInputs!$B$1=2,EconomicInputs!Z85,IF(PolicyInputs!$B$1=3,EconomicInputs!Z117,IF(PolicyInputs!$B$1=4,EconomicInputs!Z149,"error"))))</f>
        <v>84353516.480910987</v>
      </c>
      <c r="AA21" s="61">
        <f>IF(PolicyInputs!$B$1=1,EconomicInputs!AA53,IF(PolicyInputs!$B$1=2,EconomicInputs!AA85,IF(PolicyInputs!$B$1=3,EconomicInputs!AA117,IF(PolicyInputs!$B$1=4,EconomicInputs!AA149,"error"))))</f>
        <v>714933627.62239361</v>
      </c>
      <c r="AD21" s="59">
        <f t="shared" si="0"/>
        <v>88624489946.369385</v>
      </c>
      <c r="AE21" s="92"/>
    </row>
    <row r="22" spans="1:31">
      <c r="A22" s="3">
        <f t="shared" si="1"/>
        <v>2028</v>
      </c>
      <c r="B22" s="27">
        <f>IF(PolicyInputs!$B$1=1,EconomicInputs!B54,IF(PolicyInputs!$B$1=2,EconomicInputs!B86,IF(PolicyInputs!$B$1=3,EconomicInputs!B118,IF(PolicyInputs!$B$1=4,EconomicInputs!B150,"error"))))</f>
        <v>7224255.2748736907</v>
      </c>
      <c r="C22" s="27">
        <f>IF(PolicyInputs!$B$1=1,EconomicInputs!C54,IF(PolicyInputs!$B$1=2,EconomicInputs!C86,IF(PolicyInputs!$B$1=3,EconomicInputs!C118,IF(PolicyInputs!$B$1=4,EconomicInputs!C150,"error"))))</f>
        <v>4999184.6502125934</v>
      </c>
      <c r="D22" s="27">
        <f>IF(PolicyInputs!$B$1=1,EconomicInputs!D54,IF(PolicyInputs!$B$1=2,EconomicInputs!D86,IF(PolicyInputs!$B$1=3,EconomicInputs!D118,IF(PolicyInputs!$B$1=4,EconomicInputs!D150,"error"))))</f>
        <v>231346.88327255796</v>
      </c>
      <c r="E22" s="27">
        <f>IF(PolicyInputs!$B$1=1,EconomicInputs!E54,IF(PolicyInputs!$B$1=2,EconomicInputs!E86,IF(PolicyInputs!$B$1=3,EconomicInputs!E118,IF(PolicyInputs!$B$1=4,EconomicInputs!E150,"error"))))</f>
        <v>5878916.7235516282</v>
      </c>
      <c r="F22" s="27">
        <f>IF(PolicyInputs!$B$1=1,EconomicInputs!F54,IF(PolicyInputs!$B$1=2,EconomicInputs!F86,IF(PolicyInputs!$B$1=3,EconomicInputs!F118,IF(PolicyInputs!$B$1=4,EconomicInputs!F150,"error"))))</f>
        <v>7606.0989592382684</v>
      </c>
      <c r="G22" s="27">
        <f>IF(PolicyInputs!$B$1=1,EconomicInputs!G54,IF(PolicyInputs!$B$1=2,EconomicInputs!G86,IF(PolicyInputs!$B$1=3,EconomicInputs!G118,IF(PolicyInputs!$B$1=4,EconomicInputs!G150,"error"))))</f>
        <v>10074.552113970938</v>
      </c>
      <c r="H22" s="27">
        <f>IF(PolicyInputs!$B$1=1,EconomicInputs!H54,IF(PolicyInputs!$B$1=2,EconomicInputs!H86,IF(PolicyInputs!$B$1=3,EconomicInputs!H118,IF(PolicyInputs!$B$1=4,EconomicInputs!H150,"error"))))</f>
        <v>190817.16136648427</v>
      </c>
      <c r="I22" s="27">
        <f>IF(PolicyInputs!$B$1=1,EconomicInputs!I54,IF(PolicyInputs!$B$1=2,EconomicInputs!I86,IF(PolicyInputs!$B$1=3,EconomicInputs!I118,IF(PolicyInputs!$B$1=4,EconomicInputs!I150,"error"))))</f>
        <v>83391.051978867385</v>
      </c>
      <c r="J22" s="27">
        <f>IF(PolicyInputs!$B$1=1,EconomicInputs!J54,IF(PolicyInputs!$B$1=2,EconomicInputs!J86,IF(PolicyInputs!$B$1=3,EconomicInputs!J118,IF(PolicyInputs!$B$1=4,EconomicInputs!J150,"error"))))</f>
        <v>98989983.641414985</v>
      </c>
      <c r="K22" s="27">
        <f>IF(PolicyInputs!$B$1=1,EconomicInputs!K54,IF(PolicyInputs!$B$1=2,EconomicInputs!K86,IF(PolicyInputs!$B$1=3,EconomicInputs!K118,IF(PolicyInputs!$B$1=4,EconomicInputs!K150,"error"))))</f>
        <v>2341219538.4777017</v>
      </c>
      <c r="L22" s="27">
        <f>IF(PolicyInputs!$B$1=1,EconomicInputs!L54,IF(PolicyInputs!$B$1=2,EconomicInputs!L86,IF(PolicyInputs!$B$1=3,EconomicInputs!L118,IF(PolicyInputs!$B$1=4,EconomicInputs!L150,"error"))))</f>
        <v>1374260827.7226117</v>
      </c>
      <c r="M22" s="27">
        <f>IF(PolicyInputs!$B$1=1,EconomicInputs!M54,IF(PolicyInputs!$B$1=2,EconomicInputs!M86,IF(PolicyInputs!$B$1=3,EconomicInputs!M118,IF(PolicyInputs!$B$1=4,EconomicInputs!M150,"error"))))</f>
        <v>1099408662.1780894</v>
      </c>
      <c r="N22" s="51">
        <f>IF(PolicyInputs!$B$1=1,EconomicInputs!N54,IF(PolicyInputs!$B$1=2,EconomicInputs!N86,IF(PolicyInputs!$B$1=3,EconomicInputs!N118,IF(PolicyInputs!$B$1=4,EconomicInputs!N150,"error"))))</f>
        <v>3.124872012</v>
      </c>
      <c r="O22" s="51">
        <f>IF(PolicyInputs!$B$1=1,EconomicInputs!O54,IF(PolicyInputs!$B$1=2,EconomicInputs!O86,IF(PolicyInputs!$B$1=3,EconomicInputs!O118,IF(PolicyInputs!$B$1=4,EconomicInputs!O150,"error"))))</f>
        <v>3.8342720009999995</v>
      </c>
      <c r="P22" s="27">
        <f>IF(PolicyInputs!$B$1=1,EconomicInputs!P54,IF(PolicyInputs!$B$1=2,EconomicInputs!P86,IF(PolicyInputs!$B$1=3,EconomicInputs!P118,IF(PolicyInputs!$B$1=4,EconomicInputs!P150,"error"))))</f>
        <v>487109982.37225181</v>
      </c>
      <c r="Q22" s="27">
        <f>IF(PolicyInputs!$B$1=1,EconomicInputs!Q54,IF(PolicyInputs!$B$1=2,EconomicInputs!Q86,IF(PolicyInputs!$B$1=3,EconomicInputs!Q118,IF(PolicyInputs!$B$1=4,EconomicInputs!Q150,"error"))))</f>
        <v>77403482415.146515</v>
      </c>
      <c r="R22" s="27">
        <f>IF(PolicyInputs!$B$1=1,EconomicInputs!R54,IF(PolicyInputs!$B$1=2,EconomicInputs!R86,IF(PolicyInputs!$B$1=3,EconomicInputs!R118,IF(PolicyInputs!$B$1=4,EconomicInputs!R150,"error"))))</f>
        <v>100144052.84577212</v>
      </c>
      <c r="S22" s="27">
        <f>IF(PolicyInputs!$B$1=1,EconomicInputs!S54,IF(PolicyInputs!$B$1=2,EconomicInputs!S86,IF(PolicyInputs!$B$1=3,EconomicInputs!S118,IF(PolicyInputs!$B$1=4,EconomicInputs!S150,"error"))))</f>
        <v>168274357.5467779</v>
      </c>
      <c r="T22" s="27">
        <f>IF(PolicyInputs!$B$1=1,EconomicInputs!T54,IF(PolicyInputs!$B$1=2,EconomicInputs!T86,IF(PolicyInputs!$B$1=3,EconomicInputs!T118,IF(PolicyInputs!$B$1=4,EconomicInputs!T150,"error"))))</f>
        <v>3163548717.7011652</v>
      </c>
      <c r="U22" s="27">
        <f>IF(PolicyInputs!$B$1=1,EconomicInputs!U54,IF(PolicyInputs!$B$1=2,EconomicInputs!U86,IF(PolicyInputs!$B$1=3,EconomicInputs!U118,IF(PolicyInputs!$B$1=4,EconomicInputs!U150,"error"))))</f>
        <v>8256026067.1294289</v>
      </c>
      <c r="V22" s="27">
        <f>IF(PolicyInputs!$B$1=1,EconomicInputs!V54,IF(PolicyInputs!$B$1=2,EconomicInputs!V86,IF(PolicyInputs!$B$1=3,EconomicInputs!V118,IF(PolicyInputs!$B$1=4,EconomicInputs!V150,"error"))))</f>
        <v>485247541.30903399</v>
      </c>
      <c r="W22" s="27">
        <f>IF(PolicyInputs!$B$1=1,EconomicInputs!W54,IF(PolicyInputs!$B$1=2,EconomicInputs!W86,IF(PolicyInputs!$B$1=3,EconomicInputs!W118,IF(PolicyInputs!$B$1=4,EconomicInputs!W150,"error"))))</f>
        <v>6406749.7643918572</v>
      </c>
      <c r="X22" s="27">
        <f>IF(PolicyInputs!$B$1=1,EconomicInputs!X54,IF(PolicyInputs!$B$1=2,EconomicInputs!X86,IF(PolicyInputs!$B$1=3,EconomicInputs!X118,IF(PolicyInputs!$B$1=4,EconomicInputs!X150,"error"))))</f>
        <v>152930278000</v>
      </c>
      <c r="Y22" s="61">
        <f>IF(PolicyInputs!$B$1=1,EconomicInputs!Y54,IF(PolicyInputs!$B$1=2,EconomicInputs!Y86,IF(PolicyInputs!$B$1=3,EconomicInputs!Y118,IF(PolicyInputs!$B$1=4,EconomicInputs!Y150,"error"))))</f>
        <v>33329101710.779106</v>
      </c>
      <c r="Z22" s="61">
        <f>IF(PolicyInputs!$B$1=1,EconomicInputs!Z54,IF(PolicyInputs!$B$1=2,EconomicInputs!Z86,IF(PolicyInputs!$B$1=3,EconomicInputs!Z118,IF(PolicyInputs!$B$1=4,EconomicInputs!Z150,"error"))))</f>
        <v>85348614.177206367</v>
      </c>
      <c r="AA22" s="61">
        <f>IF(PolicyInputs!$B$1=1,EconomicInputs!AA54,IF(PolicyInputs!$B$1=2,EconomicInputs!AA86,IF(PolicyInputs!$B$1=3,EconomicInputs!AA118,IF(PolicyInputs!$B$1=4,EconomicInputs!AA150,"error"))))</f>
        <v>719044542.10613525</v>
      </c>
      <c r="AD22" s="59">
        <f t="shared" si="0"/>
        <v>89578585592.741928</v>
      </c>
      <c r="AE22" s="92"/>
    </row>
    <row r="23" spans="1:31">
      <c r="A23" s="3">
        <f t="shared" si="1"/>
        <v>2029</v>
      </c>
      <c r="B23" s="27">
        <f>IF(PolicyInputs!$B$1=1,EconomicInputs!B55,IF(PolicyInputs!$B$1=2,EconomicInputs!B87,IF(PolicyInputs!$B$1=3,EconomicInputs!B119,IF(PolicyInputs!$B$1=4,EconomicInputs!B151,"error"))))</f>
        <v>7265795.2087868443</v>
      </c>
      <c r="C23" s="27">
        <f>IF(PolicyInputs!$B$1=1,EconomicInputs!C55,IF(PolicyInputs!$B$1=2,EconomicInputs!C87,IF(PolicyInputs!$B$1=3,EconomicInputs!C119,IF(PolicyInputs!$B$1=4,EconomicInputs!C151,"error"))))</f>
        <v>5027930.2844804963</v>
      </c>
      <c r="D23" s="27">
        <f>IF(PolicyInputs!$B$1=1,EconomicInputs!D55,IF(PolicyInputs!$B$1=2,EconomicInputs!D87,IF(PolicyInputs!$B$1=3,EconomicInputs!D119,IF(PolicyInputs!$B$1=4,EconomicInputs!D151,"error"))))</f>
        <v>233660.35210528353</v>
      </c>
      <c r="E23" s="27">
        <f>IF(PolicyInputs!$B$1=1,EconomicInputs!E55,IF(PolicyInputs!$B$1=2,EconomicInputs!E87,IF(PolicyInputs!$B$1=3,EconomicInputs!E119,IF(PolicyInputs!$B$1=4,EconomicInputs!E151,"error"))))</f>
        <v>5936853.3664186401</v>
      </c>
      <c r="F23" s="27">
        <f>IF(PolicyInputs!$B$1=1,EconomicInputs!F55,IF(PolicyInputs!$B$1=2,EconomicInputs!F87,IF(PolicyInputs!$B$1=3,EconomicInputs!F119,IF(PolicyInputs!$B$1=4,EconomicInputs!F151,"error"))))</f>
        <v>8534.6843173345551</v>
      </c>
      <c r="G23" s="27">
        <f>IF(PolicyInputs!$B$1=1,EconomicInputs!G55,IF(PolicyInputs!$B$1=2,EconomicInputs!G87,IF(PolicyInputs!$B$1=3,EconomicInputs!G119,IF(PolicyInputs!$B$1=4,EconomicInputs!G151,"error"))))</f>
        <v>10175.297635110648</v>
      </c>
      <c r="H23" s="27">
        <f>IF(PolicyInputs!$B$1=1,EconomicInputs!H55,IF(PolicyInputs!$B$1=2,EconomicInputs!H87,IF(PolicyInputs!$B$1=3,EconomicInputs!H119,IF(PolicyInputs!$B$1=4,EconomicInputs!H151,"error"))))</f>
        <v>192076.55463150307</v>
      </c>
      <c r="I23" s="27">
        <f>IF(PolicyInputs!$B$1=1,EconomicInputs!I55,IF(PolicyInputs!$B$1=2,EconomicInputs!I87,IF(PolicyInputs!$B$1=3,EconomicInputs!I119,IF(PolicyInputs!$B$1=4,EconomicInputs!I151,"error"))))</f>
        <v>85033.85570285107</v>
      </c>
      <c r="J23" s="27">
        <f>IF(PolicyInputs!$B$1=1,EconomicInputs!J55,IF(PolicyInputs!$B$1=2,EconomicInputs!J87,IF(PolicyInputs!$B$1=3,EconomicInputs!J119,IF(PolicyInputs!$B$1=4,EconomicInputs!J151,"error"))))</f>
        <v>99151916.778700233</v>
      </c>
      <c r="K23" s="27">
        <f>IF(PolicyInputs!$B$1=1,EconomicInputs!K55,IF(PolicyInputs!$B$1=2,EconomicInputs!K87,IF(PolicyInputs!$B$1=3,EconomicInputs!K119,IF(PolicyInputs!$B$1=4,EconomicInputs!K151,"error"))))</f>
        <v>2290390692.0555024</v>
      </c>
      <c r="L23" s="27">
        <f>IF(PolicyInputs!$B$1=1,EconomicInputs!L55,IF(PolicyInputs!$B$1=2,EconomicInputs!L87,IF(PolicyInputs!$B$1=3,EconomicInputs!L119,IF(PolicyInputs!$B$1=4,EconomicInputs!L151,"error"))))</f>
        <v>1393842399.2324212</v>
      </c>
      <c r="M23" s="27">
        <f>IF(PolicyInputs!$B$1=1,EconomicInputs!M55,IF(PolicyInputs!$B$1=2,EconomicInputs!M87,IF(PolicyInputs!$B$1=3,EconomicInputs!M119,IF(PolicyInputs!$B$1=4,EconomicInputs!M151,"error"))))</f>
        <v>1115073919.385937</v>
      </c>
      <c r="N23" s="51">
        <f>IF(PolicyInputs!$B$1=1,EconomicInputs!N55,IF(PolicyInputs!$B$1=2,EconomicInputs!N87,IF(PolicyInputs!$B$1=3,EconomicInputs!N119,IF(PolicyInputs!$B$1=4,EconomicInputs!N151,"error"))))</f>
        <v>3.15141486</v>
      </c>
      <c r="O23" s="51">
        <f>IF(PolicyInputs!$B$1=1,EconomicInputs!O55,IF(PolicyInputs!$B$1=2,EconomicInputs!O87,IF(PolicyInputs!$B$1=3,EconomicInputs!O119,IF(PolicyInputs!$B$1=4,EconomicInputs!O151,"error"))))</f>
        <v>3.8776317089999996</v>
      </c>
      <c r="P23" s="27">
        <f>IF(PolicyInputs!$B$1=1,EconomicInputs!P55,IF(PolicyInputs!$B$1=2,EconomicInputs!P87,IF(PolicyInputs!$B$1=3,EconomicInputs!P119,IF(PolicyInputs!$B$1=4,EconomicInputs!P151,"error"))))</f>
        <v>491981082.19597435</v>
      </c>
      <c r="Q23" s="27">
        <f>IF(PolicyInputs!$B$1=1,EconomicInputs!Q55,IF(PolicyInputs!$B$1=2,EconomicInputs!Q87,IF(PolicyInputs!$B$1=3,EconomicInputs!Q119,IF(PolicyInputs!$B$1=4,EconomicInputs!Q151,"error"))))</f>
        <v>78166292662.038422</v>
      </c>
      <c r="R23" s="27">
        <f>IF(PolicyInputs!$B$1=1,EconomicInputs!R55,IF(PolicyInputs!$B$1=2,EconomicInputs!R87,IF(PolicyInputs!$B$1=3,EconomicInputs!R119,IF(PolicyInputs!$B$1=4,EconomicInputs!R151,"error"))))</f>
        <v>112370070.63378054</v>
      </c>
      <c r="S23" s="27">
        <f>IF(PolicyInputs!$B$1=1,EconomicInputs!S55,IF(PolicyInputs!$B$1=2,EconomicInputs!S87,IF(PolicyInputs!$B$1=3,EconomicInputs!S119,IF(PolicyInputs!$B$1=4,EconomicInputs!S151,"error"))))</f>
        <v>169957101.1222457</v>
      </c>
      <c r="T23" s="27">
        <f>IF(PolicyInputs!$B$1=1,EconomicInputs!T55,IF(PolicyInputs!$B$1=2,EconomicInputs!T87,IF(PolicyInputs!$B$1=3,EconomicInputs!T119,IF(PolicyInputs!$B$1=4,EconomicInputs!T151,"error"))))</f>
        <v>3184428139.2379923</v>
      </c>
      <c r="U23" s="27">
        <f>IF(PolicyInputs!$B$1=1,EconomicInputs!U55,IF(PolicyInputs!$B$1=2,EconomicInputs!U87,IF(PolicyInputs!$B$1=3,EconomicInputs!U119,IF(PolicyInputs!$B$1=4,EconomicInputs!U151,"error"))))</f>
        <v>8418669780.6518784</v>
      </c>
      <c r="V23" s="27">
        <f>IF(PolicyInputs!$B$1=1,EconomicInputs!V55,IF(PolicyInputs!$B$1=2,EconomicInputs!V87,IF(PolicyInputs!$B$1=3,EconomicInputs!V119,IF(PolicyInputs!$B$1=4,EconomicInputs!V151,"error"))))</f>
        <v>500238689.62741345</v>
      </c>
      <c r="W23" s="27">
        <f>IF(PolicyInputs!$B$1=1,EconomicInputs!W55,IF(PolicyInputs!$B$1=2,EconomicInputs!W87,IF(PolicyInputs!$B$1=3,EconomicInputs!W119,IF(PolicyInputs!$B$1=4,EconomicInputs!W151,"error"))))</f>
        <v>6483115.2828920158</v>
      </c>
      <c r="X23" s="27">
        <f>IF(PolicyInputs!$B$1=1,EconomicInputs!X55,IF(PolicyInputs!$B$1=2,EconomicInputs!X87,IF(PolicyInputs!$B$1=3,EconomicInputs!X119,IF(PolicyInputs!$B$1=4,EconomicInputs!X151,"error"))))</f>
        <v>158777951000</v>
      </c>
      <c r="Y23" s="61">
        <f>IF(PolicyInputs!$B$1=1,EconomicInputs!Y55,IF(PolicyInputs!$B$1=2,EconomicInputs!Y87,IF(PolicyInputs!$B$1=3,EconomicInputs!Y119,IF(PolicyInputs!$B$1=4,EconomicInputs!Y151,"error"))))</f>
        <v>33861232096.955307</v>
      </c>
      <c r="Z23" s="61">
        <f>IF(PolicyInputs!$B$1=1,EconomicInputs!Z55,IF(PolicyInputs!$B$1=2,EconomicInputs!Z87,IF(PolicyInputs!$B$1=3,EconomicInputs!Z119,IF(PolicyInputs!$B$1=4,EconomicInputs!Z151,"error"))))</f>
        <v>86290343.438675866</v>
      </c>
      <c r="AA23" s="61">
        <f>IF(PolicyInputs!$B$1=1,EconomicInputs!AA55,IF(PolicyInputs!$B$1=2,EconomicInputs!AA87,IF(PolicyInputs!$B$1=3,EconomicInputs!AA119,IF(PolicyInputs!$B$1=4,EconomicInputs!AA151,"error"))))</f>
        <v>723179094.61337972</v>
      </c>
      <c r="AD23" s="59">
        <f t="shared" si="0"/>
        <v>90543698835.88028</v>
      </c>
      <c r="AE23" s="92"/>
    </row>
    <row r="24" spans="1:31">
      <c r="A24" s="3">
        <f t="shared" si="1"/>
        <v>2030</v>
      </c>
      <c r="B24" s="27">
        <f>IF(PolicyInputs!$B$1=1,EconomicInputs!B56,IF(PolicyInputs!$B$1=2,EconomicInputs!B88,IF(PolicyInputs!$B$1=3,EconomicInputs!B120,IF(PolicyInputs!$B$1=4,EconomicInputs!B152,"error"))))</f>
        <v>7307574</v>
      </c>
      <c r="C24" s="27">
        <f>IF(PolicyInputs!$B$1=1,EconomicInputs!C56,IF(PolicyInputs!$B$1=2,EconomicInputs!C88,IF(PolicyInputs!$B$1=3,EconomicInputs!C120,IF(PolicyInputs!$B$1=4,EconomicInputs!C152,"error"))))</f>
        <v>5056841.2079999996</v>
      </c>
      <c r="D24" s="27">
        <f>IF(PolicyInputs!$B$1=1,EconomicInputs!D56,IF(PolicyInputs!$B$1=2,EconomicInputs!D88,IF(PolicyInputs!$B$1=3,EconomicInputs!D120,IF(PolicyInputs!$B$1=4,EconomicInputs!D152,"error"))))</f>
        <v>235996.95562633636</v>
      </c>
      <c r="E24" s="27">
        <f>IF(PolicyInputs!$B$1=1,EconomicInputs!E56,IF(PolicyInputs!$B$1=2,EconomicInputs!E88,IF(PolicyInputs!$B$1=3,EconomicInputs!E120,IF(PolicyInputs!$B$1=4,EconomicInputs!E152,"error"))))</f>
        <v>5995319.9491516333</v>
      </c>
      <c r="F24" s="27">
        <f>IF(PolicyInputs!$B$1=1,EconomicInputs!F56,IF(PolicyInputs!$B$1=2,EconomicInputs!F88,IF(PolicyInputs!$B$1=3,EconomicInputs!F120,IF(PolicyInputs!$B$1=4,EconomicInputs!F152,"error"))))</f>
        <v>9521.9820917015895</v>
      </c>
      <c r="G24" s="27">
        <f>IF(PolicyInputs!$B$1=1,EconomicInputs!G56,IF(PolicyInputs!$B$1=2,EconomicInputs!G88,IF(PolicyInputs!$B$1=3,EconomicInputs!G120,IF(PolicyInputs!$B$1=4,EconomicInputs!G152,"error"))))</f>
        <v>10277.050611461755</v>
      </c>
      <c r="H24" s="27">
        <f>IF(PolicyInputs!$B$1=1,EconomicInputs!H56,IF(PolicyInputs!$B$1=2,EconomicInputs!H88,IF(PolicyInputs!$B$1=3,EconomicInputs!H120,IF(PolicyInputs!$B$1=4,EconomicInputs!H152,"error"))))</f>
        <v>193344.25989207096</v>
      </c>
      <c r="I24" s="27">
        <f>IF(PolicyInputs!$B$1=1,EconomicInputs!I56,IF(PolicyInputs!$B$1=2,EconomicInputs!I88,IF(PolicyInputs!$B$1=3,EconomicInputs!I120,IF(PolicyInputs!$B$1=4,EconomicInputs!I152,"error"))))</f>
        <v>86709.022660197239</v>
      </c>
      <c r="J24" s="27">
        <f>IF(PolicyInputs!$B$1=1,EconomicInputs!J56,IF(PolicyInputs!$B$1=2,EconomicInputs!J88,IF(PolicyInputs!$B$1=3,EconomicInputs!J120,IF(PolicyInputs!$B$1=4,EconomicInputs!J152,"error"))))</f>
        <v>99305556.780168712</v>
      </c>
      <c r="K24" s="27">
        <f>IF(PolicyInputs!$B$1=1,EconomicInputs!K56,IF(PolicyInputs!$B$1=2,EconomicInputs!K88,IF(PolicyInputs!$B$1=3,EconomicInputs!K120,IF(PolicyInputs!$B$1=4,EconomicInputs!K152,"error"))))</f>
        <v>2241309899.9499068</v>
      </c>
      <c r="L24" s="27">
        <f>IF(PolicyInputs!$B$1=1,EconomicInputs!L56,IF(PolicyInputs!$B$1=2,EconomicInputs!L88,IF(PolicyInputs!$B$1=3,EconomicInputs!L120,IF(PolicyInputs!$B$1=4,EconomicInputs!L152,"error"))))</f>
        <v>1414224036.2113824</v>
      </c>
      <c r="M24" s="27">
        <f>IF(PolicyInputs!$B$1=1,EconomicInputs!M56,IF(PolicyInputs!$B$1=2,EconomicInputs!M88,IF(PolicyInputs!$B$1=3,EconomicInputs!M120,IF(PolicyInputs!$B$1=4,EconomicInputs!M152,"error"))))</f>
        <v>1131379228.969106</v>
      </c>
      <c r="N24" s="51">
        <f>IF(PolicyInputs!$B$1=1,EconomicInputs!N56,IF(PolicyInputs!$B$1=2,EconomicInputs!N88,IF(PolicyInputs!$B$1=3,EconomicInputs!N120,IF(PolicyInputs!$B$1=4,EconomicInputs!N152,"error"))))</f>
        <v>3.1807456920000003</v>
      </c>
      <c r="O24" s="51">
        <f>IF(PolicyInputs!$B$1=1,EconomicInputs!O56,IF(PolicyInputs!$B$1=2,EconomicInputs!O88,IF(PolicyInputs!$B$1=3,EconomicInputs!O120,IF(PolicyInputs!$B$1=4,EconomicInputs!O152,"error"))))</f>
        <v>3.9170524155000002</v>
      </c>
      <c r="P24" s="27">
        <f>IF(PolicyInputs!$B$1=1,EconomicInputs!P56,IF(PolicyInputs!$B$1=2,EconomicInputs!P88,IF(PolicyInputs!$B$1=3,EconomicInputs!P120,IF(PolicyInputs!$B$1=4,EconomicInputs!P152,"error"))))</f>
        <v>496900893.01793408</v>
      </c>
      <c r="Q24" s="27">
        <f>IF(PolicyInputs!$B$1=1,EconomicInputs!Q56,IF(PolicyInputs!$B$1=2,EconomicInputs!Q88,IF(PolicyInputs!$B$1=3,EconomicInputs!Q120,IF(PolicyInputs!$B$1=4,EconomicInputs!Q152,"error"))))</f>
        <v>78936080247.277924</v>
      </c>
      <c r="R24" s="27">
        <f>IF(PolicyInputs!$B$1=1,EconomicInputs!R56,IF(PolicyInputs!$B$1=2,EconomicInputs!R88,IF(PolicyInputs!$B$1=3,EconomicInputs!R120,IF(PolicyInputs!$B$1=4,EconomicInputs!R152,"error"))))</f>
        <v>125369112.72102611</v>
      </c>
      <c r="S24" s="27">
        <f>IF(PolicyInputs!$B$1=1,EconomicInputs!S56,IF(PolicyInputs!$B$1=2,EconomicInputs!S88,IF(PolicyInputs!$B$1=3,EconomicInputs!S120,IF(PolicyInputs!$B$1=4,EconomicInputs!S152,"error"))))</f>
        <v>171656672.13346815</v>
      </c>
      <c r="T24" s="27">
        <f>IF(PolicyInputs!$B$1=1,EconomicInputs!T56,IF(PolicyInputs!$B$1=2,EconomicInputs!T88,IF(PolicyInputs!$B$1=3,EconomicInputs!T120,IF(PolicyInputs!$B$1=4,EconomicInputs!T152,"error"))))</f>
        <v>3205445364.9569631</v>
      </c>
      <c r="U24" s="27">
        <f>IF(PolicyInputs!$B$1=1,EconomicInputs!U56,IF(PolicyInputs!$B$1=2,EconomicInputs!U88,IF(PolicyInputs!$B$1=3,EconomicInputs!U120,IF(PolicyInputs!$B$1=4,EconomicInputs!U152,"error"))))</f>
        <v>8584517575.3307209</v>
      </c>
      <c r="V24" s="27">
        <f>IF(PolicyInputs!$B$1=1,EconomicInputs!V56,IF(PolicyInputs!$B$1=2,EconomicInputs!V88,IF(PolicyInputs!$B$1=3,EconomicInputs!V120,IF(PolicyInputs!$B$1=4,EconomicInputs!V152,"error"))))</f>
        <v>515692971.7255072</v>
      </c>
      <c r="W24" s="27">
        <f>IF(PolicyInputs!$B$1=1,EconomicInputs!W56,IF(PolicyInputs!$B$1=2,EconomicInputs!W88,IF(PolicyInputs!$B$1=3,EconomicInputs!W120,IF(PolicyInputs!$B$1=4,EconomicInputs!W152,"error"))))</f>
        <v>6560508.2706465786</v>
      </c>
      <c r="X24" s="27">
        <f>IF(PolicyInputs!$B$1=1,EconomicInputs!X56,IF(PolicyInputs!$B$1=2,EconomicInputs!X88,IF(PolicyInputs!$B$1=3,EconomicInputs!X120,IF(PolicyInputs!$B$1=4,EconomicInputs!X152,"error"))))</f>
        <v>164961908000</v>
      </c>
      <c r="Y24" s="61">
        <f>IF(PolicyInputs!$B$1=1,EconomicInputs!Y56,IF(PolicyInputs!$B$1=2,EconomicInputs!Y88,IF(PolicyInputs!$B$1=3,EconomicInputs!Y120,IF(PolicyInputs!$B$1=4,EconomicInputs!Y152,"error"))))</f>
        <v>34420679840.114014</v>
      </c>
      <c r="Z24" s="61">
        <f>IF(PolicyInputs!$B$1=1,EconomicInputs!Z56,IF(PolicyInputs!$B$1=2,EconomicInputs!Z88,IF(PolicyInputs!$B$1=3,EconomicInputs!Z120,IF(PolicyInputs!$B$1=4,EconomicInputs!Z152,"error"))))</f>
        <v>87184121.014912128</v>
      </c>
      <c r="AA24" s="61">
        <f>IF(PolicyInputs!$B$1=1,EconomicInputs!AA56,IF(PolicyInputs!$B$1=2,EconomicInputs!AA88,IF(PolicyInputs!$B$1=3,EconomicInputs!AA120,IF(PolicyInputs!$B$1=4,EconomicInputs!AA152,"error"))))</f>
        <v>727337421.06428671</v>
      </c>
      <c r="AD24" s="59">
        <f t="shared" si="0"/>
        <v>91519969865.438034</v>
      </c>
      <c r="AE24" s="92"/>
    </row>
    <row r="25" spans="1:31">
      <c r="A25" s="3">
        <f t="shared" si="1"/>
        <v>2031</v>
      </c>
      <c r="B25" s="27">
        <f>IF(PolicyInputs!$B$1=1,EconomicInputs!B57,IF(PolicyInputs!$B$1=2,EconomicInputs!B89,IF(PolicyInputs!$B$1=3,EconomicInputs!B121,IF(PolicyInputs!$B$1=4,EconomicInputs!B153,"error"))))</f>
        <v>7348848.702774033</v>
      </c>
      <c r="C25" s="27">
        <f>IF(PolicyInputs!$B$1=1,EconomicInputs!C57,IF(PolicyInputs!$B$1=2,EconomicInputs!C89,IF(PolicyInputs!$B$1=3,EconomicInputs!C121,IF(PolicyInputs!$B$1=4,EconomicInputs!C153,"error"))))</f>
        <v>5085403.30231963</v>
      </c>
      <c r="D25" s="27">
        <f>IF(PolicyInputs!$B$1=1,EconomicInputs!D57,IF(PolicyInputs!$B$1=2,EconomicInputs!D89,IF(PolicyInputs!$B$1=3,EconomicInputs!D121,IF(PolicyInputs!$B$1=4,EconomicInputs!D153,"error"))))</f>
        <v>238356.92518259972</v>
      </c>
      <c r="E25" s="27">
        <f>IF(PolicyInputs!$B$1=1,EconomicInputs!E57,IF(PolicyInputs!$B$1=2,EconomicInputs!E89,IF(PolicyInputs!$B$1=3,EconomicInputs!E121,IF(PolicyInputs!$B$1=4,EconomicInputs!E153,"error"))))</f>
        <v>6054300.9967961451</v>
      </c>
      <c r="F25" s="27">
        <f>IF(PolicyInputs!$B$1=1,EconomicInputs!F57,IF(PolicyInputs!$B$1=2,EconomicInputs!F89,IF(PolicyInputs!$B$1=3,EconomicInputs!F121,IF(PolicyInputs!$B$1=4,EconomicInputs!F153,"error"))))</f>
        <v>10589.353759623133</v>
      </c>
      <c r="G25" s="27">
        <f>IF(PolicyInputs!$B$1=1,EconomicInputs!G57,IF(PolicyInputs!$B$1=2,EconomicInputs!G89,IF(PolicyInputs!$B$1=3,EconomicInputs!G121,IF(PolicyInputs!$B$1=4,EconomicInputs!G153,"error"))))</f>
        <v>10379.821117576372</v>
      </c>
      <c r="H25" s="27">
        <f>IF(PolicyInputs!$B$1=1,EconomicInputs!H57,IF(PolicyInputs!$B$1=2,EconomicInputs!H89,IF(PolicyInputs!$B$1=3,EconomicInputs!H121,IF(PolicyInputs!$B$1=4,EconomicInputs!H153,"error"))))</f>
        <v>194620.33200735864</v>
      </c>
      <c r="I25" s="27">
        <f>IF(PolicyInputs!$B$1=1,EconomicInputs!I57,IF(PolicyInputs!$B$1=2,EconomicInputs!I89,IF(PolicyInputs!$B$1=3,EconomicInputs!I121,IF(PolicyInputs!$B$1=4,EconomicInputs!I153,"error"))))</f>
        <v>88417.190406603127</v>
      </c>
      <c r="J25" s="27">
        <f>IF(PolicyInputs!$B$1=1,EconomicInputs!J57,IF(PolicyInputs!$B$1=2,EconomicInputs!J89,IF(PolicyInputs!$B$1=3,EconomicInputs!J121,IF(PolicyInputs!$B$1=4,EconomicInputs!J153,"error"))))</f>
        <v>99451711.700892329</v>
      </c>
      <c r="K25" s="27">
        <f>IF(PolicyInputs!$B$1=1,EconomicInputs!K57,IF(PolicyInputs!$B$1=2,EconomicInputs!K89,IF(PolicyInputs!$B$1=3,EconomicInputs!K121,IF(PolicyInputs!$B$1=4,EconomicInputs!K153,"error"))))</f>
        <v>2193989476.2871776</v>
      </c>
      <c r="L25" s="27">
        <f>IF(PolicyInputs!$B$1=1,EconomicInputs!L57,IF(PolicyInputs!$B$1=2,EconomicInputs!L89,IF(PolicyInputs!$B$1=3,EconomicInputs!L121,IF(PolicyInputs!$B$1=4,EconomicInputs!L153,"error"))))</f>
        <v>1435254090.0476081</v>
      </c>
      <c r="M25" s="27">
        <f>IF(PolicyInputs!$B$1=1,EconomicInputs!M57,IF(PolicyInputs!$B$1=2,EconomicInputs!M89,IF(PolicyInputs!$B$1=3,EconomicInputs!M121,IF(PolicyInputs!$B$1=4,EconomicInputs!M153,"error"))))</f>
        <v>1148203272.0380867</v>
      </c>
      <c r="N25" s="51">
        <f>IF(PolicyInputs!$B$1=1,EconomicInputs!N57,IF(PolicyInputs!$B$1=2,EconomicInputs!N89,IF(PolicyInputs!$B$1=3,EconomicInputs!N121,IF(PolicyInputs!$B$1=4,EconomicInputs!N153,"error"))))</f>
        <v>3.21429498</v>
      </c>
      <c r="O25" s="51">
        <f>IF(PolicyInputs!$B$1=1,EconomicInputs!O57,IF(PolicyInputs!$B$1=2,EconomicInputs!O89,IF(PolicyInputs!$B$1=3,EconomicInputs!O121,IF(PolicyInputs!$B$1=4,EconomicInputs!O153,"error"))))</f>
        <v>3.9632405330000005</v>
      </c>
      <c r="P25" s="27">
        <f>IF(PolicyInputs!$B$1=1,EconomicInputs!P57,IF(PolicyInputs!$B$1=2,EconomicInputs!P89,IF(PolicyInputs!$B$1=3,EconomicInputs!P121,IF(PolicyInputs!$B$1=4,EconomicInputs!P153,"error"))))</f>
        <v>501869901.94811344</v>
      </c>
      <c r="Q25" s="27">
        <f>IF(PolicyInputs!$B$1=1,EconomicInputs!Q57,IF(PolicyInputs!$B$1=2,EconomicInputs!Q89,IF(PolicyInputs!$B$1=3,EconomicInputs!Q121,IF(PolicyInputs!$B$1=4,EconomicInputs!Q153,"error"))))</f>
        <v>79712641423.232285</v>
      </c>
      <c r="R25" s="27">
        <f>IF(PolicyInputs!$B$1=1,EconomicInputs!R57,IF(PolicyInputs!$B$1=2,EconomicInputs!R89,IF(PolicyInputs!$B$1=3,EconomicInputs!R121,IF(PolicyInputs!$B$1=4,EconomicInputs!R153,"error"))))</f>
        <v>139422430.3666583</v>
      </c>
      <c r="S25" s="27">
        <f>IF(PolicyInputs!$B$1=1,EconomicInputs!S57,IF(PolicyInputs!$B$1=2,EconomicInputs!S89,IF(PolicyInputs!$B$1=3,EconomicInputs!S121,IF(PolicyInputs!$B$1=4,EconomicInputs!S153,"error"))))</f>
        <v>173373238.85480285</v>
      </c>
      <c r="T25" s="27">
        <f>IF(PolicyInputs!$B$1=1,EconomicInputs!T57,IF(PolicyInputs!$B$1=2,EconomicInputs!T89,IF(PolicyInputs!$B$1=3,EconomicInputs!T121,IF(PolicyInputs!$B$1=4,EconomicInputs!T153,"error"))))</f>
        <v>3226601304.3656788</v>
      </c>
      <c r="U25" s="27">
        <f>IF(PolicyInputs!$B$1=1,EconomicInputs!U57,IF(PolicyInputs!$B$1=2,EconomicInputs!U89,IF(PolicyInputs!$B$1=3,EconomicInputs!U121,IF(PolicyInputs!$B$1=4,EconomicInputs!U153,"error"))))</f>
        <v>8753632571.5647354</v>
      </c>
      <c r="V25" s="27">
        <f>IF(PolicyInputs!$B$1=1,EconomicInputs!V57,IF(PolicyInputs!$B$1=2,EconomicInputs!V89,IF(PolicyInputs!$B$1=3,EconomicInputs!V121,IF(PolicyInputs!$B$1=4,EconomicInputs!V153,"error"))))</f>
        <v>531570856.06687611</v>
      </c>
      <c r="W25" s="27">
        <f>IF(PolicyInputs!$B$1=1,EconomicInputs!W57,IF(PolicyInputs!$B$1=2,EconomicInputs!W89,IF(PolicyInputs!$B$1=3,EconomicInputs!W121,IF(PolicyInputs!$B$1=4,EconomicInputs!W153,"error"))))</f>
        <v>6638944.341669444</v>
      </c>
      <c r="X25" s="27">
        <f>IF(PolicyInputs!$B$1=1,EconomicInputs!X57,IF(PolicyInputs!$B$1=2,EconomicInputs!X89,IF(PolicyInputs!$B$1=3,EconomicInputs!X121,IF(PolicyInputs!$B$1=4,EconomicInputs!X153,"error"))))</f>
        <v>171276791000</v>
      </c>
      <c r="Y25" s="61">
        <f>IF(PolicyInputs!$B$1=1,EconomicInputs!Y57,IF(PolicyInputs!$B$1=2,EconomicInputs!Y89,IF(PolicyInputs!$B$1=3,EconomicInputs!Y121,IF(PolicyInputs!$B$1=4,EconomicInputs!Y153,"error"))))</f>
        <v>34978155658.183022</v>
      </c>
      <c r="Z25" s="61">
        <f>IF(PolicyInputs!$B$1=1,EconomicInputs!Z57,IF(PolicyInputs!$B$1=2,EconomicInputs!Z89,IF(PolicyInputs!$B$1=3,EconomicInputs!Z121,IF(PolicyInputs!$B$1=4,EconomicInputs!Z153,"error"))))</f>
        <v>88034581.027436465</v>
      </c>
      <c r="AA25" s="61">
        <f>IF(PolicyInputs!$B$1=1,EconomicInputs!AA57,IF(PolicyInputs!$B$1=2,EconomicInputs!AA89,IF(PolicyInputs!$B$1=3,EconomicInputs!AA121,IF(PolicyInputs!$B$1=4,EconomicInputs!AA153,"error"))))</f>
        <v>731445574.58703721</v>
      </c>
      <c r="AD25" s="59">
        <f t="shared" si="0"/>
        <v>92507540870.332275</v>
      </c>
      <c r="AE25" s="92"/>
    </row>
    <row r="26" spans="1:31">
      <c r="A26" s="3">
        <f t="shared" si="1"/>
        <v>2032</v>
      </c>
      <c r="B26" s="27">
        <f>IF(PolicyInputs!$B$1=1,EconomicInputs!B58,IF(PolicyInputs!$B$1=2,EconomicInputs!B90,IF(PolicyInputs!$B$1=3,EconomicInputs!B122,IF(PolicyInputs!$B$1=4,EconomicInputs!B154,"error"))))</f>
        <v>7390356.5336818462</v>
      </c>
      <c r="C26" s="27">
        <f>IF(PolicyInputs!$B$1=1,EconomicInputs!C58,IF(PolicyInputs!$B$1=2,EconomicInputs!C90,IF(PolicyInputs!$B$1=3,EconomicInputs!C122,IF(PolicyInputs!$B$1=4,EconomicInputs!C154,"error"))))</f>
        <v>5114126.7213078374</v>
      </c>
      <c r="D26" s="27">
        <f>IF(PolicyInputs!$B$1=1,EconomicInputs!D58,IF(PolicyInputs!$B$1=2,EconomicInputs!D90,IF(PolicyInputs!$B$1=3,EconomicInputs!D122,IF(PolicyInputs!$B$1=4,EconomicInputs!D154,"error"))))</f>
        <v>240740.49443442572</v>
      </c>
      <c r="E26" s="27">
        <f>IF(PolicyInputs!$B$1=1,EconomicInputs!E58,IF(PolicyInputs!$B$1=2,EconomicInputs!E90,IF(PolicyInputs!$B$1=3,EconomicInputs!E122,IF(PolicyInputs!$B$1=4,EconomicInputs!E154,"error"))))</f>
        <v>6113842.643620084</v>
      </c>
      <c r="F26" s="27">
        <f>IF(PolicyInputs!$B$1=1,EconomicInputs!F58,IF(PolicyInputs!$B$1=2,EconomicInputs!F90,IF(PolicyInputs!$B$1=3,EconomicInputs!F122,IF(PolicyInputs!$B$1=4,EconomicInputs!F154,"error"))))</f>
        <v>11696.610441242345</v>
      </c>
      <c r="G26" s="27">
        <f>IF(PolicyInputs!$B$1=1,EconomicInputs!G58,IF(PolicyInputs!$B$1=2,EconomicInputs!G90,IF(PolicyInputs!$B$1=3,EconomicInputs!G122,IF(PolicyInputs!$B$1=4,EconomicInputs!G154,"error"))))</f>
        <v>10483.619328752136</v>
      </c>
      <c r="H26" s="27">
        <f>IF(PolicyInputs!$B$1=1,EconomicInputs!H58,IF(PolicyInputs!$B$1=2,EconomicInputs!H90,IF(PolicyInputs!$B$1=3,EconomicInputs!H122,IF(PolicyInputs!$B$1=4,EconomicInputs!H154,"error"))))</f>
        <v>195904.82619860719</v>
      </c>
      <c r="I26" s="27">
        <f>IF(PolicyInputs!$B$1=1,EconomicInputs!I58,IF(PolicyInputs!$B$1=2,EconomicInputs!I90,IF(PolicyInputs!$B$1=3,EconomicInputs!I122,IF(PolicyInputs!$B$1=4,EconomicInputs!I154,"error"))))</f>
        <v>90159.009057613206</v>
      </c>
      <c r="J26" s="27">
        <f>IF(PolicyInputs!$B$1=1,EconomicInputs!J58,IF(PolicyInputs!$B$1=2,EconomicInputs!J90,IF(PolicyInputs!$B$1=3,EconomicInputs!J122,IF(PolicyInputs!$B$1=4,EconomicInputs!J154,"error"))))</f>
        <v>99591076.981121451</v>
      </c>
      <c r="K26" s="27">
        <f>IF(PolicyInputs!$B$1=1,EconomicInputs!K58,IF(PolicyInputs!$B$1=2,EconomicInputs!K90,IF(PolicyInputs!$B$1=3,EconomicInputs!K122,IF(PolicyInputs!$B$1=4,EconomicInputs!K154,"error"))))</f>
        <v>2148414982.278038</v>
      </c>
      <c r="L26" s="27">
        <f>IF(PolicyInputs!$B$1=1,EconomicInputs!L58,IF(PolicyInputs!$B$1=2,EconomicInputs!L90,IF(PolicyInputs!$B$1=3,EconomicInputs!L122,IF(PolicyInputs!$B$1=4,EconomicInputs!L154,"error"))))</f>
        <v>1456924351.6137486</v>
      </c>
      <c r="M26" s="27">
        <f>IF(PolicyInputs!$B$1=1,EconomicInputs!M58,IF(PolicyInputs!$B$1=2,EconomicInputs!M90,IF(PolicyInputs!$B$1=3,EconomicInputs!M122,IF(PolicyInputs!$B$1=4,EconomicInputs!M154,"error"))))</f>
        <v>1165539481.2909989</v>
      </c>
      <c r="N26" s="51">
        <f>IF(PolicyInputs!$B$1=1,EconomicInputs!N58,IF(PolicyInputs!$B$1=2,EconomicInputs!N90,IF(PolicyInputs!$B$1=3,EconomicInputs!N122,IF(PolicyInputs!$B$1=4,EconomicInputs!N154,"error"))))</f>
        <v>3.2504330939999999</v>
      </c>
      <c r="O26" s="51">
        <f>IF(PolicyInputs!$B$1=1,EconomicInputs!O58,IF(PolicyInputs!$B$1=2,EconomicInputs!O90,IF(PolicyInputs!$B$1=3,EconomicInputs!O122,IF(PolicyInputs!$B$1=4,EconomicInputs!O154,"error"))))</f>
        <v>4.0115604794999999</v>
      </c>
      <c r="P26" s="27">
        <f>IF(PolicyInputs!$B$1=1,EconomicInputs!P58,IF(PolicyInputs!$B$1=2,EconomicInputs!P90,IF(PolicyInputs!$B$1=3,EconomicInputs!P122,IF(PolicyInputs!$B$1=4,EconomicInputs!P154,"error"))))</f>
        <v>506888600.96759456</v>
      </c>
      <c r="Q26" s="27">
        <f>IF(PolicyInputs!$B$1=1,EconomicInputs!Q58,IF(PolicyInputs!$B$1=2,EconomicInputs!Q90,IF(PolicyInputs!$B$1=3,EconomicInputs!Q122,IF(PolicyInputs!$B$1=4,EconomicInputs!Q154,"error"))))</f>
        <v>80496583606.737366</v>
      </c>
      <c r="R26" s="27">
        <f>IF(PolicyInputs!$B$1=1,EconomicInputs!R58,IF(PolicyInputs!$B$1=2,EconomicInputs!R90,IF(PolicyInputs!$B$1=3,EconomicInputs!R122,IF(PolicyInputs!$B$1=4,EconomicInputs!R154,"error"))))</f>
        <v>154000885.39755991</v>
      </c>
      <c r="S26" s="27">
        <f>IF(PolicyInputs!$B$1=1,EconomicInputs!S58,IF(PolicyInputs!$B$1=2,EconomicInputs!S90,IF(PolicyInputs!$B$1=3,EconomicInputs!S122,IF(PolicyInputs!$B$1=4,EconomicInputs!S154,"error"))))</f>
        <v>175106971.24335086</v>
      </c>
      <c r="T26" s="27">
        <f>IF(PolicyInputs!$B$1=1,EconomicInputs!T58,IF(PolicyInputs!$B$1=2,EconomicInputs!T90,IF(PolicyInputs!$B$1=3,EconomicInputs!T122,IF(PolicyInputs!$B$1=4,EconomicInputs!T154,"error"))))</f>
        <v>3247896872.9744921</v>
      </c>
      <c r="U26" s="27">
        <f>IF(PolicyInputs!$B$1=1,EconomicInputs!U58,IF(PolicyInputs!$B$1=2,EconomicInputs!U90,IF(PolicyInputs!$B$1=3,EconomicInputs!U122,IF(PolicyInputs!$B$1=4,EconomicInputs!U154,"error"))))</f>
        <v>8926079133.2245617</v>
      </c>
      <c r="V26" s="27">
        <f>IF(PolicyInputs!$B$1=1,EconomicInputs!V58,IF(PolicyInputs!$B$1=2,EconomicInputs!V90,IF(PolicyInputs!$B$1=3,EconomicInputs!V122,IF(PolicyInputs!$B$1=4,EconomicInputs!V154,"error"))))</f>
        <v>547937611.1607672</v>
      </c>
      <c r="W26" s="27">
        <f>IF(PolicyInputs!$B$1=1,EconomicInputs!W58,IF(PolicyInputs!$B$1=2,EconomicInputs!W90,IF(PolicyInputs!$B$1=3,EconomicInputs!W122,IF(PolicyInputs!$B$1=4,EconomicInputs!W154,"error"))))</f>
        <v>6718439.3722376954</v>
      </c>
      <c r="X26" s="27">
        <f>IF(PolicyInputs!$B$1=1,EconomicInputs!X58,IF(PolicyInputs!$B$1=2,EconomicInputs!X90,IF(PolicyInputs!$B$1=3,EconomicInputs!X122,IF(PolicyInputs!$B$1=4,EconomicInputs!X154,"error"))))</f>
        <v>177937545000</v>
      </c>
      <c r="Y26" s="61">
        <f>IF(PolicyInputs!$B$1=1,EconomicInputs!Y58,IF(PolicyInputs!$B$1=2,EconomicInputs!Y90,IF(PolicyInputs!$B$1=3,EconomicInputs!Y122,IF(PolicyInputs!$B$1=4,EconomicInputs!Y154,"error"))))</f>
        <v>35533603970.573166</v>
      </c>
      <c r="Z26" s="61">
        <f>IF(PolicyInputs!$B$1=1,EconomicInputs!Z58,IF(PolicyInputs!$B$1=2,EconomicInputs!Z90,IF(PolicyInputs!$B$1=3,EconomicInputs!Z122,IF(PolicyInputs!$B$1=4,EconomicInputs!Z154,"error"))))</f>
        <v>88845718.426421195</v>
      </c>
      <c r="AA26" s="61">
        <f>IF(PolicyInputs!$B$1=1,EconomicInputs!AA58,IF(PolicyInputs!$B$1=2,EconomicInputs!AA90,IF(PolicyInputs!$B$1=3,EconomicInputs!AA122,IF(PolicyInputs!$B$1=4,EconomicInputs!AA154,"error"))))</f>
        <v>735576931.81810486</v>
      </c>
      <c r="AD26" s="59">
        <f t="shared" si="0"/>
        <v>93506556070.544907</v>
      </c>
      <c r="AE26" s="92"/>
    </row>
    <row r="27" spans="1:31">
      <c r="A27" s="3">
        <f t="shared" si="1"/>
        <v>2033</v>
      </c>
      <c r="B27" s="27">
        <f>IF(PolicyInputs!$B$1=1,EconomicInputs!B59,IF(PolicyInputs!$B$1=2,EconomicInputs!B91,IF(PolicyInputs!$B$1=3,EconomicInputs!B123,IF(PolicyInputs!$B$1=4,EconomicInputs!B155,"error"))))</f>
        <v>7432098.8094797852</v>
      </c>
      <c r="C27" s="27">
        <f>IF(PolicyInputs!$B$1=1,EconomicInputs!C59,IF(PolicyInputs!$B$1=2,EconomicInputs!C91,IF(PolicyInputs!$B$1=3,EconomicInputs!C123,IF(PolicyInputs!$B$1=4,EconomicInputs!C155,"error"))))</f>
        <v>5143012.3761600107</v>
      </c>
      <c r="D27" s="27">
        <f>IF(PolicyInputs!$B$1=1,EconomicInputs!D59,IF(PolicyInputs!$B$1=2,EconomicInputs!D91,IF(PolicyInputs!$B$1=3,EconomicInputs!D123,IF(PolicyInputs!$B$1=4,EconomicInputs!D155,"error"))))</f>
        <v>243147.89937876997</v>
      </c>
      <c r="E27" s="27">
        <f>IF(PolicyInputs!$B$1=1,EconomicInputs!E59,IF(PolicyInputs!$B$1=2,EconomicInputs!E91,IF(PolicyInputs!$B$1=3,EconomicInputs!E123,IF(PolicyInputs!$B$1=4,EconomicInputs!E155,"error"))))</f>
        <v>6173942.0712672025</v>
      </c>
      <c r="F27" s="27">
        <f>IF(PolicyInputs!$B$1=1,EconomicInputs!F59,IF(PolicyInputs!$B$1=2,EconomicInputs!F91,IF(PolicyInputs!$B$1=3,EconomicInputs!F123,IF(PolicyInputs!$B$1=4,EconomicInputs!F155,"error"))))</f>
        <v>12852.575334737077</v>
      </c>
      <c r="G27" s="27">
        <f>IF(PolicyInputs!$B$1=1,EconomicInputs!G59,IF(PolicyInputs!$B$1=2,EconomicInputs!G91,IF(PolicyInputs!$B$1=3,EconomicInputs!G123,IF(PolicyInputs!$B$1=4,EconomicInputs!G155,"error"))))</f>
        <v>10588.455522039658</v>
      </c>
      <c r="H27" s="27">
        <f>IF(PolicyInputs!$B$1=1,EconomicInputs!H59,IF(PolicyInputs!$B$1=2,EconomicInputs!H91,IF(PolicyInputs!$B$1=3,EconomicInputs!H123,IF(PolicyInputs!$B$1=4,EconomicInputs!H155,"error"))))</f>
        <v>197197.79805151795</v>
      </c>
      <c r="I27" s="27">
        <f>IF(PolicyInputs!$B$1=1,EconomicInputs!I59,IF(PolicyInputs!$B$1=2,EconomicInputs!I91,IF(PolicyInputs!$B$1=3,EconomicInputs!I123,IF(PolicyInputs!$B$1=4,EconomicInputs!I155,"error"))))</f>
        <v>91935.141536048191</v>
      </c>
      <c r="J27" s="27">
        <f>IF(PolicyInputs!$B$1=1,EconomicInputs!J59,IF(PolicyInputs!$B$1=2,EconomicInputs!J91,IF(PolicyInputs!$B$1=3,EconomicInputs!J123,IF(PolicyInputs!$B$1=4,EconomicInputs!J155,"error"))))</f>
        <v>99789618.720984086</v>
      </c>
      <c r="K27" s="27">
        <f>IF(PolicyInputs!$B$1=1,EconomicInputs!K59,IF(PolicyInputs!$B$1=2,EconomicInputs!K91,IF(PolicyInputs!$B$1=3,EconomicInputs!K123,IF(PolicyInputs!$B$1=4,EconomicInputs!K155,"error"))))</f>
        <v>2104125895.2896054</v>
      </c>
      <c r="L27" s="27">
        <f>IF(PolicyInputs!$B$1=1,EconomicInputs!L59,IF(PolicyInputs!$B$1=2,EconomicInputs!L91,IF(PolicyInputs!$B$1=3,EconomicInputs!L123,IF(PolicyInputs!$B$1=4,EconomicInputs!L155,"error"))))</f>
        <v>1479072079.2699256</v>
      </c>
      <c r="M27" s="27">
        <f>IF(PolicyInputs!$B$1=1,EconomicInputs!M59,IF(PolicyInputs!$B$1=2,EconomicInputs!M91,IF(PolicyInputs!$B$1=3,EconomicInputs!M123,IF(PolicyInputs!$B$1=4,EconomicInputs!M155,"error"))))</f>
        <v>1183257663.4159405</v>
      </c>
      <c r="N27" s="51">
        <f>IF(PolicyInputs!$B$1=1,EconomicInputs!N59,IF(PolicyInputs!$B$1=2,EconomicInputs!N91,IF(PolicyInputs!$B$1=3,EconomicInputs!N123,IF(PolicyInputs!$B$1=4,EconomicInputs!N155,"error"))))</f>
        <v>3.289196628</v>
      </c>
      <c r="O27" s="51">
        <f>IF(PolicyInputs!$B$1=1,EconomicInputs!O59,IF(PolicyInputs!$B$1=2,EconomicInputs!O91,IF(PolicyInputs!$B$1=3,EconomicInputs!O123,IF(PolicyInputs!$B$1=4,EconomicInputs!O155,"error"))))</f>
        <v>4.0631891510000004</v>
      </c>
      <c r="P27" s="27">
        <f>IF(PolicyInputs!$B$1=1,EconomicInputs!P59,IF(PolicyInputs!$B$1=2,EconomicInputs!P91,IF(PolicyInputs!$B$1=3,EconomicInputs!P123,IF(PolicyInputs!$B$1=4,EconomicInputs!P155,"error"))))</f>
        <v>511957486.97727054</v>
      </c>
      <c r="Q27" s="27">
        <f>IF(PolicyInputs!$B$1=1,EconomicInputs!Q59,IF(PolicyInputs!$B$1=2,EconomicInputs!Q91,IF(PolicyInputs!$B$1=3,EconomicInputs!Q123,IF(PolicyInputs!$B$1=4,EconomicInputs!Q155,"error"))))</f>
        <v>81287869690.516708</v>
      </c>
      <c r="R27" s="27">
        <f>IF(PolicyInputs!$B$1=1,EconomicInputs!R59,IF(PolicyInputs!$B$1=2,EconomicInputs!R91,IF(PolicyInputs!$B$1=3,EconomicInputs!R123,IF(PolicyInputs!$B$1=4,EconomicInputs!R155,"error"))))</f>
        <v>169220646.53956065</v>
      </c>
      <c r="S27" s="27">
        <f>IF(PolicyInputs!$B$1=1,EconomicInputs!S59,IF(PolicyInputs!$B$1=2,EconomicInputs!S91,IF(PolicyInputs!$B$1=3,EconomicInputs!S123,IF(PolicyInputs!$B$1=4,EconomicInputs!S155,"error"))))</f>
        <v>176858040.95578438</v>
      </c>
      <c r="T27" s="27">
        <f>IF(PolicyInputs!$B$1=1,EconomicInputs!T59,IF(PolicyInputs!$B$1=2,EconomicInputs!T91,IF(PolicyInputs!$B$1=3,EconomicInputs!T123,IF(PolicyInputs!$B$1=4,EconomicInputs!T155,"error"))))</f>
        <v>3269332992.3361235</v>
      </c>
      <c r="U27" s="27">
        <f>IF(PolicyInputs!$B$1=1,EconomicInputs!U59,IF(PolicyInputs!$B$1=2,EconomicInputs!U91,IF(PolicyInputs!$B$1=3,EconomicInputs!U123,IF(PolicyInputs!$B$1=4,EconomicInputs!U155,"error"))))</f>
        <v>9101922892.1490841</v>
      </c>
      <c r="V27" s="27">
        <f>IF(PolicyInputs!$B$1=1,EconomicInputs!V59,IF(PolicyInputs!$B$1=2,EconomicInputs!V91,IF(PolicyInputs!$B$1=3,EconomicInputs!V123,IF(PolicyInputs!$B$1=4,EconomicInputs!V155,"error"))))</f>
        <v>564808289.05111384</v>
      </c>
      <c r="W27" s="27">
        <f>IF(PolicyInputs!$B$1=1,EconomicInputs!W59,IF(PolicyInputs!$B$1=2,EconomicInputs!W91,IF(PolicyInputs!$B$1=3,EconomicInputs!W123,IF(PolicyInputs!$B$1=4,EconomicInputs!W155,"error"))))</f>
        <v>6799009.5056110499</v>
      </c>
      <c r="X27" s="27">
        <f>IF(PolicyInputs!$B$1=1,EconomicInputs!X59,IF(PolicyInputs!$B$1=2,EconomicInputs!X91,IF(PolicyInputs!$B$1=3,EconomicInputs!X123,IF(PolicyInputs!$B$1=4,EconomicInputs!X155,"error"))))</f>
        <v>183416137717.76337</v>
      </c>
      <c r="Y27" s="61">
        <f>IF(PolicyInputs!$B$1=1,EconomicInputs!Y59,IF(PolicyInputs!$B$1=2,EconomicInputs!Y91,IF(PolicyInputs!$B$1=3,EconomicInputs!Y123,IF(PolicyInputs!$B$1=4,EconomicInputs!Y155,"error"))))</f>
        <v>36026427226.598343</v>
      </c>
      <c r="Z27" s="61">
        <f>IF(PolicyInputs!$B$1=1,EconomicInputs!Z59,IF(PolicyInputs!$B$1=2,EconomicInputs!Z91,IF(PolicyInputs!$B$1=3,EconomicInputs!Z123,IF(PolicyInputs!$B$1=4,EconomicInputs!Z155,"error"))))</f>
        <v>90701583.019262746</v>
      </c>
      <c r="AA27" s="61">
        <f>IF(PolicyInputs!$B$1=1,EconomicInputs!AA59,IF(PolicyInputs!$B$1=2,EconomicInputs!AA91,IF(PolicyInputs!$B$1=3,EconomicInputs!AA123,IF(PolicyInputs!$B$1=4,EconomicInputs!AA155,"error"))))</f>
        <v>739731623.81687582</v>
      </c>
      <c r="AD27" s="59">
        <f t="shared" si="0"/>
        <v>94517161749.474518</v>
      </c>
      <c r="AE27" s="92"/>
    </row>
    <row r="28" spans="1:31">
      <c r="A28" s="3">
        <f t="shared" si="1"/>
        <v>2034</v>
      </c>
      <c r="B28" s="27">
        <f>IF(PolicyInputs!$B$1=1,EconomicInputs!B60,IF(PolicyInputs!$B$1=2,EconomicInputs!B92,IF(PolicyInputs!$B$1=3,EconomicInputs!B124,IF(PolicyInputs!$B$1=4,EconomicInputs!B156,"error"))))</f>
        <v>7474076.854361509</v>
      </c>
      <c r="C28" s="27">
        <f>IF(PolicyInputs!$B$1=1,EconomicInputs!C60,IF(PolicyInputs!$B$1=2,EconomicInputs!C92,IF(PolicyInputs!$B$1=3,EconomicInputs!C124,IF(PolicyInputs!$B$1=4,EconomicInputs!C156,"error"))))</f>
        <v>5172061.1832181634</v>
      </c>
      <c r="D28" s="27">
        <f>IF(PolicyInputs!$B$1=1,EconomicInputs!D60,IF(PolicyInputs!$B$1=2,EconomicInputs!D92,IF(PolicyInputs!$B$1=3,EconomicInputs!D124,IF(PolicyInputs!$B$1=4,EconomicInputs!D156,"error"))))</f>
        <v>245579.37837255766</v>
      </c>
      <c r="E28" s="27">
        <f>IF(PolicyInputs!$B$1=1,EconomicInputs!E60,IF(PolicyInputs!$B$1=2,EconomicInputs!E92,IF(PolicyInputs!$B$1=3,EconomicInputs!E124,IF(PolicyInputs!$B$1=4,EconomicInputs!E156,"error"))))</f>
        <v>6234651.8976805601</v>
      </c>
      <c r="F28" s="27">
        <f>IF(PolicyInputs!$B$1=1,EconomicInputs!F60,IF(PolicyInputs!$B$1=2,EconomicInputs!F92,IF(PolicyInputs!$B$1=3,EconomicInputs!F124,IF(PolicyInputs!$B$1=4,EconomicInputs!F156,"error"))))</f>
        <v>14010.695387397893</v>
      </c>
      <c r="G28" s="27">
        <f>IF(PolicyInputs!$B$1=1,EconomicInputs!G60,IF(PolicyInputs!$B$1=2,EconomicInputs!G92,IF(PolicyInputs!$B$1=3,EconomicInputs!G124,IF(PolicyInputs!$B$1=4,EconomicInputs!G156,"error"))))</f>
        <v>10694.340077260054</v>
      </c>
      <c r="H28" s="27">
        <f>IF(PolicyInputs!$B$1=1,EconomicInputs!H60,IF(PolicyInputs!$B$1=2,EconomicInputs!H92,IF(PolicyInputs!$B$1=3,EconomicInputs!H124,IF(PolicyInputs!$B$1=4,EconomicInputs!H156,"error"))))</f>
        <v>198499.30351865798</v>
      </c>
      <c r="I28" s="27">
        <f>IF(PolicyInputs!$B$1=1,EconomicInputs!I60,IF(PolicyInputs!$B$1=2,EconomicInputs!I92,IF(PolicyInputs!$B$1=3,EconomicInputs!I124,IF(PolicyInputs!$B$1=4,EconomicInputs!I156,"error"))))</f>
        <v>93746.263824308335</v>
      </c>
      <c r="J28" s="27">
        <f>IF(PolicyInputs!$B$1=1,EconomicInputs!J60,IF(PolicyInputs!$B$1=2,EconomicInputs!J92,IF(PolicyInputs!$B$1=3,EconomicInputs!J124,IF(PolicyInputs!$B$1=4,EconomicInputs!J156,"error"))))</f>
        <v>99988556.267616391</v>
      </c>
      <c r="K28" s="27">
        <f>IF(PolicyInputs!$B$1=1,EconomicInputs!K60,IF(PolicyInputs!$B$1=2,EconomicInputs!K92,IF(PolicyInputs!$B$1=3,EconomicInputs!K124,IF(PolicyInputs!$B$1=4,EconomicInputs!K156,"error"))))</f>
        <v>2061058009.4667521</v>
      </c>
      <c r="L28" s="27">
        <f>IF(PolicyInputs!$B$1=1,EconomicInputs!L60,IF(PolicyInputs!$B$1=2,EconomicInputs!L92,IF(PolicyInputs!$B$1=3,EconomicInputs!L124,IF(PolicyInputs!$B$1=4,EconomicInputs!L156,"error"))))</f>
        <v>1501940665.8118799</v>
      </c>
      <c r="M28" s="27">
        <f>IF(PolicyInputs!$B$1=1,EconomicInputs!M60,IF(PolicyInputs!$B$1=2,EconomicInputs!M92,IF(PolicyInputs!$B$1=3,EconomicInputs!M124,IF(PolicyInputs!$B$1=4,EconomicInputs!M156,"error"))))</f>
        <v>1201552532.6495039</v>
      </c>
      <c r="N28" s="51">
        <f>IF(PolicyInputs!$B$1=1,EconomicInputs!N60,IF(PolicyInputs!$B$1=2,EconomicInputs!N92,IF(PolicyInputs!$B$1=3,EconomicInputs!N124,IF(PolicyInputs!$B$1=4,EconomicInputs!N156,"error"))))</f>
        <v>3.3310321200000002</v>
      </c>
      <c r="O28" s="51">
        <f>IF(PolicyInputs!$B$1=1,EconomicInputs!O60,IF(PolicyInputs!$B$1=2,EconomicInputs!O92,IF(PolicyInputs!$B$1=3,EconomicInputs!O124,IF(PolicyInputs!$B$1=4,EconomicInputs!O156,"error"))))</f>
        <v>4.1073325930000006</v>
      </c>
      <c r="P28" s="27">
        <f>IF(PolicyInputs!$B$1=1,EconomicInputs!P60,IF(PolicyInputs!$B$1=2,EconomicInputs!P92,IF(PolicyInputs!$B$1=3,EconomicInputs!P124,IF(PolicyInputs!$B$1=4,EconomicInputs!P156,"error"))))</f>
        <v>517077061.84704328</v>
      </c>
      <c r="Q28" s="27">
        <f>IF(PolicyInputs!$B$1=1,EconomicInputs!Q60,IF(PolicyInputs!$B$1=2,EconomicInputs!Q92,IF(PolicyInputs!$B$1=3,EconomicInputs!Q124,IF(PolicyInputs!$B$1=4,EconomicInputs!Q156,"error"))))</f>
        <v>82087192457.309357</v>
      </c>
      <c r="R28" s="27">
        <f>IF(PolicyInputs!$B$1=1,EconomicInputs!R60,IF(PolicyInputs!$B$1=2,EconomicInputs!R92,IF(PolicyInputs!$B$1=3,EconomicInputs!R124,IF(PolicyInputs!$B$1=4,EconomicInputs!R156,"error"))))</f>
        <v>184468783.11746246</v>
      </c>
      <c r="S28" s="27">
        <f>IF(PolicyInputs!$B$1=1,EconomicInputs!S60,IF(PolicyInputs!$B$1=2,EconomicInputs!S92,IF(PolicyInputs!$B$1=3,EconomicInputs!S124,IF(PolicyInputs!$B$1=4,EconomicInputs!S156,"error"))))</f>
        <v>178626621.36534223</v>
      </c>
      <c r="T28" s="27">
        <f>IF(PolicyInputs!$B$1=1,EconomicInputs!T60,IF(PolicyInputs!$B$1=2,EconomicInputs!T92,IF(PolicyInputs!$B$1=3,EconomicInputs!T124,IF(PolicyInputs!$B$1=4,EconomicInputs!T156,"error"))))</f>
        <v>3290910590.0855412</v>
      </c>
      <c r="U28" s="27">
        <f>IF(PolicyInputs!$B$1=1,EconomicInputs!U60,IF(PolicyInputs!$B$1=2,EconomicInputs!U92,IF(PolicyInputs!$B$1=3,EconomicInputs!U124,IF(PolicyInputs!$B$1=4,EconomicInputs!U156,"error"))))</f>
        <v>9281230773.1244221</v>
      </c>
      <c r="V28" s="27">
        <f>IF(PolicyInputs!$B$1=1,EconomicInputs!V60,IF(PolicyInputs!$B$1=2,EconomicInputs!V92,IF(PolicyInputs!$B$1=3,EconomicInputs!V124,IF(PolicyInputs!$B$1=4,EconomicInputs!V156,"error"))))</f>
        <v>582198405.22545934</v>
      </c>
      <c r="W28" s="27">
        <f>IF(PolicyInputs!$B$1=1,EconomicInputs!W60,IF(PolicyInputs!$B$1=2,EconomicInputs!W92,IF(PolicyInputs!$B$1=3,EconomicInputs!W124,IF(PolicyInputs!$B$1=4,EconomicInputs!W156,"error"))))</f>
        <v>6880671.1568398513</v>
      </c>
      <c r="X28" s="27">
        <f>IF(PolicyInputs!$B$1=1,EconomicInputs!X60,IF(PolicyInputs!$B$1=2,EconomicInputs!X92,IF(PolicyInputs!$B$1=3,EconomicInputs!X124,IF(PolicyInputs!$B$1=4,EconomicInputs!X156,"error"))))</f>
        <v>189063413094.1929</v>
      </c>
      <c r="Y28" s="61">
        <f>IF(PolicyInputs!$B$1=1,EconomicInputs!Y60,IF(PolicyInputs!$B$1=2,EconomicInputs!Y92,IF(PolicyInputs!$B$1=3,EconomicInputs!Y124,IF(PolicyInputs!$B$1=4,EconomicInputs!Y156,"error"))))</f>
        <v>36647101257.708466</v>
      </c>
      <c r="Z28" s="61">
        <f>IF(PolicyInputs!$B$1=1,EconomicInputs!Z60,IF(PolicyInputs!$B$1=2,EconomicInputs!Z92,IF(PolicyInputs!$B$1=3,EconomicInputs!Z124,IF(PolicyInputs!$B$1=4,EconomicInputs!Z156,"error"))))</f>
        <v>92596214.065321907</v>
      </c>
      <c r="AA28" s="61">
        <f>IF(PolicyInputs!$B$1=1,EconomicInputs!AA60,IF(PolicyInputs!$B$1=2,EconomicInputs!AA92,IF(PolicyInputs!$B$1=3,EconomicInputs!AA124,IF(PolicyInputs!$B$1=4,EconomicInputs!AA156,"error"))))</f>
        <v>743909782.38298726</v>
      </c>
      <c r="AD28" s="59">
        <f t="shared" si="0"/>
        <v>95539506286.849167</v>
      </c>
      <c r="AE28" s="92"/>
    </row>
    <row r="29" spans="1:31">
      <c r="A29" s="3">
        <f t="shared" si="1"/>
        <v>2035</v>
      </c>
      <c r="B29" s="27">
        <f>IF(PolicyInputs!$B$1=1,EconomicInputs!B61,IF(PolicyInputs!$B$1=2,EconomicInputs!B93,IF(PolicyInputs!$B$1=3,EconomicInputs!B125,IF(PolicyInputs!$B$1=4,EconomicInputs!B157,"error"))))</f>
        <v>7516292</v>
      </c>
      <c r="C29" s="27">
        <f>IF(PolicyInputs!$B$1=1,EconomicInputs!C61,IF(PolicyInputs!$B$1=2,EconomicInputs!C93,IF(PolicyInputs!$B$1=3,EconomicInputs!C125,IF(PolicyInputs!$B$1=4,EconomicInputs!C157,"error"))))</f>
        <v>5201274.0639999993</v>
      </c>
      <c r="D29" s="27">
        <f>IF(PolicyInputs!$B$1=1,EconomicInputs!D61,IF(PolicyInputs!$B$1=2,EconomicInputs!D93,IF(PolicyInputs!$B$1=3,EconomicInputs!D125,IF(PolicyInputs!$B$1=4,EconomicInputs!D157,"error"))))</f>
        <v>248035.17215628325</v>
      </c>
      <c r="E29" s="27">
        <f>IF(PolicyInputs!$B$1=1,EconomicInputs!E61,IF(PolicyInputs!$B$1=2,EconomicInputs!E93,IF(PolicyInputs!$B$1=3,EconomicInputs!E125,IF(PolicyInputs!$B$1=4,EconomicInputs!E157,"error"))))</f>
        <v>6295987.0000792453</v>
      </c>
      <c r="F29" s="27">
        <f>IF(PolicyInputs!$B$1=1,EconomicInputs!F61,IF(PolicyInputs!$B$1=2,EconomicInputs!F93,IF(PolicyInputs!$B$1=3,EconomicInputs!F125,IF(PolicyInputs!$B$1=4,EconomicInputs!F157,"error"))))</f>
        <v>15162.218919392675</v>
      </c>
      <c r="G29" s="27">
        <f>IF(PolicyInputs!$B$1=1,EconomicInputs!G61,IF(PolicyInputs!$B$1=2,EconomicInputs!G93,IF(PolicyInputs!$B$1=3,EconomicInputs!G125,IF(PolicyInputs!$B$1=4,EconomicInputs!G157,"error"))))</f>
        <v>10801.283478032656</v>
      </c>
      <c r="H29" s="27">
        <f>IF(PolicyInputs!$B$1=1,EconomicInputs!H61,IF(PolicyInputs!$B$1=2,EconomicInputs!H93,IF(PolicyInputs!$B$1=3,EconomicInputs!H125,IF(PolicyInputs!$B$1=4,EconomicInputs!H157,"error"))))</f>
        <v>199809.3989218811</v>
      </c>
      <c r="I29" s="27">
        <f>IF(PolicyInputs!$B$1=1,EconomicInputs!I61,IF(PolicyInputs!$B$1=2,EconomicInputs!I93,IF(PolicyInputs!$B$1=3,EconomicInputs!I125,IF(PolicyInputs!$B$1=4,EconomicInputs!I157,"error"))))</f>
        <v>95593.065221647223</v>
      </c>
      <c r="J29" s="27">
        <f>IF(PolicyInputs!$B$1=1,EconomicInputs!J61,IF(PolicyInputs!$B$1=2,EconomicInputs!J93,IF(PolicyInputs!$B$1=3,EconomicInputs!J125,IF(PolicyInputs!$B$1=4,EconomicInputs!J157,"error"))))</f>
        <v>100187890.41008669</v>
      </c>
      <c r="K29" s="27">
        <f>IF(PolicyInputs!$B$1=1,EconomicInputs!K61,IF(PolicyInputs!$B$1=2,EconomicInputs!K93,IF(PolicyInputs!$B$1=3,EconomicInputs!K125,IF(PolicyInputs!$B$1=4,EconomicInputs!K157,"error"))))</f>
        <v>2019211124.700587</v>
      </c>
      <c r="L29" s="27">
        <f>IF(PolicyInputs!$B$1=1,EconomicInputs!L61,IF(PolicyInputs!$B$1=2,EconomicInputs!L93,IF(PolicyInputs!$B$1=3,EconomicInputs!L125,IF(PolicyInputs!$B$1=4,EconomicInputs!L157,"error"))))</f>
        <v>1525480620.955333</v>
      </c>
      <c r="M29" s="27">
        <f>IF(PolicyInputs!$B$1=1,EconomicInputs!M61,IF(PolicyInputs!$B$1=2,EconomicInputs!M93,IF(PolicyInputs!$B$1=3,EconomicInputs!M125,IF(PolicyInputs!$B$1=4,EconomicInputs!M157,"error"))))</f>
        <v>1220384496.7642665</v>
      </c>
      <c r="N29" s="51">
        <f>IF(PolicyInputs!$B$1=1,EconomicInputs!N61,IF(PolicyInputs!$B$1=2,EconomicInputs!N93,IF(PolicyInputs!$B$1=3,EconomicInputs!N125,IF(PolicyInputs!$B$1=4,EconomicInputs!N157,"error"))))</f>
        <v>3.359314608</v>
      </c>
      <c r="O29" s="51">
        <f>IF(PolicyInputs!$B$1=1,EconomicInputs!O61,IF(PolicyInputs!$B$1=2,EconomicInputs!O93,IF(PolicyInputs!$B$1=3,EconomicInputs!O125,IF(PolicyInputs!$B$1=4,EconomicInputs!O157,"error"))))</f>
        <v>4.1400366525000001</v>
      </c>
      <c r="P29" s="27">
        <f>IF(PolicyInputs!$B$1=1,EconomicInputs!P61,IF(PolicyInputs!$B$1=2,EconomicInputs!P93,IF(PolicyInputs!$B$1=3,EconomicInputs!P125,IF(PolicyInputs!$B$1=4,EconomicInputs!P157,"error"))))</f>
        <v>522247832.46551371</v>
      </c>
      <c r="Q29" s="27">
        <f>IF(PolicyInputs!$B$1=1,EconomicInputs!Q61,IF(PolicyInputs!$B$1=2,EconomicInputs!Q93,IF(PolicyInputs!$B$1=3,EconomicInputs!Q125,IF(PolicyInputs!$B$1=4,EconomicInputs!Q157,"error"))))</f>
        <v>82894747784.794876</v>
      </c>
      <c r="R29" s="27">
        <f>IF(PolicyInputs!$B$1=1,EconomicInputs!R61,IF(PolicyInputs!$B$1=2,EconomicInputs!R93,IF(PolicyInputs!$B$1=3,EconomicInputs!R125,IF(PolicyInputs!$B$1=4,EconomicInputs!R157,"error"))))</f>
        <v>199630068.03622723</v>
      </c>
      <c r="S29" s="27">
        <f>IF(PolicyInputs!$B$1=1,EconomicInputs!S61,IF(PolicyInputs!$B$1=2,EconomicInputs!S93,IF(PolicyInputs!$B$1=3,EconomicInputs!S125,IF(PolicyInputs!$B$1=4,EconomicInputs!S157,"error"))))</f>
        <v>180412887.57899565</v>
      </c>
      <c r="T29" s="27">
        <f>IF(PolicyInputs!$B$1=1,EconomicInputs!T61,IF(PolicyInputs!$B$1=2,EconomicInputs!T93,IF(PolicyInputs!$B$1=3,EconomicInputs!T125,IF(PolicyInputs!$B$1=4,EconomicInputs!T157,"error"))))</f>
        <v>3312630599.9801059</v>
      </c>
      <c r="U29" s="27">
        <f>IF(PolicyInputs!$B$1=1,EconomicInputs!U61,IF(PolicyInputs!$B$1=2,EconomicInputs!U93,IF(PolicyInputs!$B$1=3,EconomicInputs!U125,IF(PolicyInputs!$B$1=4,EconomicInputs!U157,"error"))))</f>
        <v>9464071019.3549747</v>
      </c>
      <c r="V29" s="27">
        <f>IF(PolicyInputs!$B$1=1,EconomicInputs!V61,IF(PolicyInputs!$B$1=2,EconomicInputs!V93,IF(PolicyInputs!$B$1=3,EconomicInputs!V125,IF(PolicyInputs!$B$1=4,EconomicInputs!V157,"error"))))</f>
        <v>600123952.88411486</v>
      </c>
      <c r="W29" s="27">
        <f>IF(PolicyInputs!$B$1=1,EconomicInputs!W61,IF(PolicyInputs!$B$1=2,EconomicInputs!W93,IF(PolicyInputs!$B$1=3,EconomicInputs!W125,IF(PolicyInputs!$B$1=4,EconomicInputs!W157,"error"))))</f>
        <v>6963441.0176633075</v>
      </c>
      <c r="X29" s="27">
        <f>IF(PolicyInputs!$B$1=1,EconomicInputs!X61,IF(PolicyInputs!$B$1=2,EconomicInputs!X93,IF(PolicyInputs!$B$1=3,EconomicInputs!X125,IF(PolicyInputs!$B$1=4,EconomicInputs!X157,"error"))))</f>
        <v>194884564769.48062</v>
      </c>
      <c r="Y29" s="61">
        <f>IF(PolicyInputs!$B$1=1,EconomicInputs!Y61,IF(PolicyInputs!$B$1=2,EconomicInputs!Y93,IF(PolicyInputs!$B$1=3,EconomicInputs!Y125,IF(PolicyInputs!$B$1=4,EconomicInputs!Y157,"error"))))</f>
        <v>37335378794.984428</v>
      </c>
      <c r="Z29" s="61">
        <f>IF(PolicyInputs!$B$1=1,EconomicInputs!Z61,IF(PolicyInputs!$B$1=2,EconomicInputs!Z93,IF(PolicyInputs!$B$1=3,EconomicInputs!Z125,IF(PolicyInputs!$B$1=4,EconomicInputs!Z157,"error"))))</f>
        <v>94530421.342370659</v>
      </c>
      <c r="AA29" s="61">
        <f>IF(PolicyInputs!$B$1=1,EconomicInputs!AA61,IF(PolicyInputs!$B$1=2,EconomicInputs!AA93,IF(PolicyInputs!$B$1=3,EconomicInputs!AA125,IF(PolicyInputs!$B$1=4,EconomicInputs!AA157,"error"))))</f>
        <v>748111540.06050837</v>
      </c>
      <c r="AD29" s="59">
        <f t="shared" si="0"/>
        <v>96573740192.210693</v>
      </c>
      <c r="AE29" s="92"/>
    </row>
    <row r="33" spans="1:27" s="32" customFormat="1">
      <c r="A33" s="237" t="s">
        <v>71</v>
      </c>
      <c r="B33" s="238" t="s">
        <v>112</v>
      </c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39"/>
      <c r="S33" s="239"/>
      <c r="T33" s="239"/>
      <c r="U33" s="239"/>
      <c r="V33" s="239"/>
      <c r="W33" s="239"/>
      <c r="X33" s="239"/>
      <c r="Y33" s="239"/>
      <c r="Z33" s="239"/>
      <c r="AA33" s="240"/>
    </row>
    <row r="34" spans="1:27" s="32" customFormat="1" ht="15" customHeight="1">
      <c r="A34" s="237"/>
      <c r="B34" s="237" t="s">
        <v>68</v>
      </c>
      <c r="C34" s="237" t="s">
        <v>99</v>
      </c>
      <c r="D34" s="243" t="s">
        <v>100</v>
      </c>
      <c r="E34" s="245"/>
      <c r="F34" s="245"/>
      <c r="G34" s="245"/>
      <c r="H34" s="245"/>
      <c r="I34" s="245"/>
      <c r="J34" s="244"/>
      <c r="K34" s="243" t="s">
        <v>97</v>
      </c>
      <c r="L34" s="245"/>
      <c r="M34" s="244"/>
      <c r="N34" s="243" t="s">
        <v>116</v>
      </c>
      <c r="O34" s="244"/>
      <c r="P34" s="237" t="s">
        <v>69</v>
      </c>
      <c r="Q34" s="237"/>
      <c r="R34" s="237"/>
      <c r="S34" s="237"/>
      <c r="T34" s="237"/>
      <c r="U34" s="237"/>
      <c r="V34" s="241" t="s">
        <v>107</v>
      </c>
      <c r="W34" s="237" t="s">
        <v>109</v>
      </c>
      <c r="X34" s="237" t="s">
        <v>108</v>
      </c>
      <c r="Y34" s="54" t="s">
        <v>110</v>
      </c>
      <c r="Z34" s="237" t="s">
        <v>160</v>
      </c>
      <c r="AA34" s="237" t="s">
        <v>111</v>
      </c>
    </row>
    <row r="35" spans="1:27" s="32" customFormat="1" ht="31.5">
      <c r="A35" s="237"/>
      <c r="B35" s="237"/>
      <c r="C35" s="237"/>
      <c r="D35" s="57" t="s">
        <v>101</v>
      </c>
      <c r="E35" s="57" t="s">
        <v>102</v>
      </c>
      <c r="F35" s="57" t="s">
        <v>106</v>
      </c>
      <c r="G35" s="57" t="s">
        <v>103</v>
      </c>
      <c r="H35" s="57" t="s">
        <v>104</v>
      </c>
      <c r="I35" s="57" t="s">
        <v>105</v>
      </c>
      <c r="J35" s="57" t="s">
        <v>159</v>
      </c>
      <c r="K35" s="33" t="s">
        <v>70</v>
      </c>
      <c r="L35" s="33" t="s">
        <v>98</v>
      </c>
      <c r="M35" s="54" t="s">
        <v>152</v>
      </c>
      <c r="N35" s="33" t="s">
        <v>70</v>
      </c>
      <c r="O35" s="33" t="s">
        <v>117</v>
      </c>
      <c r="P35" s="33" t="s">
        <v>101</v>
      </c>
      <c r="Q35" s="33" t="s">
        <v>102</v>
      </c>
      <c r="R35" s="33" t="s">
        <v>106</v>
      </c>
      <c r="S35" s="33" t="s">
        <v>103</v>
      </c>
      <c r="T35" s="33" t="s">
        <v>104</v>
      </c>
      <c r="U35" s="33" t="s">
        <v>105</v>
      </c>
      <c r="V35" s="242"/>
      <c r="W35" s="237"/>
      <c r="X35" s="237"/>
      <c r="Y35" s="33" t="s">
        <v>101</v>
      </c>
      <c r="Z35" s="237"/>
      <c r="AA35" s="237"/>
    </row>
    <row r="36" spans="1:27">
      <c r="A36" s="3">
        <v>2010</v>
      </c>
      <c r="B36" s="35">
        <v>6483802</v>
      </c>
      <c r="C36" s="36">
        <v>4762954</v>
      </c>
      <c r="D36" s="28">
        <v>193410</v>
      </c>
      <c r="E36" s="28">
        <v>4914668.5854779789</v>
      </c>
      <c r="F36" s="28">
        <v>106</v>
      </c>
      <c r="G36" s="28">
        <v>8422.5</v>
      </c>
      <c r="H36" s="28">
        <v>169509</v>
      </c>
      <c r="I36" s="28">
        <v>58697</v>
      </c>
      <c r="J36" s="28">
        <v>82900000</v>
      </c>
      <c r="K36" s="28">
        <v>3323160347.6330194</v>
      </c>
      <c r="L36" s="28">
        <v>1162538442.6330683</v>
      </c>
      <c r="M36" s="28">
        <f>L36*TechnicalInputs!$D$16</f>
        <v>930030754.10645473</v>
      </c>
      <c r="N36" s="38">
        <v>3.4326274379999999</v>
      </c>
      <c r="O36" s="38">
        <v>3.6616922719999998</v>
      </c>
      <c r="P36" s="28">
        <v>416685500</v>
      </c>
      <c r="Q36" s="28">
        <v>66209988933.066185</v>
      </c>
      <c r="R36" s="28">
        <v>0</v>
      </c>
      <c r="S36" s="28">
        <v>143945900</v>
      </c>
      <c r="T36" s="28">
        <v>2856189700</v>
      </c>
      <c r="U36" s="28">
        <v>6060880000</v>
      </c>
      <c r="V36" s="39">
        <v>237698014.83858031</v>
      </c>
      <c r="W36" s="28">
        <v>6548216</v>
      </c>
      <c r="X36" s="39">
        <v>75463217000</v>
      </c>
      <c r="Y36" s="39">
        <v>0</v>
      </c>
      <c r="Z36" s="39">
        <v>41255353.333333336</v>
      </c>
      <c r="AA36" s="39">
        <v>624012071</v>
      </c>
    </row>
    <row r="37" spans="1:27">
      <c r="A37" s="3">
        <f>A36+1</f>
        <v>2011</v>
      </c>
      <c r="B37" s="36">
        <v>6516922</v>
      </c>
      <c r="C37" s="36">
        <v>4727568</v>
      </c>
      <c r="D37" s="28">
        <v>195344.1</v>
      </c>
      <c r="E37" s="28">
        <v>4963815.2713327594</v>
      </c>
      <c r="F37" s="28">
        <v>114</v>
      </c>
      <c r="G37" s="28">
        <v>8506.7250000000004</v>
      </c>
      <c r="H37" s="28">
        <v>170627.75939999995</v>
      </c>
      <c r="I37" s="28">
        <v>59853.330900000001</v>
      </c>
      <c r="J37" s="28">
        <v>89100000</v>
      </c>
      <c r="K37" s="28">
        <v>3126491770.7427502</v>
      </c>
      <c r="L37" s="28">
        <v>1160099842.9069977</v>
      </c>
      <c r="M37" s="28">
        <f>L37*TechnicalInputs!$D$16</f>
        <v>928079874.32559824</v>
      </c>
      <c r="N37" s="38">
        <v>3.4326274379999999</v>
      </c>
      <c r="O37" s="38">
        <v>3.6616922719999998</v>
      </c>
      <c r="P37" s="28">
        <v>416051625</v>
      </c>
      <c r="Q37" s="28">
        <v>66109268229.478111</v>
      </c>
      <c r="R37" s="28">
        <v>2520205.0543314051</v>
      </c>
      <c r="S37" s="28">
        <v>143726925</v>
      </c>
      <c r="T37" s="28">
        <v>2851844775</v>
      </c>
      <c r="U37" s="28">
        <v>6051660000</v>
      </c>
      <c r="V37" s="39">
        <v>262171646.28032887</v>
      </c>
      <c r="W37" s="28">
        <v>6429800</v>
      </c>
      <c r="X37" s="39">
        <v>81112769000</v>
      </c>
      <c r="Y37" s="39">
        <v>0</v>
      </c>
      <c r="Z37" s="39">
        <v>45063790</v>
      </c>
      <c r="AA37" s="39">
        <v>621200578</v>
      </c>
    </row>
    <row r="38" spans="1:27">
      <c r="A38" s="3">
        <f>A37+1</f>
        <v>2012</v>
      </c>
      <c r="B38" s="36">
        <v>6537334</v>
      </c>
      <c r="C38" s="36">
        <v>4634787</v>
      </c>
      <c r="D38" s="28">
        <v>197297.541</v>
      </c>
      <c r="E38" s="28">
        <v>5010399.6578110112</v>
      </c>
      <c r="F38" s="28">
        <v>181</v>
      </c>
      <c r="G38" s="28">
        <v>8591.7922500000004</v>
      </c>
      <c r="H38" s="28">
        <v>171753.90261203996</v>
      </c>
      <c r="I38" s="28">
        <v>61032.441518730004</v>
      </c>
      <c r="J38" s="28">
        <v>90900000</v>
      </c>
      <c r="K38" s="28">
        <v>3070721595.6390829</v>
      </c>
      <c r="L38" s="28">
        <v>1158111177.5809865</v>
      </c>
      <c r="M38" s="28">
        <f>L38*TechnicalInputs!$D$16</f>
        <v>926488942.0647893</v>
      </c>
      <c r="N38" s="38">
        <v>3.47325054</v>
      </c>
      <c r="O38" s="38">
        <v>3.7147603359999994</v>
      </c>
      <c r="P38" s="28">
        <v>415417750</v>
      </c>
      <c r="Q38" s="28">
        <v>65968340774.852097</v>
      </c>
      <c r="R38" s="28">
        <v>5229883.1696011899</v>
      </c>
      <c r="S38" s="28">
        <v>143507950</v>
      </c>
      <c r="T38" s="28">
        <v>2847499850</v>
      </c>
      <c r="U38" s="28">
        <v>6042440000</v>
      </c>
      <c r="V38" s="39">
        <v>280331361.54000401</v>
      </c>
      <c r="W38" s="28">
        <v>5519876</v>
      </c>
      <c r="X38" s="39">
        <v>86221792000</v>
      </c>
      <c r="Y38" s="39">
        <v>0</v>
      </c>
      <c r="Z38" s="39">
        <v>53639630</v>
      </c>
      <c r="AA38" s="39">
        <v>650673897</v>
      </c>
    </row>
    <row r="39" spans="1:27">
      <c r="A39" s="3">
        <f>A38+1</f>
        <v>2013</v>
      </c>
      <c r="B39" s="36">
        <v>6570713</v>
      </c>
      <c r="C39" s="36">
        <v>4579439</v>
      </c>
      <c r="D39" s="28">
        <v>199270.51641000001</v>
      </c>
      <c r="E39" s="28">
        <v>5069713.2174608633</v>
      </c>
      <c r="F39" s="28">
        <v>379</v>
      </c>
      <c r="G39" s="28">
        <v>8677.7101725000011</v>
      </c>
      <c r="H39" s="28">
        <v>172887.47836927942</v>
      </c>
      <c r="I39" s="28">
        <v>62234.78061664899</v>
      </c>
      <c r="J39" s="28">
        <v>92800000</v>
      </c>
      <c r="K39" s="28">
        <v>3054744062.5489893</v>
      </c>
      <c r="L39" s="28">
        <v>1180148397.0848982</v>
      </c>
      <c r="M39" s="28">
        <f>L39*TechnicalInputs!$D$16</f>
        <v>944118717.66791868</v>
      </c>
      <c r="N39" s="38">
        <v>3.36356886</v>
      </c>
      <c r="O39" s="38">
        <v>3.6524630660000001</v>
      </c>
      <c r="P39" s="28">
        <v>419571927.5</v>
      </c>
      <c r="Q39" s="28">
        <v>66749279898.031837</v>
      </c>
      <c r="R39" s="28">
        <v>8428057.4681599848</v>
      </c>
      <c r="S39" s="28">
        <v>144943029.5</v>
      </c>
      <c r="T39" s="28">
        <v>2866293349.0099998</v>
      </c>
      <c r="U39" s="28">
        <v>6161476068</v>
      </c>
      <c r="V39" s="39">
        <v>264768397.83436936</v>
      </c>
      <c r="W39" s="28">
        <v>5492012</v>
      </c>
      <c r="X39" s="39">
        <v>89720902000</v>
      </c>
      <c r="Y39" s="39">
        <v>23699688969.945053</v>
      </c>
      <c r="Z39" s="39">
        <v>53749413.333333336</v>
      </c>
      <c r="AA39" s="39">
        <v>653996175.4713099</v>
      </c>
    </row>
    <row r="40" spans="1:27">
      <c r="A40" s="3">
        <f>A39+1</f>
        <v>2014</v>
      </c>
      <c r="B40" s="37">
        <v>6596855</v>
      </c>
      <c r="C40" s="36">
        <v>4563231</v>
      </c>
      <c r="D40" s="28">
        <v>201263.22157410003</v>
      </c>
      <c r="E40" s="28">
        <v>5120100.772731971</v>
      </c>
      <c r="F40" s="28">
        <v>582</v>
      </c>
      <c r="G40" s="28">
        <v>8764.4872742250009</v>
      </c>
      <c r="H40" s="28">
        <v>174028.53572651668</v>
      </c>
      <c r="I40" s="28">
        <v>63460.805794796979</v>
      </c>
      <c r="J40" s="28">
        <v>96100000</v>
      </c>
      <c r="K40" s="28">
        <v>3031687719.9218755</v>
      </c>
      <c r="L40" s="28">
        <v>1191736558.220331</v>
      </c>
      <c r="M40" s="28">
        <f>L40*TechnicalInputs!$D$16</f>
        <v>953389246.57626486</v>
      </c>
      <c r="N40" s="38">
        <v>3.184828488</v>
      </c>
      <c r="O40" s="38">
        <v>3.4678784280000001</v>
      </c>
      <c r="P40" s="28">
        <v>423767646.77499998</v>
      </c>
      <c r="Q40" s="28">
        <v>67412696719.832497</v>
      </c>
      <c r="R40" s="28">
        <v>12588315.222503254</v>
      </c>
      <c r="S40" s="28">
        <v>146392459.79499999</v>
      </c>
      <c r="T40" s="28">
        <v>2885210885.1134658</v>
      </c>
      <c r="U40" s="28">
        <v>6282857146.5395994</v>
      </c>
      <c r="V40" s="39">
        <v>313597854.42149591</v>
      </c>
      <c r="W40" s="28">
        <v>5459060</v>
      </c>
      <c r="X40" s="39">
        <v>91929139000</v>
      </c>
      <c r="Y40" s="39">
        <v>25186078523.433437</v>
      </c>
      <c r="Z40" s="39">
        <v>61238700</v>
      </c>
      <c r="AA40" s="39">
        <v>656598140.89259231</v>
      </c>
    </row>
    <row r="41" spans="1:27">
      <c r="A41" s="3">
        <f>A40+1</f>
        <v>2015</v>
      </c>
      <c r="B41" s="35">
        <v>6688049</v>
      </c>
      <c r="C41" s="28">
        <v>4628129.9079999998</v>
      </c>
      <c r="D41" s="28">
        <v>203275.85378984103</v>
      </c>
      <c r="E41" s="28">
        <v>5170884.7270039385</v>
      </c>
      <c r="F41" s="28">
        <v>1382.7168999351561</v>
      </c>
      <c r="G41" s="28">
        <v>8852.1321469672512</v>
      </c>
      <c r="H41" s="28">
        <v>175177.12406231163</v>
      </c>
      <c r="I41" s="28">
        <v>64710.983668954475</v>
      </c>
      <c r="J41" s="28">
        <v>94748446.181286544</v>
      </c>
      <c r="K41" s="28">
        <v>2917679864.2568655</v>
      </c>
      <c r="L41" s="28">
        <v>1201293313.3255191</v>
      </c>
      <c r="M41" s="28">
        <f>L41*TechnicalInputs!$D$16</f>
        <v>961034650.66041529</v>
      </c>
      <c r="N41" s="38">
        <v>2.9766796499999999</v>
      </c>
      <c r="O41" s="38">
        <v>3.3017033804999998</v>
      </c>
      <c r="P41" s="28">
        <v>428005323.24274999</v>
      </c>
      <c r="Q41" s="28">
        <v>68081332643.13353</v>
      </c>
      <c r="R41" s="28">
        <v>18205242.272026967</v>
      </c>
      <c r="S41" s="28">
        <v>147856384.39295</v>
      </c>
      <c r="T41" s="28">
        <v>2904253276.955214</v>
      </c>
      <c r="U41" s="28">
        <v>6406629432.3264294</v>
      </c>
      <c r="V41" s="39">
        <v>325881311.9406864</v>
      </c>
      <c r="W41" s="28">
        <v>5500843.0267771417</v>
      </c>
      <c r="X41" s="39">
        <v>95205426000</v>
      </c>
      <c r="Y41" s="39">
        <v>26374661215.463669</v>
      </c>
      <c r="Z41" s="39">
        <v>64154342.498143569</v>
      </c>
      <c r="AA41" s="39">
        <v>665674861.67250323</v>
      </c>
    </row>
    <row r="42" spans="1:27">
      <c r="A42" s="3">
        <f t="shared" ref="A42:A61" si="2">A41+1</f>
        <v>2016</v>
      </c>
      <c r="B42" s="34">
        <v>6728852.0826461725</v>
      </c>
      <c r="C42" s="28">
        <v>4656365.641191151</v>
      </c>
      <c r="D42" s="28">
        <v>205308.61232773945</v>
      </c>
      <c r="E42" s="28">
        <v>5222247.1655888865</v>
      </c>
      <c r="F42" s="28">
        <v>1742.9527540253475</v>
      </c>
      <c r="G42" s="28">
        <v>8940.6534684369235</v>
      </c>
      <c r="H42" s="28">
        <v>176333.29308112292</v>
      </c>
      <c r="I42" s="28">
        <v>65985.790047232891</v>
      </c>
      <c r="J42" s="28">
        <v>95417331.645059913</v>
      </c>
      <c r="K42" s="28">
        <v>2896405221.5885086</v>
      </c>
      <c r="L42" s="28">
        <v>1211203952.7380965</v>
      </c>
      <c r="M42" s="28">
        <f>L42*TechnicalInputs!$D$16</f>
        <v>968963162.19047725</v>
      </c>
      <c r="N42" s="38">
        <v>2.8737574860000001</v>
      </c>
      <c r="O42" s="38">
        <v>3.2545656395</v>
      </c>
      <c r="P42" s="28">
        <v>432285376.47517747</v>
      </c>
      <c r="Q42" s="28">
        <v>68757585054.718536</v>
      </c>
      <c r="R42" s="28">
        <v>22948209.541066907</v>
      </c>
      <c r="S42" s="28">
        <v>149334948.2368795</v>
      </c>
      <c r="T42" s="28">
        <v>2923421348.5831184</v>
      </c>
      <c r="U42" s="28">
        <v>6532840032.14326</v>
      </c>
      <c r="V42" s="39">
        <v>336066216.49471223</v>
      </c>
      <c r="W42" s="28">
        <v>5565161.0619570594</v>
      </c>
      <c r="X42" s="39">
        <v>98994412000</v>
      </c>
      <c r="Y42" s="39">
        <v>27665150619.342133</v>
      </c>
      <c r="Z42" s="39">
        <v>66341437.59844055</v>
      </c>
      <c r="AA42" s="39">
        <v>669736073.90290141</v>
      </c>
    </row>
    <row r="43" spans="1:27">
      <c r="A43" s="3">
        <f t="shared" si="2"/>
        <v>2017</v>
      </c>
      <c r="B43" s="34">
        <v>6769904.100602692</v>
      </c>
      <c r="C43" s="28">
        <v>4684773.6376170628</v>
      </c>
      <c r="D43" s="28">
        <v>207361.69845101685</v>
      </c>
      <c r="E43" s="28">
        <v>5274147.3086424097</v>
      </c>
      <c r="F43" s="28">
        <v>2082.7108839321882</v>
      </c>
      <c r="G43" s="28">
        <v>9030.0600031212925</v>
      </c>
      <c r="H43" s="28">
        <v>177497.09281545828</v>
      </c>
      <c r="I43" s="28">
        <v>67285.710111163382</v>
      </c>
      <c r="J43" s="28">
        <v>96165572.479166165</v>
      </c>
      <c r="K43" s="28">
        <v>2863462909.5483313</v>
      </c>
      <c r="L43" s="28">
        <v>1217085875.7327056</v>
      </c>
      <c r="M43" s="28">
        <f>L43*TechnicalInputs!$D$16</f>
        <v>973668700.58616447</v>
      </c>
      <c r="N43" s="38">
        <v>2.8317264840000003</v>
      </c>
      <c r="O43" s="38">
        <v>3.2552696014999998</v>
      </c>
      <c r="P43" s="28">
        <v>436608230.23992926</v>
      </c>
      <c r="Q43" s="28">
        <v>69440917035.607681</v>
      </c>
      <c r="R43" s="28">
        <v>27421561.294511199</v>
      </c>
      <c r="S43" s="28">
        <v>150828297.71924829</v>
      </c>
      <c r="T43" s="28">
        <v>2942715929.483767</v>
      </c>
      <c r="U43" s="28">
        <v>6661536980.7764845</v>
      </c>
      <c r="V43" s="39">
        <v>346569434.11847764</v>
      </c>
      <c r="W43" s="28">
        <v>5630325.4540201817</v>
      </c>
      <c r="X43" s="39">
        <v>102539266000</v>
      </c>
      <c r="Y43" s="39">
        <v>28013197318.610371</v>
      </c>
      <c r="Z43" s="39">
        <v>68888447.028759629</v>
      </c>
      <c r="AA43" s="39">
        <v>673822063.16144049</v>
      </c>
    </row>
    <row r="44" spans="1:27">
      <c r="A44" s="3">
        <f t="shared" si="2"/>
        <v>2018</v>
      </c>
      <c r="B44" s="34">
        <v>6811206.5725976722</v>
      </c>
      <c r="C44" s="28">
        <v>4713354.9482375886</v>
      </c>
      <c r="D44" s="28">
        <v>209435.31543552704</v>
      </c>
      <c r="E44" s="28">
        <v>5326503.8714867225</v>
      </c>
      <c r="F44" s="28">
        <v>2488.4482348822057</v>
      </c>
      <c r="G44" s="28">
        <v>9120.3606031525051</v>
      </c>
      <c r="H44" s="28">
        <v>178668.57362804032</v>
      </c>
      <c r="I44" s="28">
        <v>68611.238600353303</v>
      </c>
      <c r="J44" s="28">
        <v>96564181.870536759</v>
      </c>
      <c r="K44" s="28">
        <v>2828747442.2511139</v>
      </c>
      <c r="L44" s="28">
        <v>1224297124.4968691</v>
      </c>
      <c r="M44" s="28">
        <f>L44*TechnicalInputs!$D$16</f>
        <v>979437699.59749532</v>
      </c>
      <c r="N44" s="38">
        <v>2.8248474960000003</v>
      </c>
      <c r="O44" s="38">
        <v>3.2887879569999998</v>
      </c>
      <c r="P44" s="28">
        <v>440974312.54232854</v>
      </c>
      <c r="Q44" s="28">
        <v>70130258368.714554</v>
      </c>
      <c r="R44" s="28">
        <v>32763614.156670153</v>
      </c>
      <c r="S44" s="28">
        <v>152336580.69644079</v>
      </c>
      <c r="T44" s="28">
        <v>2962137854.6183596</v>
      </c>
      <c r="U44" s="28">
        <v>6792769259.297781</v>
      </c>
      <c r="V44" s="39">
        <v>357400913.18310684</v>
      </c>
      <c r="W44" s="28">
        <v>5696348.7996432781</v>
      </c>
      <c r="X44" s="39">
        <v>106231686000</v>
      </c>
      <c r="Y44" s="39">
        <v>27943499295.931656</v>
      </c>
      <c r="Z44" s="39">
        <v>71333241.190216526</v>
      </c>
      <c r="AA44" s="39">
        <v>677932980.61015987</v>
      </c>
    </row>
    <row r="45" spans="1:27">
      <c r="A45" s="3">
        <f t="shared" si="2"/>
        <v>2019</v>
      </c>
      <c r="B45" s="34">
        <v>6852761.0266248267</v>
      </c>
      <c r="C45" s="28">
        <v>4742110.6304243794</v>
      </c>
      <c r="D45" s="28">
        <v>211529.66858988232</v>
      </c>
      <c r="E45" s="28">
        <v>5379422.9931743992</v>
      </c>
      <c r="F45" s="28">
        <v>2859.2497444218025</v>
      </c>
      <c r="G45" s="28">
        <v>9211.5642091840309</v>
      </c>
      <c r="H45" s="28">
        <v>179847.78621398538</v>
      </c>
      <c r="I45" s="28">
        <v>69962.880000780264</v>
      </c>
      <c r="J45" s="28">
        <v>96916039.950240821</v>
      </c>
      <c r="K45" s="28">
        <v>2792728606.3637867</v>
      </c>
      <c r="L45" s="28">
        <v>1234228470.0114279</v>
      </c>
      <c r="M45" s="28">
        <f>L45*TechnicalInputs!$D$16</f>
        <v>987382776.0091424</v>
      </c>
      <c r="N45" s="38">
        <v>2.8337001660000003</v>
      </c>
      <c r="O45" s="38">
        <v>3.3600651455000001</v>
      </c>
      <c r="P45" s="28">
        <v>445384055.66775185</v>
      </c>
      <c r="Q45" s="28">
        <v>70827006510.862503</v>
      </c>
      <c r="R45" s="28">
        <v>37645691.837436289</v>
      </c>
      <c r="S45" s="28">
        <v>153859946.50340518</v>
      </c>
      <c r="T45" s="28">
        <v>2981687964.4588408</v>
      </c>
      <c r="U45" s="28">
        <v>6926586813.7059479</v>
      </c>
      <c r="V45" s="39">
        <v>368570912.98031569</v>
      </c>
      <c r="W45" s="28">
        <v>5763243.9037536308</v>
      </c>
      <c r="X45" s="39">
        <v>110267145000</v>
      </c>
      <c r="Y45" s="39">
        <v>28075961164.626144</v>
      </c>
      <c r="Z45" s="39">
        <v>73333623.335636824</v>
      </c>
      <c r="AA45" s="39">
        <v>682068978.33332288</v>
      </c>
    </row>
    <row r="46" spans="1:27">
      <c r="A46" s="3">
        <f t="shared" si="2"/>
        <v>2020</v>
      </c>
      <c r="B46" s="35">
        <v>6894569</v>
      </c>
      <c r="C46" s="28">
        <v>4771041.7479999997</v>
      </c>
      <c r="D46" s="28">
        <v>213644.96527578114</v>
      </c>
      <c r="E46" s="28">
        <v>5432892.4069822878</v>
      </c>
      <c r="F46" s="28">
        <v>3212.658365720883</v>
      </c>
      <c r="G46" s="28">
        <v>9303.6798512758705</v>
      </c>
      <c r="H46" s="28">
        <v>181034.78160299765</v>
      </c>
      <c r="I46" s="28">
        <v>71341.148736795643</v>
      </c>
      <c r="J46" s="28">
        <v>97230962.06627664</v>
      </c>
      <c r="K46" s="28">
        <v>2754642365.6786895</v>
      </c>
      <c r="L46" s="28">
        <v>1245273730.3751051</v>
      </c>
      <c r="M46" s="28">
        <f>L46*TechnicalInputs!$D$16</f>
        <v>996218984.30008411</v>
      </c>
      <c r="N46" s="38">
        <v>2.8746523859999997</v>
      </c>
      <c r="O46" s="38">
        <v>3.4178244764999999</v>
      </c>
      <c r="P46" s="28">
        <v>449837896.22442937</v>
      </c>
      <c r="Q46" s="28">
        <v>71530999954.900726</v>
      </c>
      <c r="R46" s="28">
        <v>42298769.826199226</v>
      </c>
      <c r="S46" s="28">
        <v>155398545.96843925</v>
      </c>
      <c r="T46" s="28">
        <v>3001367105.0242691</v>
      </c>
      <c r="U46" s="28">
        <v>7063040573.9359531</v>
      </c>
      <c r="V46" s="39">
        <v>380090013.4397428</v>
      </c>
      <c r="W46" s="28">
        <v>5831023.7832381744</v>
      </c>
      <c r="X46" s="39">
        <v>114279158000</v>
      </c>
      <c r="Y46" s="39">
        <v>28306195992.230606</v>
      </c>
      <c r="Z46" s="39">
        <v>75151511.927123174</v>
      </c>
      <c r="AA46" s="39">
        <v>686230209.34304285</v>
      </c>
    </row>
    <row r="47" spans="1:27">
      <c r="A47" s="3">
        <f t="shared" si="2"/>
        <v>2021</v>
      </c>
      <c r="B47" s="34">
        <v>6935380.1824488426</v>
      </c>
      <c r="C47" s="28">
        <v>4799283.0862545986</v>
      </c>
      <c r="D47" s="28">
        <v>215781.41492853896</v>
      </c>
      <c r="E47" s="28">
        <v>5486899.3869893709</v>
      </c>
      <c r="F47" s="28">
        <v>3566.7290121177211</v>
      </c>
      <c r="G47" s="28">
        <v>9396.7166497886301</v>
      </c>
      <c r="H47" s="28">
        <v>182229.61116157746</v>
      </c>
      <c r="I47" s="28">
        <v>72746.569366910509</v>
      </c>
      <c r="J47" s="28">
        <v>97515966.152356729</v>
      </c>
      <c r="K47" s="28">
        <v>2711898049.5140886</v>
      </c>
      <c r="L47" s="28">
        <v>1257435031.1185977</v>
      </c>
      <c r="M47" s="28">
        <f>L47*TechnicalInputs!$D$16</f>
        <v>1005948024.8948783</v>
      </c>
      <c r="N47" s="38">
        <v>2.9113698480000001</v>
      </c>
      <c r="O47" s="38">
        <v>3.483640909</v>
      </c>
      <c r="P47" s="28">
        <v>454336275.18667364</v>
      </c>
      <c r="Q47" s="28">
        <v>72242071147.749344</v>
      </c>
      <c r="R47" s="28">
        <v>46960564.22485505</v>
      </c>
      <c r="S47" s="28">
        <v>156952531.42812365</v>
      </c>
      <c r="T47" s="28">
        <v>3021176127.917429</v>
      </c>
      <c r="U47" s="28">
        <v>7202182473.2424917</v>
      </c>
      <c r="V47" s="39">
        <v>391898386.31328863</v>
      </c>
      <c r="W47" s="28">
        <v>5899701.6707218904</v>
      </c>
      <c r="X47" s="39">
        <v>118176580000</v>
      </c>
      <c r="Y47" s="39">
        <v>28662171667.816147</v>
      </c>
      <c r="Z47" s="39">
        <v>76797726.496682703</v>
      </c>
      <c r="AA47" s="39">
        <v>690292227.76296246</v>
      </c>
    </row>
    <row r="48" spans="1:27">
      <c r="A48" s="3">
        <f t="shared" si="2"/>
        <v>2022</v>
      </c>
      <c r="B48" s="34">
        <v>6976432.939478036</v>
      </c>
      <c r="C48" s="28">
        <v>4827691.5941188009</v>
      </c>
      <c r="D48" s="28">
        <v>217939.22907782436</v>
      </c>
      <c r="E48" s="28">
        <v>5541421.2023889655</v>
      </c>
      <c r="F48" s="28">
        <v>3949.5747725386173</v>
      </c>
      <c r="G48" s="28">
        <v>9490.683816286517</v>
      </c>
      <c r="H48" s="28">
        <v>183432.32659524382</v>
      </c>
      <c r="I48" s="28">
        <v>74179.676783438656</v>
      </c>
      <c r="J48" s="28">
        <v>97776243.532790825</v>
      </c>
      <c r="K48" s="28">
        <v>2665068181.7288957</v>
      </c>
      <c r="L48" s="28">
        <v>1270907561.6156631</v>
      </c>
      <c r="M48" s="28">
        <f>L48*TechnicalInputs!$D$16</f>
        <v>1016726049.2925305</v>
      </c>
      <c r="N48" s="38">
        <v>2.9413499099999996</v>
      </c>
      <c r="O48" s="38">
        <v>3.5540338714999997</v>
      </c>
      <c r="P48" s="28">
        <v>458879637.9385404</v>
      </c>
      <c r="Q48" s="28">
        <v>72959920809.170441</v>
      </c>
      <c r="R48" s="28">
        <v>52001219.923528433</v>
      </c>
      <c r="S48" s="28">
        <v>158522056.74240488</v>
      </c>
      <c r="T48" s="28">
        <v>3041115890.3616838</v>
      </c>
      <c r="U48" s="28">
        <v>7344065467.9653702</v>
      </c>
      <c r="V48" s="39">
        <v>404073613.52393949</v>
      </c>
      <c r="W48" s="28">
        <v>5969291.0184166366</v>
      </c>
      <c r="X48" s="39">
        <v>122315379000</v>
      </c>
      <c r="Y48" s="39">
        <v>29046857588.27898</v>
      </c>
      <c r="Z48" s="39">
        <v>78303857.705853537</v>
      </c>
      <c r="AA48" s="39">
        <v>694378290.58287942</v>
      </c>
    </row>
    <row r="49" spans="1:27">
      <c r="A49" s="3">
        <f t="shared" si="2"/>
        <v>2023</v>
      </c>
      <c r="B49" s="34">
        <v>7017728.7010456054</v>
      </c>
      <c r="C49" s="28">
        <v>4856268.2611235585</v>
      </c>
      <c r="D49" s="28">
        <v>220118.62136860262</v>
      </c>
      <c r="E49" s="28">
        <v>5596467.0336460629</v>
      </c>
      <c r="F49" s="28">
        <v>4357.4512870563194</v>
      </c>
      <c r="G49" s="28">
        <v>9585.5906544493828</v>
      </c>
      <c r="H49" s="28">
        <v>184642.97995077242</v>
      </c>
      <c r="I49" s="28">
        <v>75641.016416072394</v>
      </c>
      <c r="J49" s="28">
        <v>98015742.216549546</v>
      </c>
      <c r="K49" s="28">
        <v>2614691084.8068686</v>
      </c>
      <c r="L49" s="28">
        <v>1285805868.6411619</v>
      </c>
      <c r="M49" s="28">
        <f>L49*TechnicalInputs!$D$16</f>
        <v>1028644694.9129295</v>
      </c>
      <c r="N49" s="38">
        <v>2.9884639440000003</v>
      </c>
      <c r="O49" s="38">
        <v>3.6032557855</v>
      </c>
      <c r="P49" s="28">
        <v>463468434.31792581</v>
      </c>
      <c r="Q49" s="28">
        <v>73684669811.7659</v>
      </c>
      <c r="R49" s="28">
        <v>57371437.618988097</v>
      </c>
      <c r="S49" s="28">
        <v>160107277.30982894</v>
      </c>
      <c r="T49" s="28">
        <v>3061187255.2380705</v>
      </c>
      <c r="U49" s="28">
        <v>7488743557.684289</v>
      </c>
      <c r="V49" s="39">
        <v>416627092.24775803</v>
      </c>
      <c r="W49" s="28">
        <v>6039805.5020418568</v>
      </c>
      <c r="X49" s="39">
        <v>126856676000</v>
      </c>
      <c r="Y49" s="39">
        <v>29459019899.1077</v>
      </c>
      <c r="Z49" s="39">
        <v>79691471.796481475</v>
      </c>
      <c r="AA49" s="39">
        <v>698488540.12936926</v>
      </c>
    </row>
    <row r="50" spans="1:27">
      <c r="A50" s="3">
        <f t="shared" si="2"/>
        <v>2024</v>
      </c>
      <c r="B50" s="34">
        <v>7059268.9055739604</v>
      </c>
      <c r="C50" s="28">
        <v>4885014.0826571798</v>
      </c>
      <c r="D50" s="28">
        <v>222319.80758228863</v>
      </c>
      <c r="E50" s="28">
        <v>5652013.0827127481</v>
      </c>
      <c r="F50" s="28">
        <v>4819.6470697028562</v>
      </c>
      <c r="G50" s="28">
        <v>9681.4465609938761</v>
      </c>
      <c r="H50" s="28">
        <v>185861.62361844751</v>
      </c>
      <c r="I50" s="28">
        <v>77131.144439469019</v>
      </c>
      <c r="J50" s="28">
        <v>98237534.574385151</v>
      </c>
      <c r="K50" s="28">
        <v>2560767475.1847768</v>
      </c>
      <c r="L50" s="28">
        <v>1301956201.3763971</v>
      </c>
      <c r="M50" s="28">
        <f>L50*TechnicalInputs!$D$16</f>
        <v>1041564961.1011177</v>
      </c>
      <c r="N50" s="38">
        <v>3.0247099020000001</v>
      </c>
      <c r="O50" s="38">
        <v>3.6485752170000003</v>
      </c>
      <c r="P50" s="28">
        <v>468103118.6611051</v>
      </c>
      <c r="Q50" s="28">
        <v>74416004823.697586</v>
      </c>
      <c r="R50" s="28">
        <v>63456838.181170359</v>
      </c>
      <c r="S50" s="28">
        <v>161708350.08292723</v>
      </c>
      <c r="T50" s="28">
        <v>3081391091.1226416</v>
      </c>
      <c r="U50" s="28">
        <v>7636271805.770668</v>
      </c>
      <c r="V50" s="39">
        <v>429570573.74036682</v>
      </c>
      <c r="W50" s="28">
        <v>6111259.024818508</v>
      </c>
      <c r="X50" s="39">
        <v>131623193000</v>
      </c>
      <c r="Y50" s="39">
        <v>29924678589.160797</v>
      </c>
      <c r="Z50" s="39">
        <v>80977770.202317223</v>
      </c>
      <c r="AA50" s="39">
        <v>702623119.57148468</v>
      </c>
    </row>
    <row r="51" spans="1:27">
      <c r="A51" s="3">
        <f t="shared" si="2"/>
        <v>2025</v>
      </c>
      <c r="B51" s="35">
        <v>7101055</v>
      </c>
      <c r="C51" s="28">
        <v>4913930.0599999996</v>
      </c>
      <c r="D51" s="28">
        <v>224543.00565811151</v>
      </c>
      <c r="E51" s="28">
        <v>5708033.9207105776</v>
      </c>
      <c r="F51" s="28">
        <v>5367.1363696977496</v>
      </c>
      <c r="G51" s="28">
        <v>9778.2610266038155</v>
      </c>
      <c r="H51" s="28">
        <v>187088.31033432926</v>
      </c>
      <c r="I51" s="28">
        <v>78650.62798492657</v>
      </c>
      <c r="J51" s="28">
        <v>98444058.459106848</v>
      </c>
      <c r="K51" s="28">
        <v>2504121543.1520319</v>
      </c>
      <c r="L51" s="28">
        <v>1319063143.3213499</v>
      </c>
      <c r="M51" s="28">
        <f>L51*TechnicalInputs!$D$16</f>
        <v>1055250514.6570799</v>
      </c>
      <c r="N51" s="38">
        <v>3.0551553120000001</v>
      </c>
      <c r="O51" s="38">
        <v>3.7040794350000001</v>
      </c>
      <c r="P51" s="28">
        <v>472784149.84771615</v>
      </c>
      <c r="Q51" s="28">
        <v>75153591041.150787</v>
      </c>
      <c r="R51" s="28">
        <v>70665237.346762091</v>
      </c>
      <c r="S51" s="28">
        <v>163325433.58375651</v>
      </c>
      <c r="T51" s="28">
        <v>3101728272.3240509</v>
      </c>
      <c r="U51" s="28">
        <v>7786706360.3443508</v>
      </c>
      <c r="V51" s="39">
        <v>442916174.33724624</v>
      </c>
      <c r="W51" s="28">
        <v>6183665.7215376161</v>
      </c>
      <c r="X51" s="39">
        <v>136571049999.99998</v>
      </c>
      <c r="Y51" s="39">
        <v>30878347234.785065</v>
      </c>
      <c r="Z51" s="39">
        <v>82176461.904254764</v>
      </c>
      <c r="AA51" s="39">
        <v>706782172.92574215</v>
      </c>
    </row>
    <row r="52" spans="1:27">
      <c r="A52" s="3">
        <f t="shared" si="2"/>
        <v>2026</v>
      </c>
      <c r="B52" s="34">
        <v>7141886.5243841968</v>
      </c>
      <c r="C52" s="28">
        <v>4942185.4748738641</v>
      </c>
      <c r="D52" s="28">
        <v>226788.43571469263</v>
      </c>
      <c r="E52" s="28">
        <v>5764517.9845888112</v>
      </c>
      <c r="F52" s="28">
        <v>6017.0830622669309</v>
      </c>
      <c r="G52" s="28">
        <v>9876.0436368698538</v>
      </c>
      <c r="H52" s="28">
        <v>188323.09318253581</v>
      </c>
      <c r="I52" s="28">
        <v>80200.045356229617</v>
      </c>
      <c r="J52" s="28">
        <v>98637280.676199034</v>
      </c>
      <c r="K52" s="28">
        <v>2448124572.7619905</v>
      </c>
      <c r="L52" s="28">
        <v>1336840765.6078403</v>
      </c>
      <c r="M52" s="28">
        <f>L52*TechnicalInputs!$D$16</f>
        <v>1069472612.4862723</v>
      </c>
      <c r="N52" s="38">
        <v>3.0795923520000001</v>
      </c>
      <c r="O52" s="38">
        <v>3.7470090735000001</v>
      </c>
      <c r="P52" s="28">
        <v>477511991.34619331</v>
      </c>
      <c r="Q52" s="28">
        <v>75897276221.724915</v>
      </c>
      <c r="R52" s="28">
        <v>79222619.557594091</v>
      </c>
      <c r="S52" s="28">
        <v>164958687.91959408</v>
      </c>
      <c r="T52" s="28">
        <v>3122199678.9213891</v>
      </c>
      <c r="U52" s="28">
        <v>7940104475.643137</v>
      </c>
      <c r="V52" s="39">
        <v>456599545.18789881</v>
      </c>
      <c r="W52" s="28">
        <v>6257039.962704883</v>
      </c>
      <c r="X52" s="39">
        <v>141796972000</v>
      </c>
      <c r="Y52" s="39">
        <v>31809117816.504318</v>
      </c>
      <c r="Z52" s="39">
        <v>83298665.076175258</v>
      </c>
      <c r="AA52" s="39">
        <v>710846216.01907587</v>
      </c>
    </row>
    <row r="53" spans="1:27">
      <c r="A53" s="3">
        <f t="shared" si="2"/>
        <v>2027</v>
      </c>
      <c r="B53" s="34">
        <v>7182952.832667904</v>
      </c>
      <c r="C53" s="28">
        <v>4970603.3602061896</v>
      </c>
      <c r="D53" s="28">
        <v>229056.32007183955</v>
      </c>
      <c r="E53" s="28">
        <v>5821481.690325967</v>
      </c>
      <c r="F53" s="28">
        <v>6758.7280016224831</v>
      </c>
      <c r="G53" s="28">
        <v>9974.8040732385525</v>
      </c>
      <c r="H53" s="28">
        <v>189566.02559754055</v>
      </c>
      <c r="I53" s="28">
        <v>81779.986249747351</v>
      </c>
      <c r="J53" s="28">
        <v>98818810.996317029</v>
      </c>
      <c r="K53" s="28">
        <v>2393808163.7748322</v>
      </c>
      <c r="L53" s="28">
        <v>1355231945.9243481</v>
      </c>
      <c r="M53" s="28">
        <f>L53*TechnicalInputs!$D$16</f>
        <v>1084185556.7394786</v>
      </c>
      <c r="N53" s="38">
        <v>3.1196236800000001</v>
      </c>
      <c r="O53" s="38">
        <v>3.8022677595000003</v>
      </c>
      <c r="P53" s="28">
        <v>482287111.25965524</v>
      </c>
      <c r="Q53" s="28">
        <v>76647276502.84198</v>
      </c>
      <c r="R53" s="28">
        <v>88987326.853359729</v>
      </c>
      <c r="S53" s="28">
        <v>166608274.79879001</v>
      </c>
      <c r="T53" s="28">
        <v>3142806196.8022699</v>
      </c>
      <c r="U53" s="28">
        <v>8096524533.8133059</v>
      </c>
      <c r="V53" s="39">
        <v>470705647.58164001</v>
      </c>
      <c r="W53" s="28">
        <v>6331396.3587628165</v>
      </c>
      <c r="X53" s="39">
        <v>147324390000</v>
      </c>
      <c r="Y53" s="39">
        <v>32629382473.947456</v>
      </c>
      <c r="Z53" s="39">
        <v>84353516.480910987</v>
      </c>
      <c r="AA53" s="39">
        <v>714933627.62239361</v>
      </c>
    </row>
    <row r="54" spans="1:27">
      <c r="A54" s="3">
        <f t="shared" si="2"/>
        <v>2028</v>
      </c>
      <c r="B54" s="34">
        <v>7224255.2748736907</v>
      </c>
      <c r="C54" s="28">
        <v>4999184.6502125934</v>
      </c>
      <c r="D54" s="28">
        <v>231346.88327255796</v>
      </c>
      <c r="E54" s="28">
        <v>5878916.7235516282</v>
      </c>
      <c r="F54" s="28">
        <v>7606.0989592382684</v>
      </c>
      <c r="G54" s="28">
        <v>10074.552113970938</v>
      </c>
      <c r="H54" s="28">
        <v>190817.16136648427</v>
      </c>
      <c r="I54" s="28">
        <v>83391.051978867385</v>
      </c>
      <c r="J54" s="28">
        <v>98989983.641414985</v>
      </c>
      <c r="K54" s="28">
        <v>2341219538.4777017</v>
      </c>
      <c r="L54" s="28">
        <v>1374260827.7226117</v>
      </c>
      <c r="M54" s="28">
        <f>L54*TechnicalInputs!$D$16</f>
        <v>1099408662.1780894</v>
      </c>
      <c r="N54" s="38">
        <v>3.124872012</v>
      </c>
      <c r="O54" s="38">
        <v>3.8342720009999995</v>
      </c>
      <c r="P54" s="28">
        <v>487109982.37225181</v>
      </c>
      <c r="Q54" s="28">
        <v>77403482415.146515</v>
      </c>
      <c r="R54" s="28">
        <v>100144052.84577212</v>
      </c>
      <c r="S54" s="28">
        <v>168274357.5467779</v>
      </c>
      <c r="T54" s="28">
        <v>3163548717.7011652</v>
      </c>
      <c r="U54" s="28">
        <v>8256026067.1294289</v>
      </c>
      <c r="V54" s="39">
        <v>485247541.30903399</v>
      </c>
      <c r="W54" s="28">
        <v>6406749.7643918572</v>
      </c>
      <c r="X54" s="39">
        <v>152930278000</v>
      </c>
      <c r="Y54" s="39">
        <v>33329101710.779106</v>
      </c>
      <c r="Z54" s="39">
        <v>85348614.177206367</v>
      </c>
      <c r="AA54" s="39">
        <v>719044542.10613525</v>
      </c>
    </row>
    <row r="55" spans="1:27">
      <c r="A55" s="3">
        <f t="shared" si="2"/>
        <v>2029</v>
      </c>
      <c r="B55" s="34">
        <v>7265795.2087868443</v>
      </c>
      <c r="C55" s="28">
        <v>5027930.2844804963</v>
      </c>
      <c r="D55" s="28">
        <v>233660.35210528353</v>
      </c>
      <c r="E55" s="28">
        <v>5936853.3664186401</v>
      </c>
      <c r="F55" s="28">
        <v>8534.6843173345551</v>
      </c>
      <c r="G55" s="28">
        <v>10175.297635110648</v>
      </c>
      <c r="H55" s="28">
        <v>192076.55463150307</v>
      </c>
      <c r="I55" s="28">
        <v>85033.85570285107</v>
      </c>
      <c r="J55" s="28">
        <v>99151916.778700233</v>
      </c>
      <c r="K55" s="28">
        <v>2290390692.0555024</v>
      </c>
      <c r="L55" s="28">
        <v>1393842399.2324212</v>
      </c>
      <c r="M55" s="28">
        <f>L55*TechnicalInputs!$D$16</f>
        <v>1115073919.385937</v>
      </c>
      <c r="N55" s="38">
        <v>3.15141486</v>
      </c>
      <c r="O55" s="38">
        <v>3.8776317089999996</v>
      </c>
      <c r="P55" s="28">
        <v>491981082.19597435</v>
      </c>
      <c r="Q55" s="28">
        <v>78166292662.038422</v>
      </c>
      <c r="R55" s="28">
        <v>112370070.63378054</v>
      </c>
      <c r="S55" s="28">
        <v>169957101.1222457</v>
      </c>
      <c r="T55" s="28">
        <v>3184428139.2379923</v>
      </c>
      <c r="U55" s="28">
        <v>8418669780.6518784</v>
      </c>
      <c r="V55" s="39">
        <v>500238689.62741345</v>
      </c>
      <c r="W55" s="28">
        <v>6483115.2828920158</v>
      </c>
      <c r="X55" s="39">
        <v>158777951000</v>
      </c>
      <c r="Y55" s="39">
        <v>33861232096.955307</v>
      </c>
      <c r="Z55" s="39">
        <v>86290343.438675866</v>
      </c>
      <c r="AA55" s="39">
        <v>723179094.61337972</v>
      </c>
    </row>
    <row r="56" spans="1:27">
      <c r="A56" s="3">
        <f t="shared" si="2"/>
        <v>2030</v>
      </c>
      <c r="B56" s="35">
        <v>7307574</v>
      </c>
      <c r="C56" s="28">
        <v>5056841.2079999996</v>
      </c>
      <c r="D56" s="28">
        <v>235996.95562633636</v>
      </c>
      <c r="E56" s="28">
        <v>5995319.9491516333</v>
      </c>
      <c r="F56" s="28">
        <v>9521.9820917015895</v>
      </c>
      <c r="G56" s="28">
        <v>10277.050611461755</v>
      </c>
      <c r="H56" s="28">
        <v>193344.25989207096</v>
      </c>
      <c r="I56" s="28">
        <v>86709.022660197239</v>
      </c>
      <c r="J56" s="28">
        <v>99305556.780168712</v>
      </c>
      <c r="K56" s="28">
        <v>2241309899.9499068</v>
      </c>
      <c r="L56" s="28">
        <v>1414224036.2113824</v>
      </c>
      <c r="M56" s="28">
        <f>L56*TechnicalInputs!$D$16</f>
        <v>1131379228.969106</v>
      </c>
      <c r="N56" s="38">
        <v>3.1807456920000003</v>
      </c>
      <c r="O56" s="38">
        <v>3.9170524155000002</v>
      </c>
      <c r="P56" s="28">
        <v>496900893.01793408</v>
      </c>
      <c r="Q56" s="28">
        <v>78936080247.277924</v>
      </c>
      <c r="R56" s="28">
        <v>125369112.72102611</v>
      </c>
      <c r="S56" s="28">
        <v>171656672.13346815</v>
      </c>
      <c r="T56" s="28">
        <v>3205445364.9569631</v>
      </c>
      <c r="U56" s="28">
        <v>8584517575.3307209</v>
      </c>
      <c r="V56" s="39">
        <v>515692971.7255072</v>
      </c>
      <c r="W56" s="28">
        <v>6560508.2706465786</v>
      </c>
      <c r="X56" s="39">
        <v>164961908000</v>
      </c>
      <c r="Y56" s="39">
        <v>34420679840.114014</v>
      </c>
      <c r="Z56" s="39">
        <v>87184121.014912128</v>
      </c>
      <c r="AA56" s="39">
        <v>727337421.06428671</v>
      </c>
    </row>
    <row r="57" spans="1:27">
      <c r="A57" s="3">
        <f t="shared" si="2"/>
        <v>2031</v>
      </c>
      <c r="B57" s="34">
        <v>7348848.702774033</v>
      </c>
      <c r="C57" s="28">
        <v>5085403.30231963</v>
      </c>
      <c r="D57" s="28">
        <v>238356.92518259972</v>
      </c>
      <c r="E57" s="28">
        <v>6054300.9967961451</v>
      </c>
      <c r="F57" s="28">
        <v>10589.353759623133</v>
      </c>
      <c r="G57" s="28">
        <v>10379.821117576372</v>
      </c>
      <c r="H57" s="28">
        <v>194620.33200735864</v>
      </c>
      <c r="I57" s="28">
        <v>88417.190406603127</v>
      </c>
      <c r="J57" s="28">
        <v>99451711.700892329</v>
      </c>
      <c r="K57" s="28">
        <v>2193989476.2871776</v>
      </c>
      <c r="L57" s="28">
        <v>1435254090.0476081</v>
      </c>
      <c r="M57" s="28">
        <f>L57*TechnicalInputs!$D$16</f>
        <v>1148203272.0380867</v>
      </c>
      <c r="N57" s="38">
        <v>3.21429498</v>
      </c>
      <c r="O57" s="38">
        <v>3.9632405330000005</v>
      </c>
      <c r="P57" s="28">
        <v>501869901.94811344</v>
      </c>
      <c r="Q57" s="28">
        <v>79712641423.232285</v>
      </c>
      <c r="R57" s="28">
        <v>139422430.3666583</v>
      </c>
      <c r="S57" s="28">
        <v>173373238.85480285</v>
      </c>
      <c r="T57" s="28">
        <v>3226601304.3656788</v>
      </c>
      <c r="U57" s="28">
        <v>8753632571.5647354</v>
      </c>
      <c r="V57" s="39">
        <v>531570856.06687611</v>
      </c>
      <c r="W57" s="28">
        <v>6638944.341669444</v>
      </c>
      <c r="X57" s="39">
        <v>171276791000</v>
      </c>
      <c r="Y57" s="39">
        <v>34978155658.183022</v>
      </c>
      <c r="Z57" s="39">
        <v>88034581.027436465</v>
      </c>
      <c r="AA57" s="39">
        <v>731445574.58703721</v>
      </c>
    </row>
    <row r="58" spans="1:27">
      <c r="A58" s="3">
        <f t="shared" si="2"/>
        <v>2032</v>
      </c>
      <c r="B58" s="34">
        <v>7390356.5336818462</v>
      </c>
      <c r="C58" s="28">
        <v>5114126.7213078374</v>
      </c>
      <c r="D58" s="28">
        <v>240740.49443442572</v>
      </c>
      <c r="E58" s="28">
        <v>6113842.643620084</v>
      </c>
      <c r="F58" s="28">
        <v>11696.610441242345</v>
      </c>
      <c r="G58" s="28">
        <v>10483.619328752136</v>
      </c>
      <c r="H58" s="28">
        <v>195904.82619860719</v>
      </c>
      <c r="I58" s="28">
        <v>90159.009057613206</v>
      </c>
      <c r="J58" s="28">
        <v>99591076.981121451</v>
      </c>
      <c r="K58" s="28">
        <v>2148414982.278038</v>
      </c>
      <c r="L58" s="28">
        <v>1456924351.6137486</v>
      </c>
      <c r="M58" s="28">
        <f>L58*TechnicalInputs!$D$16</f>
        <v>1165539481.2909989</v>
      </c>
      <c r="N58" s="38">
        <v>3.2504330939999999</v>
      </c>
      <c r="O58" s="38">
        <v>4.0115604794999999</v>
      </c>
      <c r="P58" s="28">
        <v>506888600.96759456</v>
      </c>
      <c r="Q58" s="28">
        <v>80496583606.737366</v>
      </c>
      <c r="R58" s="28">
        <v>154000885.39755991</v>
      </c>
      <c r="S58" s="28">
        <v>175106971.24335086</v>
      </c>
      <c r="T58" s="28">
        <v>3247896872.9744921</v>
      </c>
      <c r="U58" s="28">
        <v>8926079133.2245617</v>
      </c>
      <c r="V58" s="39">
        <v>547937611.1607672</v>
      </c>
      <c r="W58" s="28">
        <v>6718439.3722376954</v>
      </c>
      <c r="X58" s="39">
        <v>177937545000</v>
      </c>
      <c r="Y58" s="39">
        <v>35533603970.573166</v>
      </c>
      <c r="Z58" s="39">
        <v>88845718.426421195</v>
      </c>
      <c r="AA58" s="39">
        <v>735576931.81810486</v>
      </c>
    </row>
    <row r="59" spans="1:27">
      <c r="A59" s="3">
        <f t="shared" si="2"/>
        <v>2033</v>
      </c>
      <c r="B59" s="34">
        <v>7432098.8094797852</v>
      </c>
      <c r="C59" s="28">
        <v>5143012.3761600107</v>
      </c>
      <c r="D59" s="28">
        <v>243147.89937876997</v>
      </c>
      <c r="E59" s="28">
        <v>6173942.0712672025</v>
      </c>
      <c r="F59" s="28">
        <v>12852.575334737077</v>
      </c>
      <c r="G59" s="28">
        <v>10588.455522039658</v>
      </c>
      <c r="H59" s="28">
        <v>197197.79805151795</v>
      </c>
      <c r="I59" s="28">
        <v>91935.141536048191</v>
      </c>
      <c r="J59" s="28">
        <v>99789618.720984086</v>
      </c>
      <c r="K59" s="28">
        <v>2104125895.2896054</v>
      </c>
      <c r="L59" s="28">
        <v>1479072079.2699256</v>
      </c>
      <c r="M59" s="28">
        <f>L59*TechnicalInputs!$D$16</f>
        <v>1183257663.4159405</v>
      </c>
      <c r="N59" s="38">
        <v>3.289196628</v>
      </c>
      <c r="O59" s="38">
        <v>4.0631891510000004</v>
      </c>
      <c r="P59" s="28">
        <v>511957486.97727054</v>
      </c>
      <c r="Q59" s="28">
        <v>81287869690.516708</v>
      </c>
      <c r="R59" s="28">
        <v>169220646.53956065</v>
      </c>
      <c r="S59" s="28">
        <v>176858040.95578438</v>
      </c>
      <c r="T59" s="28">
        <v>3269332992.3361235</v>
      </c>
      <c r="U59" s="28">
        <v>9101922892.1490841</v>
      </c>
      <c r="V59" s="39">
        <v>564808289.05111384</v>
      </c>
      <c r="W59" s="28">
        <v>6799009.5056110499</v>
      </c>
      <c r="X59" s="39">
        <v>183416137717.76337</v>
      </c>
      <c r="Y59" s="39">
        <v>36026427226.598343</v>
      </c>
      <c r="Z59" s="39">
        <v>90701583.019262746</v>
      </c>
      <c r="AA59" s="39">
        <v>739731623.81687582</v>
      </c>
    </row>
    <row r="60" spans="1:27">
      <c r="A60" s="3">
        <f t="shared" si="2"/>
        <v>2034</v>
      </c>
      <c r="B60" s="34">
        <v>7474076.854361509</v>
      </c>
      <c r="C60" s="28">
        <v>5172061.1832181634</v>
      </c>
      <c r="D60" s="28">
        <v>245579.37837255766</v>
      </c>
      <c r="E60" s="28">
        <v>6234651.8976805601</v>
      </c>
      <c r="F60" s="28">
        <v>14010.695387397893</v>
      </c>
      <c r="G60" s="28">
        <v>10694.340077260054</v>
      </c>
      <c r="H60" s="28">
        <v>198499.30351865798</v>
      </c>
      <c r="I60" s="28">
        <v>93746.263824308335</v>
      </c>
      <c r="J60" s="28">
        <v>99988556.267616391</v>
      </c>
      <c r="K60" s="28">
        <v>2061058009.4667521</v>
      </c>
      <c r="L60" s="28">
        <v>1501940665.8118799</v>
      </c>
      <c r="M60" s="28">
        <f>L60*TechnicalInputs!$D$16</f>
        <v>1201552532.6495039</v>
      </c>
      <c r="N60" s="38">
        <v>3.3310321200000002</v>
      </c>
      <c r="O60" s="38">
        <v>4.1073325930000006</v>
      </c>
      <c r="P60" s="28">
        <v>517077061.84704328</v>
      </c>
      <c r="Q60" s="28">
        <v>82087192457.309357</v>
      </c>
      <c r="R60" s="28">
        <v>184468783.11746246</v>
      </c>
      <c r="S60" s="28">
        <v>178626621.36534223</v>
      </c>
      <c r="T60" s="28">
        <v>3290910590.0855412</v>
      </c>
      <c r="U60" s="28">
        <v>9281230773.1244221</v>
      </c>
      <c r="V60" s="39">
        <v>582198405.22545934</v>
      </c>
      <c r="W60" s="28">
        <v>6880671.1568398513</v>
      </c>
      <c r="X60" s="39">
        <v>189063413094.1929</v>
      </c>
      <c r="Y60" s="39">
        <v>36647101257.708466</v>
      </c>
      <c r="Z60" s="39">
        <v>92596214.065321907</v>
      </c>
      <c r="AA60" s="39">
        <v>743909782.38298726</v>
      </c>
    </row>
    <row r="61" spans="1:27">
      <c r="A61" s="3">
        <f t="shared" si="2"/>
        <v>2035</v>
      </c>
      <c r="B61" s="35">
        <v>7516292</v>
      </c>
      <c r="C61" s="28">
        <v>5201274.0639999993</v>
      </c>
      <c r="D61" s="28">
        <v>248035.17215628325</v>
      </c>
      <c r="E61" s="28">
        <v>6295987.0000792453</v>
      </c>
      <c r="F61" s="28">
        <v>15162.218919392675</v>
      </c>
      <c r="G61" s="28">
        <v>10801.283478032656</v>
      </c>
      <c r="H61" s="28">
        <v>199809.3989218811</v>
      </c>
      <c r="I61" s="28">
        <v>95593.065221647223</v>
      </c>
      <c r="J61" s="28">
        <v>100187890.41008669</v>
      </c>
      <c r="K61" s="28">
        <v>2019211124.700587</v>
      </c>
      <c r="L61" s="28">
        <v>1525480620.955333</v>
      </c>
      <c r="M61" s="28">
        <f>L61*TechnicalInputs!$D$16</f>
        <v>1220384496.7642665</v>
      </c>
      <c r="N61" s="38">
        <v>3.359314608</v>
      </c>
      <c r="O61" s="38">
        <v>4.1400366525000001</v>
      </c>
      <c r="P61" s="28">
        <v>522247832.46551371</v>
      </c>
      <c r="Q61" s="28">
        <v>82894747784.794876</v>
      </c>
      <c r="R61" s="28">
        <v>199630068.03622723</v>
      </c>
      <c r="S61" s="28">
        <v>180412887.57899565</v>
      </c>
      <c r="T61" s="28">
        <v>3312630599.9801059</v>
      </c>
      <c r="U61" s="28">
        <v>9464071019.3549747</v>
      </c>
      <c r="V61" s="39">
        <v>600123952.88411486</v>
      </c>
      <c r="W61" s="28">
        <v>6963441.0176633075</v>
      </c>
      <c r="X61" s="39">
        <v>194884564769.48062</v>
      </c>
      <c r="Y61" s="39">
        <v>37335378794.984428</v>
      </c>
      <c r="Z61" s="39">
        <v>94530421.342370659</v>
      </c>
      <c r="AA61" s="39">
        <v>748111540.06050837</v>
      </c>
    </row>
    <row r="65" spans="1:27" s="32" customFormat="1">
      <c r="A65" s="237" t="s">
        <v>71</v>
      </c>
      <c r="B65" s="238" t="s">
        <v>113</v>
      </c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  <c r="N65" s="239"/>
      <c r="O65" s="239"/>
      <c r="P65" s="239"/>
      <c r="Q65" s="239"/>
      <c r="R65" s="239"/>
      <c r="S65" s="239"/>
      <c r="T65" s="239"/>
      <c r="U65" s="239"/>
      <c r="V65" s="239"/>
      <c r="W65" s="239"/>
      <c r="X65" s="239"/>
      <c r="Y65" s="239"/>
      <c r="Z65" s="239"/>
      <c r="AA65" s="240"/>
    </row>
    <row r="66" spans="1:27" s="32" customFormat="1" ht="15" customHeight="1">
      <c r="A66" s="237"/>
      <c r="B66" s="237" t="s">
        <v>68</v>
      </c>
      <c r="C66" s="237" t="s">
        <v>99</v>
      </c>
      <c r="D66" s="243" t="s">
        <v>100</v>
      </c>
      <c r="E66" s="245"/>
      <c r="F66" s="245"/>
      <c r="G66" s="245"/>
      <c r="H66" s="245"/>
      <c r="I66" s="245"/>
      <c r="J66" s="244"/>
      <c r="K66" s="243" t="s">
        <v>97</v>
      </c>
      <c r="L66" s="245"/>
      <c r="M66" s="244"/>
      <c r="N66" s="243" t="s">
        <v>116</v>
      </c>
      <c r="O66" s="244"/>
      <c r="P66" s="237" t="s">
        <v>69</v>
      </c>
      <c r="Q66" s="237"/>
      <c r="R66" s="237"/>
      <c r="S66" s="237"/>
      <c r="T66" s="237"/>
      <c r="U66" s="237"/>
      <c r="V66" s="241" t="s">
        <v>107</v>
      </c>
      <c r="W66" s="237" t="s">
        <v>109</v>
      </c>
      <c r="X66" s="237" t="s">
        <v>108</v>
      </c>
      <c r="Y66" s="54" t="s">
        <v>110</v>
      </c>
      <c r="Z66" s="237" t="s">
        <v>160</v>
      </c>
      <c r="AA66" s="237" t="s">
        <v>111</v>
      </c>
    </row>
    <row r="67" spans="1:27" s="32" customFormat="1" ht="31.5">
      <c r="A67" s="237"/>
      <c r="B67" s="237"/>
      <c r="C67" s="237"/>
      <c r="D67" s="57" t="s">
        <v>101</v>
      </c>
      <c r="E67" s="57" t="s">
        <v>102</v>
      </c>
      <c r="F67" s="57" t="s">
        <v>106</v>
      </c>
      <c r="G67" s="57" t="s">
        <v>103</v>
      </c>
      <c r="H67" s="57" t="s">
        <v>104</v>
      </c>
      <c r="I67" s="57" t="s">
        <v>105</v>
      </c>
      <c r="J67" s="57" t="s">
        <v>159</v>
      </c>
      <c r="K67" s="54" t="s">
        <v>70</v>
      </c>
      <c r="L67" s="54" t="s">
        <v>98</v>
      </c>
      <c r="M67" s="54" t="s">
        <v>152</v>
      </c>
      <c r="N67" s="33" t="s">
        <v>70</v>
      </c>
      <c r="O67" s="33" t="s">
        <v>117</v>
      </c>
      <c r="P67" s="33" t="s">
        <v>101</v>
      </c>
      <c r="Q67" s="33" t="s">
        <v>102</v>
      </c>
      <c r="R67" s="33" t="s">
        <v>106</v>
      </c>
      <c r="S67" s="33" t="s">
        <v>103</v>
      </c>
      <c r="T67" s="33" t="s">
        <v>104</v>
      </c>
      <c r="U67" s="33" t="s">
        <v>105</v>
      </c>
      <c r="V67" s="242"/>
      <c r="W67" s="237"/>
      <c r="X67" s="237"/>
      <c r="Y67" s="33" t="s">
        <v>101</v>
      </c>
      <c r="Z67" s="237"/>
      <c r="AA67" s="237"/>
    </row>
    <row r="68" spans="1:27">
      <c r="A68" s="3">
        <v>2010</v>
      </c>
      <c r="B68" s="35">
        <v>6483802</v>
      </c>
      <c r="C68" s="36">
        <v>4762954</v>
      </c>
      <c r="D68" s="28">
        <v>193410</v>
      </c>
      <c r="E68" s="28">
        <v>4914668.5854779789</v>
      </c>
      <c r="F68" s="28">
        <v>106</v>
      </c>
      <c r="G68" s="28">
        <v>8422.5</v>
      </c>
      <c r="H68" s="28">
        <v>169509</v>
      </c>
      <c r="I68" s="28">
        <v>58697</v>
      </c>
      <c r="J68" s="28">
        <v>82900000</v>
      </c>
      <c r="K68" s="28">
        <v>3323160347.6330194</v>
      </c>
      <c r="L68" s="28">
        <v>1162538442.6330683</v>
      </c>
      <c r="M68" s="28">
        <f>L68*TechnicalInputs!$D$16</f>
        <v>930030754.10645473</v>
      </c>
      <c r="N68" s="38">
        <v>3.4326274379999999</v>
      </c>
      <c r="O68" s="38">
        <v>3.6616922719999998</v>
      </c>
      <c r="P68" s="28">
        <v>416685500</v>
      </c>
      <c r="Q68" s="28">
        <v>66209988933.066185</v>
      </c>
      <c r="R68" s="28">
        <v>0</v>
      </c>
      <c r="S68" s="28">
        <v>143945900</v>
      </c>
      <c r="T68" s="28">
        <v>2856189700</v>
      </c>
      <c r="U68" s="28">
        <v>6060880000</v>
      </c>
      <c r="V68" s="39">
        <v>237698014.83858031</v>
      </c>
      <c r="W68" s="28">
        <v>6548216</v>
      </c>
      <c r="X68" s="39">
        <v>75463217000</v>
      </c>
      <c r="Y68" s="39">
        <v>0</v>
      </c>
      <c r="Z68" s="39">
        <v>41255353.333333336</v>
      </c>
      <c r="AA68" s="39">
        <v>624012071</v>
      </c>
    </row>
    <row r="69" spans="1:27">
      <c r="A69" s="3">
        <f>A68+1</f>
        <v>2011</v>
      </c>
      <c r="B69" s="36">
        <v>6516922</v>
      </c>
      <c r="C69" s="36">
        <v>4727568</v>
      </c>
      <c r="D69" s="28">
        <v>195344.1</v>
      </c>
      <c r="E69" s="28">
        <v>4963815.2713327594</v>
      </c>
      <c r="F69" s="28">
        <v>114</v>
      </c>
      <c r="G69" s="28">
        <v>8506.7250000000004</v>
      </c>
      <c r="H69" s="28">
        <v>170627.75939999995</v>
      </c>
      <c r="I69" s="28">
        <v>59853.330900000001</v>
      </c>
      <c r="J69" s="28">
        <v>89100000</v>
      </c>
      <c r="K69" s="28">
        <v>3127104682.7042675</v>
      </c>
      <c r="L69" s="28">
        <v>1160099842.9069977</v>
      </c>
      <c r="M69" s="28">
        <f>L69*TechnicalInputs!$D$16</f>
        <v>928079874.32559824</v>
      </c>
      <c r="N69" s="38">
        <v>3.4326274379999999</v>
      </c>
      <c r="O69" s="38">
        <v>3.6616922719999998</v>
      </c>
      <c r="P69" s="28">
        <v>416051625</v>
      </c>
      <c r="Q69" s="28">
        <v>66109268229.478111</v>
      </c>
      <c r="R69" s="28">
        <v>2520205.0543314051</v>
      </c>
      <c r="S69" s="28">
        <v>143726925</v>
      </c>
      <c r="T69" s="28">
        <v>2851844775</v>
      </c>
      <c r="U69" s="28">
        <v>6051660000</v>
      </c>
      <c r="V69" s="39">
        <v>262171646.28032887</v>
      </c>
      <c r="W69" s="28">
        <v>6429800</v>
      </c>
      <c r="X69" s="39">
        <v>81112769000</v>
      </c>
      <c r="Y69" s="39">
        <v>0</v>
      </c>
      <c r="Z69" s="39">
        <v>45063790</v>
      </c>
      <c r="AA69" s="39">
        <v>621200578</v>
      </c>
    </row>
    <row r="70" spans="1:27">
      <c r="A70" s="3">
        <f>A69+1</f>
        <v>2012</v>
      </c>
      <c r="B70" s="36">
        <v>6537334</v>
      </c>
      <c r="C70" s="36">
        <v>4634787</v>
      </c>
      <c r="D70" s="28">
        <v>197297.541</v>
      </c>
      <c r="E70" s="28">
        <v>5010399.6578110112</v>
      </c>
      <c r="F70" s="28">
        <v>181</v>
      </c>
      <c r="G70" s="28">
        <v>8591.7922500000004</v>
      </c>
      <c r="H70" s="28">
        <v>171753.90261203996</v>
      </c>
      <c r="I70" s="28">
        <v>61032.441518730004</v>
      </c>
      <c r="J70" s="28">
        <v>90900000</v>
      </c>
      <c r="K70" s="28">
        <v>3071907236.3508205</v>
      </c>
      <c r="L70" s="28">
        <v>1158111177.5809865</v>
      </c>
      <c r="M70" s="28">
        <f>L70*TechnicalInputs!$D$16</f>
        <v>926488942.0647893</v>
      </c>
      <c r="N70" s="38">
        <v>3.47325054</v>
      </c>
      <c r="O70" s="38">
        <v>3.7147603359999994</v>
      </c>
      <c r="P70" s="28">
        <v>415417750</v>
      </c>
      <c r="Q70" s="28">
        <v>65968340774.852097</v>
      </c>
      <c r="R70" s="28">
        <v>5229883.1696011899</v>
      </c>
      <c r="S70" s="28">
        <v>143507950</v>
      </c>
      <c r="T70" s="28">
        <v>2847499850</v>
      </c>
      <c r="U70" s="28">
        <v>6042440000</v>
      </c>
      <c r="V70" s="39">
        <v>280331361.54000401</v>
      </c>
      <c r="W70" s="28">
        <v>5519876</v>
      </c>
      <c r="X70" s="39">
        <v>86221792000</v>
      </c>
      <c r="Y70" s="39">
        <v>0</v>
      </c>
      <c r="Z70" s="39">
        <v>53639630</v>
      </c>
      <c r="AA70" s="39">
        <v>650673897</v>
      </c>
    </row>
    <row r="71" spans="1:27">
      <c r="A71" s="3">
        <f>A70+1</f>
        <v>2013</v>
      </c>
      <c r="B71" s="36">
        <v>6570713</v>
      </c>
      <c r="C71" s="36">
        <v>4579439</v>
      </c>
      <c r="D71" s="28">
        <v>199270.51641000001</v>
      </c>
      <c r="E71" s="28">
        <v>5069713.2174608633</v>
      </c>
      <c r="F71" s="28">
        <v>379</v>
      </c>
      <c r="G71" s="28">
        <v>8677.7101725000011</v>
      </c>
      <c r="H71" s="28">
        <v>172887.47836927942</v>
      </c>
      <c r="I71" s="28">
        <v>62234.78061664899</v>
      </c>
      <c r="J71" s="28">
        <v>92800000</v>
      </c>
      <c r="K71" s="28">
        <v>3056484682.9881539</v>
      </c>
      <c r="L71" s="28">
        <v>1180148397.0848982</v>
      </c>
      <c r="M71" s="28">
        <f>L71*TechnicalInputs!$D$16</f>
        <v>944118717.66791868</v>
      </c>
      <c r="N71" s="38">
        <v>3.36356886</v>
      </c>
      <c r="O71" s="38">
        <v>3.6524630660000001</v>
      </c>
      <c r="P71" s="28">
        <v>419571927.5</v>
      </c>
      <c r="Q71" s="28">
        <v>66749279898.031837</v>
      </c>
      <c r="R71" s="28">
        <v>8428057.4681599848</v>
      </c>
      <c r="S71" s="28">
        <v>144943029.5</v>
      </c>
      <c r="T71" s="28">
        <v>2866293349.0099998</v>
      </c>
      <c r="U71" s="28">
        <v>6161476068</v>
      </c>
      <c r="V71" s="39">
        <v>264768397.83436936</v>
      </c>
      <c r="W71" s="28">
        <v>5492012</v>
      </c>
      <c r="X71" s="39">
        <v>89720902000</v>
      </c>
      <c r="Y71" s="39">
        <v>23699688969.945053</v>
      </c>
      <c r="Z71" s="39">
        <v>53749413.333333336</v>
      </c>
      <c r="AA71" s="39">
        <v>653996175.4713099</v>
      </c>
    </row>
    <row r="72" spans="1:27">
      <c r="A72" s="3">
        <f>A71+1</f>
        <v>2014</v>
      </c>
      <c r="B72" s="37">
        <v>6596855</v>
      </c>
      <c r="C72" s="36">
        <v>4563231</v>
      </c>
      <c r="D72" s="28">
        <v>201263.22157410003</v>
      </c>
      <c r="E72" s="28">
        <v>5120100.772731971</v>
      </c>
      <c r="F72" s="28">
        <v>582</v>
      </c>
      <c r="G72" s="28">
        <v>8764.4872742250009</v>
      </c>
      <c r="H72" s="28">
        <v>174028.53572651668</v>
      </c>
      <c r="I72" s="28">
        <v>63460.805794796979</v>
      </c>
      <c r="J72" s="28">
        <v>96100000</v>
      </c>
      <c r="K72" s="28">
        <v>3033959956.4267101</v>
      </c>
      <c r="L72" s="28">
        <v>1191736558.220331</v>
      </c>
      <c r="M72" s="28">
        <f>L72*TechnicalInputs!$D$16</f>
        <v>953389246.57626486</v>
      </c>
      <c r="N72" s="38">
        <v>3.184828488</v>
      </c>
      <c r="O72" s="38">
        <v>3.4678784280000001</v>
      </c>
      <c r="P72" s="28">
        <v>423767646.77499998</v>
      </c>
      <c r="Q72" s="28">
        <v>67412696719.832497</v>
      </c>
      <c r="R72" s="28">
        <v>12588315.222503254</v>
      </c>
      <c r="S72" s="28">
        <v>146392459.79499999</v>
      </c>
      <c r="T72" s="28">
        <v>2885210885.1134658</v>
      </c>
      <c r="U72" s="28">
        <v>6282857146.5395994</v>
      </c>
      <c r="V72" s="39">
        <v>313597854.42149591</v>
      </c>
      <c r="W72" s="28">
        <v>5459060</v>
      </c>
      <c r="X72" s="39">
        <v>91929139000</v>
      </c>
      <c r="Y72" s="39">
        <v>25186078523.433437</v>
      </c>
      <c r="Z72" s="39">
        <v>61238700</v>
      </c>
      <c r="AA72" s="39">
        <v>656598140.89259231</v>
      </c>
    </row>
    <row r="73" spans="1:27">
      <c r="A73" s="3">
        <f>A72+1</f>
        <v>2015</v>
      </c>
      <c r="B73" s="35">
        <v>6688049</v>
      </c>
      <c r="C73" s="28">
        <v>4628129.9079999998</v>
      </c>
      <c r="D73" s="28">
        <v>203275.85378984103</v>
      </c>
      <c r="E73" s="28">
        <v>5170884.7270039385</v>
      </c>
      <c r="F73" s="28">
        <v>1382.7168999351561</v>
      </c>
      <c r="G73" s="28">
        <v>8852.1321469672512</v>
      </c>
      <c r="H73" s="28">
        <v>175177.12406231163</v>
      </c>
      <c r="I73" s="28">
        <v>64710.983668954475</v>
      </c>
      <c r="J73" s="28">
        <v>94748446.181286544</v>
      </c>
      <c r="K73" s="28">
        <v>3010758964.6200132</v>
      </c>
      <c r="L73" s="28">
        <v>1201758505.2952838</v>
      </c>
      <c r="M73" s="28">
        <f>L73*TechnicalInputs!$D$16</f>
        <v>961406804.23622704</v>
      </c>
      <c r="N73" s="38">
        <v>2.4855377819999998</v>
      </c>
      <c r="O73" s="38">
        <v>2.7526374959999997</v>
      </c>
      <c r="P73" s="28">
        <v>428005323.24274999</v>
      </c>
      <c r="Q73" s="28">
        <v>68081332643.13353</v>
      </c>
      <c r="R73" s="28">
        <v>18205242.272026967</v>
      </c>
      <c r="S73" s="28">
        <v>147856384.39295</v>
      </c>
      <c r="T73" s="28">
        <v>2904253276.955214</v>
      </c>
      <c r="U73" s="28">
        <v>6406629432.3264294</v>
      </c>
      <c r="V73" s="39">
        <v>325881311.9406864</v>
      </c>
      <c r="W73" s="28">
        <v>5500843.0267771417</v>
      </c>
      <c r="X73" s="39">
        <v>95205426000</v>
      </c>
      <c r="Y73" s="39">
        <v>26374661215.463669</v>
      </c>
      <c r="Z73" s="39">
        <v>64154342.498143569</v>
      </c>
      <c r="AA73" s="39">
        <v>665674861.67250323</v>
      </c>
    </row>
    <row r="74" spans="1:27">
      <c r="A74" s="3">
        <f t="shared" ref="A74:A93" si="3">A73+1</f>
        <v>2016</v>
      </c>
      <c r="B74" s="34">
        <v>6728852.0826461725</v>
      </c>
      <c r="C74" s="28">
        <v>4656365.641191151</v>
      </c>
      <c r="D74" s="28">
        <v>205308.61232773945</v>
      </c>
      <c r="E74" s="28">
        <v>5222247.1655888865</v>
      </c>
      <c r="F74" s="28">
        <v>1742.9527540253475</v>
      </c>
      <c r="G74" s="28">
        <v>8940.6534684369235</v>
      </c>
      <c r="H74" s="28">
        <v>176333.29308112292</v>
      </c>
      <c r="I74" s="28">
        <v>65985.790047232891</v>
      </c>
      <c r="J74" s="28">
        <v>95417331.645059913</v>
      </c>
      <c r="K74" s="28">
        <v>2987511486.7908502</v>
      </c>
      <c r="L74" s="28">
        <v>1211730441.3046474</v>
      </c>
      <c r="M74" s="28">
        <f>L74*TechnicalInputs!$D$16</f>
        <v>969384353.04371798</v>
      </c>
      <c r="N74" s="38">
        <v>2.4061734899999996</v>
      </c>
      <c r="O74" s="38">
        <v>2.671246746</v>
      </c>
      <c r="P74" s="28">
        <v>432285376.47517747</v>
      </c>
      <c r="Q74" s="28">
        <v>68757585054.718536</v>
      </c>
      <c r="R74" s="28">
        <v>22948209.541066907</v>
      </c>
      <c r="S74" s="28">
        <v>149334948.2368795</v>
      </c>
      <c r="T74" s="28">
        <v>2923421348.5831184</v>
      </c>
      <c r="U74" s="28">
        <v>6532840032.14326</v>
      </c>
      <c r="V74" s="39">
        <v>336066216.49471223</v>
      </c>
      <c r="W74" s="28">
        <v>5565161.0619570594</v>
      </c>
      <c r="X74" s="39">
        <v>98994412000</v>
      </c>
      <c r="Y74" s="39">
        <v>27665150619.342133</v>
      </c>
      <c r="Z74" s="39">
        <v>66341437.59844055</v>
      </c>
      <c r="AA74" s="39">
        <v>669736073.90290141</v>
      </c>
    </row>
    <row r="75" spans="1:27">
      <c r="A75" s="3">
        <f t="shared" si="3"/>
        <v>2017</v>
      </c>
      <c r="B75" s="34">
        <v>6769904.100602692</v>
      </c>
      <c r="C75" s="28">
        <v>4684773.6376170628</v>
      </c>
      <c r="D75" s="28">
        <v>207361.69845101685</v>
      </c>
      <c r="E75" s="28">
        <v>5274147.3086424097</v>
      </c>
      <c r="F75" s="28">
        <v>2082.7108839321882</v>
      </c>
      <c r="G75" s="28">
        <v>9030.0600031212925</v>
      </c>
      <c r="H75" s="28">
        <v>177497.09281545828</v>
      </c>
      <c r="I75" s="28">
        <v>67285.710111163382</v>
      </c>
      <c r="J75" s="28">
        <v>96165572.479166165</v>
      </c>
      <c r="K75" s="28">
        <v>2959765421.494669</v>
      </c>
      <c r="L75" s="28">
        <v>1217730354.8121636</v>
      </c>
      <c r="M75" s="28">
        <f>L75*TechnicalInputs!$D$16</f>
        <v>974184283.84973097</v>
      </c>
      <c r="N75" s="38">
        <v>2.3610376980000001</v>
      </c>
      <c r="O75" s="38">
        <v>2.7068576919999998</v>
      </c>
      <c r="P75" s="28">
        <v>436608230.23992926</v>
      </c>
      <c r="Q75" s="28">
        <v>69440917035.607681</v>
      </c>
      <c r="R75" s="28">
        <v>27421561.294511199</v>
      </c>
      <c r="S75" s="28">
        <v>150828297.71924829</v>
      </c>
      <c r="T75" s="28">
        <v>2942715929.483767</v>
      </c>
      <c r="U75" s="28">
        <v>6661536980.7764845</v>
      </c>
      <c r="V75" s="39">
        <v>346569434.11847764</v>
      </c>
      <c r="W75" s="28">
        <v>5630325.4540201817</v>
      </c>
      <c r="X75" s="39">
        <v>102539266000</v>
      </c>
      <c r="Y75" s="39">
        <v>28013197318.610371</v>
      </c>
      <c r="Z75" s="39">
        <v>68888447.028759629</v>
      </c>
      <c r="AA75" s="39">
        <v>673822063.16144049</v>
      </c>
    </row>
    <row r="76" spans="1:27">
      <c r="A76" s="3">
        <f t="shared" si="3"/>
        <v>2018</v>
      </c>
      <c r="B76" s="34">
        <v>6811206.5725976722</v>
      </c>
      <c r="C76" s="28">
        <v>4713354.9482375886</v>
      </c>
      <c r="D76" s="28">
        <v>209435.31543552704</v>
      </c>
      <c r="E76" s="28">
        <v>5326503.8714867225</v>
      </c>
      <c r="F76" s="28">
        <v>2488.4482348822057</v>
      </c>
      <c r="G76" s="28">
        <v>9120.3606031525051</v>
      </c>
      <c r="H76" s="28">
        <v>178668.57362804032</v>
      </c>
      <c r="I76" s="28">
        <v>68611.238600353303</v>
      </c>
      <c r="J76" s="28">
        <v>96564181.870536759</v>
      </c>
      <c r="K76" s="28">
        <v>2930981642.4464221</v>
      </c>
      <c r="L76" s="28">
        <v>1225091382.4801912</v>
      </c>
      <c r="M76" s="28">
        <f>L76*TechnicalInputs!$D$16</f>
        <v>980073105.98415303</v>
      </c>
      <c r="N76" s="38">
        <v>2.3504917859999996</v>
      </c>
      <c r="O76" s="38">
        <v>2.7297715514999998</v>
      </c>
      <c r="P76" s="28">
        <v>440974312.54232854</v>
      </c>
      <c r="Q76" s="28">
        <v>70130258368.714554</v>
      </c>
      <c r="R76" s="28">
        <v>32763614.156670153</v>
      </c>
      <c r="S76" s="28">
        <v>152336580.69644079</v>
      </c>
      <c r="T76" s="28">
        <v>2962137854.6183596</v>
      </c>
      <c r="U76" s="28">
        <v>6792769259.297781</v>
      </c>
      <c r="V76" s="39">
        <v>357400913.18310684</v>
      </c>
      <c r="W76" s="28">
        <v>5696348.7996432781</v>
      </c>
      <c r="X76" s="39">
        <v>106231686000</v>
      </c>
      <c r="Y76" s="39">
        <v>27943499295.931656</v>
      </c>
      <c r="Z76" s="39">
        <v>71333241.190216526</v>
      </c>
      <c r="AA76" s="39">
        <v>677932980.61015987</v>
      </c>
    </row>
    <row r="77" spans="1:27">
      <c r="A77" s="3">
        <f t="shared" si="3"/>
        <v>2019</v>
      </c>
      <c r="B77" s="34">
        <v>6852761.0266248267</v>
      </c>
      <c r="C77" s="28">
        <v>4742110.6304243794</v>
      </c>
      <c r="D77" s="28">
        <v>211529.66858988232</v>
      </c>
      <c r="E77" s="28">
        <v>5379422.9931743992</v>
      </c>
      <c r="F77" s="28">
        <v>2859.2497444218025</v>
      </c>
      <c r="G77" s="28">
        <v>9211.5642091840309</v>
      </c>
      <c r="H77" s="28">
        <v>179847.78621398538</v>
      </c>
      <c r="I77" s="28">
        <v>69962.880000780264</v>
      </c>
      <c r="J77" s="28">
        <v>96916039.950240821</v>
      </c>
      <c r="K77" s="28">
        <v>2894460174.8557673</v>
      </c>
      <c r="L77" s="28">
        <v>1235124295.5568204</v>
      </c>
      <c r="M77" s="28">
        <f>L77*TechnicalInputs!$D$16</f>
        <v>988099436.44545639</v>
      </c>
      <c r="N77" s="38">
        <v>2.3534813220000004</v>
      </c>
      <c r="O77" s="38">
        <v>2.7351468374999999</v>
      </c>
      <c r="P77" s="28">
        <v>445384055.66775185</v>
      </c>
      <c r="Q77" s="28">
        <v>70827006510.862503</v>
      </c>
      <c r="R77" s="28">
        <v>37645691.837436289</v>
      </c>
      <c r="S77" s="28">
        <v>153859946.50340518</v>
      </c>
      <c r="T77" s="28">
        <v>2981687964.4588408</v>
      </c>
      <c r="U77" s="28">
        <v>6926586813.7059479</v>
      </c>
      <c r="V77" s="39">
        <v>368570912.98031569</v>
      </c>
      <c r="W77" s="28">
        <v>5763243.9037536308</v>
      </c>
      <c r="X77" s="39">
        <v>110267145000</v>
      </c>
      <c r="Y77" s="39">
        <v>28075961164.626144</v>
      </c>
      <c r="Z77" s="39">
        <v>73333623.335636824</v>
      </c>
      <c r="AA77" s="39">
        <v>682068978.33332288</v>
      </c>
    </row>
    <row r="78" spans="1:27">
      <c r="A78" s="3">
        <f t="shared" si="3"/>
        <v>2020</v>
      </c>
      <c r="B78" s="35">
        <v>6894569</v>
      </c>
      <c r="C78" s="28">
        <v>4771041.7479999997</v>
      </c>
      <c r="D78" s="28">
        <v>213644.96527578114</v>
      </c>
      <c r="E78" s="28">
        <v>5432892.4069822878</v>
      </c>
      <c r="F78" s="28">
        <v>3212.658365720883</v>
      </c>
      <c r="G78" s="28">
        <v>9303.6798512758705</v>
      </c>
      <c r="H78" s="28">
        <v>181034.78160299765</v>
      </c>
      <c r="I78" s="28">
        <v>71341.148736795643</v>
      </c>
      <c r="J78" s="28">
        <v>97230962.06627664</v>
      </c>
      <c r="K78" s="28">
        <v>2855389553.6607451</v>
      </c>
      <c r="L78" s="28">
        <v>1246270159.7644317</v>
      </c>
      <c r="M78" s="28">
        <f>L78*TechnicalInputs!$D$16</f>
        <v>997016127.81154537</v>
      </c>
      <c r="N78" s="38">
        <v>2.3499675</v>
      </c>
      <c r="O78" s="38">
        <v>2.7352519915000002</v>
      </c>
      <c r="P78" s="28">
        <v>449837896.22442937</v>
      </c>
      <c r="Q78" s="28">
        <v>71530999954.900726</v>
      </c>
      <c r="R78" s="28">
        <v>42298769.826199226</v>
      </c>
      <c r="S78" s="28">
        <v>155398545.96843925</v>
      </c>
      <c r="T78" s="28">
        <v>3001367105.0242691</v>
      </c>
      <c r="U78" s="28">
        <v>7063040573.9359531</v>
      </c>
      <c r="V78" s="39">
        <v>380090013.4397428</v>
      </c>
      <c r="W78" s="28">
        <v>5831023.7832381744</v>
      </c>
      <c r="X78" s="39">
        <v>114279158000</v>
      </c>
      <c r="Y78" s="39">
        <v>28306195992.230606</v>
      </c>
      <c r="Z78" s="39">
        <v>75151511.927123174</v>
      </c>
      <c r="AA78" s="39">
        <v>686230209.34304285</v>
      </c>
    </row>
    <row r="79" spans="1:27">
      <c r="A79" s="3">
        <f t="shared" si="3"/>
        <v>2021</v>
      </c>
      <c r="B79" s="34">
        <v>6935380.1824488426</v>
      </c>
      <c r="C79" s="28">
        <v>4799283.0862545986</v>
      </c>
      <c r="D79" s="28">
        <v>215781.41492853896</v>
      </c>
      <c r="E79" s="28">
        <v>5486899.3869893709</v>
      </c>
      <c r="F79" s="28">
        <v>3566.7290121177211</v>
      </c>
      <c r="G79" s="28">
        <v>9396.7166497886301</v>
      </c>
      <c r="H79" s="28">
        <v>182229.61116157746</v>
      </c>
      <c r="I79" s="28">
        <v>72746.569366910509</v>
      </c>
      <c r="J79" s="28">
        <v>97515966.152356729</v>
      </c>
      <c r="K79" s="28">
        <v>2813550935.3781486</v>
      </c>
      <c r="L79" s="28">
        <v>1258553736.7454953</v>
      </c>
      <c r="M79" s="28">
        <f>L79*TechnicalInputs!$D$16</f>
        <v>1006842989.3963963</v>
      </c>
      <c r="N79" s="38">
        <v>2.3520251999999999</v>
      </c>
      <c r="O79" s="38">
        <v>2.7449349654999997</v>
      </c>
      <c r="P79" s="28">
        <v>454336275.18667364</v>
      </c>
      <c r="Q79" s="28">
        <v>72242071147.749344</v>
      </c>
      <c r="R79" s="28">
        <v>46960564.22485505</v>
      </c>
      <c r="S79" s="28">
        <v>156952531.42812365</v>
      </c>
      <c r="T79" s="28">
        <v>3021176127.917429</v>
      </c>
      <c r="U79" s="28">
        <v>7202182473.2424917</v>
      </c>
      <c r="V79" s="39">
        <v>391898386.31328863</v>
      </c>
      <c r="W79" s="28">
        <v>5899701.6707218904</v>
      </c>
      <c r="X79" s="39">
        <v>118176580000</v>
      </c>
      <c r="Y79" s="39">
        <v>28662171667.816147</v>
      </c>
      <c r="Z79" s="39">
        <v>76797726.496682703</v>
      </c>
      <c r="AA79" s="39">
        <v>690292227.76296246</v>
      </c>
    </row>
    <row r="80" spans="1:27">
      <c r="A80" s="3">
        <f t="shared" si="3"/>
        <v>2022</v>
      </c>
      <c r="B80" s="34">
        <v>6976432.939478036</v>
      </c>
      <c r="C80" s="28">
        <v>4827691.5941188009</v>
      </c>
      <c r="D80" s="28">
        <v>217939.22907782436</v>
      </c>
      <c r="E80" s="28">
        <v>5541421.2023889655</v>
      </c>
      <c r="F80" s="28">
        <v>3949.5747725386173</v>
      </c>
      <c r="G80" s="28">
        <v>9490.683816286517</v>
      </c>
      <c r="H80" s="28">
        <v>183432.32659524382</v>
      </c>
      <c r="I80" s="28">
        <v>74179.676783438656</v>
      </c>
      <c r="J80" s="28">
        <v>97776243.532790825</v>
      </c>
      <c r="K80" s="28">
        <v>2769407008.8938279</v>
      </c>
      <c r="L80" s="28">
        <v>1272179839.4550004</v>
      </c>
      <c r="M80" s="28">
        <f>L80*TechnicalInputs!$D$16</f>
        <v>1017743871.5640004</v>
      </c>
      <c r="N80" s="38">
        <v>2.3509106219999998</v>
      </c>
      <c r="O80" s="38">
        <v>2.7537833119999999</v>
      </c>
      <c r="P80" s="28">
        <v>458879637.9385404</v>
      </c>
      <c r="Q80" s="28">
        <v>72959920809.170441</v>
      </c>
      <c r="R80" s="28">
        <v>52001219.923528433</v>
      </c>
      <c r="S80" s="28">
        <v>158522056.74240488</v>
      </c>
      <c r="T80" s="28">
        <v>3041115890.3616838</v>
      </c>
      <c r="U80" s="28">
        <v>7344065467.9653702</v>
      </c>
      <c r="V80" s="39">
        <v>404073613.52393949</v>
      </c>
      <c r="W80" s="28">
        <v>5969291.0184166366</v>
      </c>
      <c r="X80" s="39">
        <v>122315379000</v>
      </c>
      <c r="Y80" s="39">
        <v>29046857588.27898</v>
      </c>
      <c r="Z80" s="39">
        <v>78303857.705853537</v>
      </c>
      <c r="AA80" s="39">
        <v>694378290.58287942</v>
      </c>
    </row>
    <row r="81" spans="1:27">
      <c r="A81" s="3">
        <f t="shared" si="3"/>
        <v>2023</v>
      </c>
      <c r="B81" s="34">
        <v>7017728.7010456054</v>
      </c>
      <c r="C81" s="28">
        <v>4856268.2611235585</v>
      </c>
      <c r="D81" s="28">
        <v>220118.62136860262</v>
      </c>
      <c r="E81" s="28">
        <v>5596467.0336460629</v>
      </c>
      <c r="F81" s="28">
        <v>4357.4512870563194</v>
      </c>
      <c r="G81" s="28">
        <v>9585.5906544493828</v>
      </c>
      <c r="H81" s="28">
        <v>184642.97995077242</v>
      </c>
      <c r="I81" s="28">
        <v>75641.016416072394</v>
      </c>
      <c r="J81" s="28">
        <v>98015742.216549546</v>
      </c>
      <c r="K81" s="28">
        <v>2722666881.7977767</v>
      </c>
      <c r="L81" s="28">
        <v>1287264210.4383037</v>
      </c>
      <c r="M81" s="28">
        <f>L81*TechnicalInputs!$D$16</f>
        <v>1029811368.350643</v>
      </c>
      <c r="N81" s="38">
        <v>2.3363139479999999</v>
      </c>
      <c r="O81" s="38">
        <v>2.7565389424999998</v>
      </c>
      <c r="P81" s="28">
        <v>463468434.31792581</v>
      </c>
      <c r="Q81" s="28">
        <v>73684669811.7659</v>
      </c>
      <c r="R81" s="28">
        <v>57371437.618988097</v>
      </c>
      <c r="S81" s="28">
        <v>160107277.30982894</v>
      </c>
      <c r="T81" s="28">
        <v>3061187255.2380705</v>
      </c>
      <c r="U81" s="28">
        <v>7488743557.684289</v>
      </c>
      <c r="V81" s="39">
        <v>416627092.24775803</v>
      </c>
      <c r="W81" s="28">
        <v>6039805.5020418568</v>
      </c>
      <c r="X81" s="39">
        <v>126856676000</v>
      </c>
      <c r="Y81" s="39">
        <v>29459019899.1077</v>
      </c>
      <c r="Z81" s="39">
        <v>79691471.796481475</v>
      </c>
      <c r="AA81" s="39">
        <v>698488540.12936926</v>
      </c>
    </row>
    <row r="82" spans="1:27">
      <c r="A82" s="3">
        <f t="shared" si="3"/>
        <v>2024</v>
      </c>
      <c r="B82" s="34">
        <v>7059268.9055739604</v>
      </c>
      <c r="C82" s="28">
        <v>4885014.0826571798</v>
      </c>
      <c r="D82" s="28">
        <v>222319.80758228863</v>
      </c>
      <c r="E82" s="28">
        <v>5652013.0827127481</v>
      </c>
      <c r="F82" s="28">
        <v>4819.6470697028562</v>
      </c>
      <c r="G82" s="28">
        <v>9681.4465609938761</v>
      </c>
      <c r="H82" s="28">
        <v>185861.62361844751</v>
      </c>
      <c r="I82" s="28">
        <v>77131.144439469019</v>
      </c>
      <c r="J82" s="28">
        <v>98237534.574385151</v>
      </c>
      <c r="K82" s="28">
        <v>2674581752.7412863</v>
      </c>
      <c r="L82" s="28">
        <v>1303657959.3132768</v>
      </c>
      <c r="M82" s="28">
        <f>L82*TechnicalInputs!$D$16</f>
        <v>1042926367.4506215</v>
      </c>
      <c r="N82" s="38">
        <v>2.3178563220000004</v>
      </c>
      <c r="O82" s="38">
        <v>2.7630162735000003</v>
      </c>
      <c r="P82" s="28">
        <v>468103118.6611051</v>
      </c>
      <c r="Q82" s="28">
        <v>74416004823.697586</v>
      </c>
      <c r="R82" s="28">
        <v>63456838.181170359</v>
      </c>
      <c r="S82" s="28">
        <v>161708350.08292723</v>
      </c>
      <c r="T82" s="28">
        <v>3081391091.1226416</v>
      </c>
      <c r="U82" s="28">
        <v>7636271805.770668</v>
      </c>
      <c r="V82" s="39">
        <v>429570573.74036682</v>
      </c>
      <c r="W82" s="28">
        <v>6111259.024818508</v>
      </c>
      <c r="X82" s="39">
        <v>131623193000</v>
      </c>
      <c r="Y82" s="39">
        <v>29924678589.160797</v>
      </c>
      <c r="Z82" s="39">
        <v>80977770.202317223</v>
      </c>
      <c r="AA82" s="39">
        <v>702623119.57148468</v>
      </c>
    </row>
    <row r="83" spans="1:27">
      <c r="A83" s="3">
        <f t="shared" si="3"/>
        <v>2025</v>
      </c>
      <c r="B83" s="35">
        <v>7101055</v>
      </c>
      <c r="C83" s="28">
        <v>4913930.0599999996</v>
      </c>
      <c r="D83" s="28">
        <v>224543.00565811151</v>
      </c>
      <c r="E83" s="28">
        <v>5708033.9207105776</v>
      </c>
      <c r="F83" s="28">
        <v>5367.1363696977496</v>
      </c>
      <c r="G83" s="28">
        <v>9778.2610266038155</v>
      </c>
      <c r="H83" s="28">
        <v>187088.31033432926</v>
      </c>
      <c r="I83" s="28">
        <v>78650.62798492657</v>
      </c>
      <c r="J83" s="28">
        <v>98444058.459106848</v>
      </c>
      <c r="K83" s="28">
        <v>2622565651.7049627</v>
      </c>
      <c r="L83" s="28">
        <v>1321013169.2515695</v>
      </c>
      <c r="M83" s="28">
        <f>L83*TechnicalInputs!$D$16</f>
        <v>1056810535.4012556</v>
      </c>
      <c r="N83" s="38">
        <v>2.3126457239999998</v>
      </c>
      <c r="O83" s="38">
        <v>2.7722286445000006</v>
      </c>
      <c r="P83" s="28">
        <v>472784149.84771615</v>
      </c>
      <c r="Q83" s="28">
        <v>75153591041.150787</v>
      </c>
      <c r="R83" s="28">
        <v>70665237.346762091</v>
      </c>
      <c r="S83" s="28">
        <v>163325433.58375651</v>
      </c>
      <c r="T83" s="28">
        <v>3101728272.3240509</v>
      </c>
      <c r="U83" s="28">
        <v>7786706360.3443508</v>
      </c>
      <c r="V83" s="39">
        <v>442916174.33724624</v>
      </c>
      <c r="W83" s="28">
        <v>6183665.7215376161</v>
      </c>
      <c r="X83" s="39">
        <v>136571049999.99998</v>
      </c>
      <c r="Y83" s="39">
        <v>30878347234.785065</v>
      </c>
      <c r="Z83" s="39">
        <v>82176461.904254764</v>
      </c>
      <c r="AA83" s="39">
        <v>706782172.92574215</v>
      </c>
    </row>
    <row r="84" spans="1:27">
      <c r="A84" s="3">
        <f t="shared" si="3"/>
        <v>2026</v>
      </c>
      <c r="B84" s="34">
        <v>7141886.5243841968</v>
      </c>
      <c r="C84" s="28">
        <v>4942185.4748738641</v>
      </c>
      <c r="D84" s="28">
        <v>226788.43571469263</v>
      </c>
      <c r="E84" s="28">
        <v>5764517.9845888112</v>
      </c>
      <c r="F84" s="28">
        <v>6017.0830622669309</v>
      </c>
      <c r="G84" s="28">
        <v>9876.0436368698538</v>
      </c>
      <c r="H84" s="28">
        <v>188323.09318253581</v>
      </c>
      <c r="I84" s="28">
        <v>80200.045356229617</v>
      </c>
      <c r="J84" s="28">
        <v>98637280.676199034</v>
      </c>
      <c r="K84" s="28">
        <v>2574678364.5976062</v>
      </c>
      <c r="L84" s="28">
        <v>1339118204.3152206</v>
      </c>
      <c r="M84" s="28">
        <f>L84*TechnicalInputs!$D$16</f>
        <v>1071294563.4521766</v>
      </c>
      <c r="N84" s="38">
        <v>2.3115017339999997</v>
      </c>
      <c r="O84" s="38">
        <v>2.7789977390000002</v>
      </c>
      <c r="P84" s="28">
        <v>477511991.34619331</v>
      </c>
      <c r="Q84" s="28">
        <v>75897276221.724915</v>
      </c>
      <c r="R84" s="28">
        <v>79222619.557594091</v>
      </c>
      <c r="S84" s="28">
        <v>164958687.91959408</v>
      </c>
      <c r="T84" s="28">
        <v>3122199678.9213891</v>
      </c>
      <c r="U84" s="28">
        <v>7940104475.643137</v>
      </c>
      <c r="V84" s="39">
        <v>456599545.18789881</v>
      </c>
      <c r="W84" s="28">
        <v>6257039.962704883</v>
      </c>
      <c r="X84" s="39">
        <v>141796972000</v>
      </c>
      <c r="Y84" s="39">
        <v>31809117816.504318</v>
      </c>
      <c r="Z84" s="39">
        <v>83298665.076175258</v>
      </c>
      <c r="AA84" s="39">
        <v>710846216.01907587</v>
      </c>
    </row>
    <row r="85" spans="1:27">
      <c r="A85" s="3">
        <f t="shared" si="3"/>
        <v>2027</v>
      </c>
      <c r="B85" s="34">
        <v>7182952.832667904</v>
      </c>
      <c r="C85" s="28">
        <v>4970603.3602061896</v>
      </c>
      <c r="D85" s="28">
        <v>229056.32007183955</v>
      </c>
      <c r="E85" s="28">
        <v>5821481.690325967</v>
      </c>
      <c r="F85" s="28">
        <v>6758.7280016224831</v>
      </c>
      <c r="G85" s="28">
        <v>9974.8040732385525</v>
      </c>
      <c r="H85" s="28">
        <v>189566.02559754055</v>
      </c>
      <c r="I85" s="28">
        <v>81779.986249747351</v>
      </c>
      <c r="J85" s="28">
        <v>98818810.996317029</v>
      </c>
      <c r="K85" s="28">
        <v>2531132621.7411304</v>
      </c>
      <c r="L85" s="28">
        <v>1357911731.5290065</v>
      </c>
      <c r="M85" s="28">
        <f>L85*TechnicalInputs!$D$16</f>
        <v>1086329385.2232053</v>
      </c>
      <c r="N85" s="38">
        <v>2.3121058199999998</v>
      </c>
      <c r="O85" s="38">
        <v>2.7821331929999999</v>
      </c>
      <c r="P85" s="28">
        <v>482287111.25965524</v>
      </c>
      <c r="Q85" s="28">
        <v>76647276502.84198</v>
      </c>
      <c r="R85" s="28">
        <v>88987326.853359729</v>
      </c>
      <c r="S85" s="28">
        <v>166608274.79879001</v>
      </c>
      <c r="T85" s="28">
        <v>3142806196.8022699</v>
      </c>
      <c r="U85" s="28">
        <v>8096524533.8133059</v>
      </c>
      <c r="V85" s="39">
        <v>470705647.58164001</v>
      </c>
      <c r="W85" s="28">
        <v>6331396.3587628165</v>
      </c>
      <c r="X85" s="39">
        <v>147324390000</v>
      </c>
      <c r="Y85" s="39">
        <v>32629382473.947456</v>
      </c>
      <c r="Z85" s="39">
        <v>84353516.480910987</v>
      </c>
      <c r="AA85" s="39">
        <v>714933627.62239361</v>
      </c>
    </row>
    <row r="86" spans="1:27">
      <c r="A86" s="3">
        <f t="shared" si="3"/>
        <v>2028</v>
      </c>
      <c r="B86" s="34">
        <v>7224255.2748736907</v>
      </c>
      <c r="C86" s="28">
        <v>4999184.6502125934</v>
      </c>
      <c r="D86" s="28">
        <v>231346.88327255796</v>
      </c>
      <c r="E86" s="28">
        <v>5878916.7235516282</v>
      </c>
      <c r="F86" s="28">
        <v>7606.0989592382684</v>
      </c>
      <c r="G86" s="28">
        <v>10074.552113970938</v>
      </c>
      <c r="H86" s="28">
        <v>190817.16136648427</v>
      </c>
      <c r="I86" s="28">
        <v>83391.051978867385</v>
      </c>
      <c r="J86" s="28">
        <v>98989983.641414985</v>
      </c>
      <c r="K86" s="28">
        <v>2492781661.6274424</v>
      </c>
      <c r="L86" s="28">
        <v>1377442005.0128829</v>
      </c>
      <c r="M86" s="28">
        <f>L86*TechnicalInputs!$D$16</f>
        <v>1101953604.0103064</v>
      </c>
      <c r="N86" s="38">
        <v>2.3134651559999999</v>
      </c>
      <c r="O86" s="38">
        <v>2.7849057880000001</v>
      </c>
      <c r="P86" s="28">
        <v>487109982.37225181</v>
      </c>
      <c r="Q86" s="28">
        <v>77403482415.146515</v>
      </c>
      <c r="R86" s="28">
        <v>100144052.84577212</v>
      </c>
      <c r="S86" s="28">
        <v>168274357.5467779</v>
      </c>
      <c r="T86" s="28">
        <v>3163548717.7011652</v>
      </c>
      <c r="U86" s="28">
        <v>8256026067.1294289</v>
      </c>
      <c r="V86" s="39">
        <v>485247541.30903399</v>
      </c>
      <c r="W86" s="28">
        <v>6406749.7643918572</v>
      </c>
      <c r="X86" s="39">
        <v>152930278000</v>
      </c>
      <c r="Y86" s="39">
        <v>33329101710.779106</v>
      </c>
      <c r="Z86" s="39">
        <v>85348614.177206367</v>
      </c>
      <c r="AA86" s="39">
        <v>719044542.10613525</v>
      </c>
    </row>
    <row r="87" spans="1:27">
      <c r="A87" s="3">
        <f t="shared" si="3"/>
        <v>2029</v>
      </c>
      <c r="B87" s="34">
        <v>7265795.2087868443</v>
      </c>
      <c r="C87" s="28">
        <v>5027930.2844804963</v>
      </c>
      <c r="D87" s="28">
        <v>233660.35210528353</v>
      </c>
      <c r="E87" s="28">
        <v>5936853.3664186401</v>
      </c>
      <c r="F87" s="28">
        <v>8534.6843173345551</v>
      </c>
      <c r="G87" s="28">
        <v>10175.297635110648</v>
      </c>
      <c r="H87" s="28">
        <v>192076.55463150307</v>
      </c>
      <c r="I87" s="28">
        <v>85033.85570285107</v>
      </c>
      <c r="J87" s="28">
        <v>99151916.778700233</v>
      </c>
      <c r="K87" s="28">
        <v>2459198203.9394069</v>
      </c>
      <c r="L87" s="28">
        <v>1397623931.7480803</v>
      </c>
      <c r="M87" s="28">
        <f>L87*TechnicalInputs!$D$16</f>
        <v>1118099145.3984642</v>
      </c>
      <c r="N87" s="38">
        <v>2.315593878</v>
      </c>
      <c r="O87" s="38">
        <v>2.7882086855000003</v>
      </c>
      <c r="P87" s="28">
        <v>491981082.19597435</v>
      </c>
      <c r="Q87" s="28">
        <v>78166292662.038422</v>
      </c>
      <c r="R87" s="28">
        <v>112370070.63378054</v>
      </c>
      <c r="S87" s="28">
        <v>169957101.1222457</v>
      </c>
      <c r="T87" s="28">
        <v>3184428139.2379923</v>
      </c>
      <c r="U87" s="28">
        <v>8418669780.6518784</v>
      </c>
      <c r="V87" s="39">
        <v>500238689.62741345</v>
      </c>
      <c r="W87" s="28">
        <v>6483115.2828920158</v>
      </c>
      <c r="X87" s="39">
        <v>158777951000</v>
      </c>
      <c r="Y87" s="39">
        <v>33861232096.955307</v>
      </c>
      <c r="Z87" s="39">
        <v>86290343.438675866</v>
      </c>
      <c r="AA87" s="39">
        <v>723179094.61337972</v>
      </c>
    </row>
    <row r="88" spans="1:27">
      <c r="A88" s="3">
        <f t="shared" si="3"/>
        <v>2030</v>
      </c>
      <c r="B88" s="35">
        <v>7307574</v>
      </c>
      <c r="C88" s="28">
        <v>5056841.2079999996</v>
      </c>
      <c r="D88" s="28">
        <v>235996.95562633636</v>
      </c>
      <c r="E88" s="28">
        <v>5995319.9491516333</v>
      </c>
      <c r="F88" s="28">
        <v>9521.9820917015895</v>
      </c>
      <c r="G88" s="28">
        <v>10277.050611461755</v>
      </c>
      <c r="H88" s="28">
        <v>193344.25989207096</v>
      </c>
      <c r="I88" s="28">
        <v>86709.022660197239</v>
      </c>
      <c r="J88" s="28">
        <v>99305556.780168712</v>
      </c>
      <c r="K88" s="28">
        <v>2430063494.9830003</v>
      </c>
      <c r="L88" s="28">
        <v>1418705765.1953535</v>
      </c>
      <c r="M88" s="28">
        <f>L88*TechnicalInputs!$D$16</f>
        <v>1134964612.1562829</v>
      </c>
      <c r="N88" s="38">
        <v>2.3231779560000003</v>
      </c>
      <c r="O88" s="38">
        <v>2.809400713</v>
      </c>
      <c r="P88" s="28">
        <v>496900893.01793408</v>
      </c>
      <c r="Q88" s="28">
        <v>78936080247.277924</v>
      </c>
      <c r="R88" s="28">
        <v>125369112.72102611</v>
      </c>
      <c r="S88" s="28">
        <v>171656672.13346815</v>
      </c>
      <c r="T88" s="28">
        <v>3205445364.9569631</v>
      </c>
      <c r="U88" s="28">
        <v>8584517575.3307209</v>
      </c>
      <c r="V88" s="39">
        <v>515692971.7255072</v>
      </c>
      <c r="W88" s="28">
        <v>6560508.2706465786</v>
      </c>
      <c r="X88" s="39">
        <v>164961908000</v>
      </c>
      <c r="Y88" s="39">
        <v>34420679840.114014</v>
      </c>
      <c r="Z88" s="39">
        <v>87184121.014912128</v>
      </c>
      <c r="AA88" s="39">
        <v>727337421.06428671</v>
      </c>
    </row>
    <row r="89" spans="1:27">
      <c r="A89" s="3">
        <f t="shared" si="3"/>
        <v>2031</v>
      </c>
      <c r="B89" s="34">
        <v>7348848.702774033</v>
      </c>
      <c r="C89" s="28">
        <v>5085403.30231963</v>
      </c>
      <c r="D89" s="28">
        <v>238356.92518259972</v>
      </c>
      <c r="E89" s="28">
        <v>6054300.9967961451</v>
      </c>
      <c r="F89" s="28">
        <v>10589.353759623133</v>
      </c>
      <c r="G89" s="28">
        <v>10379.821117576372</v>
      </c>
      <c r="H89" s="28">
        <v>194620.33200735864</v>
      </c>
      <c r="I89" s="28">
        <v>88417.190406603127</v>
      </c>
      <c r="J89" s="28">
        <v>99451711.700892329</v>
      </c>
      <c r="K89" s="28">
        <v>2405462852.982398</v>
      </c>
      <c r="L89" s="28">
        <v>1440541558.869354</v>
      </c>
      <c r="M89" s="28">
        <f>L89*TechnicalInputs!$D$16</f>
        <v>1152433247.0954833</v>
      </c>
      <c r="N89" s="38">
        <v>2.3210037480000003</v>
      </c>
      <c r="O89" s="38">
        <v>2.8052915485000001</v>
      </c>
      <c r="P89" s="28">
        <v>501869901.94811344</v>
      </c>
      <c r="Q89" s="28">
        <v>79712641423.232285</v>
      </c>
      <c r="R89" s="28">
        <v>139422430.3666583</v>
      </c>
      <c r="S89" s="28">
        <v>173373238.85480285</v>
      </c>
      <c r="T89" s="28">
        <v>3226601304.3656788</v>
      </c>
      <c r="U89" s="28">
        <v>8753632571.5647354</v>
      </c>
      <c r="V89" s="39">
        <v>531570856.06687611</v>
      </c>
      <c r="W89" s="28">
        <v>6638944.341669444</v>
      </c>
      <c r="X89" s="39">
        <v>171276791000</v>
      </c>
      <c r="Y89" s="39">
        <v>34978155658.183022</v>
      </c>
      <c r="Z89" s="39">
        <v>88034581.027436465</v>
      </c>
      <c r="AA89" s="39">
        <v>731445574.58703721</v>
      </c>
    </row>
    <row r="90" spans="1:27">
      <c r="A90" s="3">
        <f t="shared" si="3"/>
        <v>2032</v>
      </c>
      <c r="B90" s="34">
        <v>7390356.5336818462</v>
      </c>
      <c r="C90" s="28">
        <v>5114126.7213078374</v>
      </c>
      <c r="D90" s="28">
        <v>240740.49443442572</v>
      </c>
      <c r="E90" s="28">
        <v>6113842.643620084</v>
      </c>
      <c r="F90" s="28">
        <v>11696.610441242345</v>
      </c>
      <c r="G90" s="28">
        <v>10483.619328752136</v>
      </c>
      <c r="H90" s="28">
        <v>195904.82619860719</v>
      </c>
      <c r="I90" s="28">
        <v>90159.009057613206</v>
      </c>
      <c r="J90" s="28">
        <v>99591076.981121451</v>
      </c>
      <c r="K90" s="28">
        <v>2385099902.8847642</v>
      </c>
      <c r="L90" s="28">
        <v>1463119918.4159095</v>
      </c>
      <c r="M90" s="28">
        <f>L90*TechnicalInputs!$D$16</f>
        <v>1170495934.7327278</v>
      </c>
      <c r="N90" s="38">
        <v>2.3274653820000002</v>
      </c>
      <c r="O90" s="38">
        <v>2.8054360705000003</v>
      </c>
      <c r="P90" s="28">
        <v>506888600.96759456</v>
      </c>
      <c r="Q90" s="28">
        <v>80496583606.737366</v>
      </c>
      <c r="R90" s="28">
        <v>154000885.39755991</v>
      </c>
      <c r="S90" s="28">
        <v>175106971.24335086</v>
      </c>
      <c r="T90" s="28">
        <v>3247896872.9744921</v>
      </c>
      <c r="U90" s="28">
        <v>8926079133.2245617</v>
      </c>
      <c r="V90" s="39">
        <v>547937611.1607672</v>
      </c>
      <c r="W90" s="28">
        <v>6718439.3722376954</v>
      </c>
      <c r="X90" s="39">
        <v>177937545000</v>
      </c>
      <c r="Y90" s="39">
        <v>35533603970.573166</v>
      </c>
      <c r="Z90" s="39">
        <v>88845718.426421195</v>
      </c>
      <c r="AA90" s="39">
        <v>735576931.81810486</v>
      </c>
    </row>
    <row r="91" spans="1:27">
      <c r="A91" s="3">
        <f t="shared" si="3"/>
        <v>2033</v>
      </c>
      <c r="B91" s="34">
        <v>7432098.8094797852</v>
      </c>
      <c r="C91" s="28">
        <v>5143012.3761600107</v>
      </c>
      <c r="D91" s="28">
        <v>243147.89937876997</v>
      </c>
      <c r="E91" s="28">
        <v>6173942.0712672025</v>
      </c>
      <c r="F91" s="28">
        <v>12852.575334737077</v>
      </c>
      <c r="G91" s="28">
        <v>10588.455522039658</v>
      </c>
      <c r="H91" s="28">
        <v>197197.79805151795</v>
      </c>
      <c r="I91" s="28">
        <v>91935.141536048191</v>
      </c>
      <c r="J91" s="28">
        <v>99789618.720984086</v>
      </c>
      <c r="K91" s="28">
        <v>2369017602.5338244</v>
      </c>
      <c r="L91" s="28">
        <v>1486290205.8634295</v>
      </c>
      <c r="M91" s="28">
        <f>L91*TechnicalInputs!$D$16</f>
        <v>1189032164.6907437</v>
      </c>
      <c r="N91" s="38">
        <v>2.3282413799999997</v>
      </c>
      <c r="O91" s="38">
        <v>2.8027672049999999</v>
      </c>
      <c r="P91" s="28">
        <v>511957486.97727054</v>
      </c>
      <c r="Q91" s="28">
        <v>81287869690.516708</v>
      </c>
      <c r="R91" s="28">
        <v>169220646.53956065</v>
      </c>
      <c r="S91" s="28">
        <v>176858040.95578438</v>
      </c>
      <c r="T91" s="28">
        <v>3269332992.3361235</v>
      </c>
      <c r="U91" s="28">
        <v>9101922892.1490841</v>
      </c>
      <c r="V91" s="39">
        <v>564808289.05111384</v>
      </c>
      <c r="W91" s="28">
        <v>6799009.5056110499</v>
      </c>
      <c r="X91" s="39">
        <v>183416137717.76337</v>
      </c>
      <c r="Y91" s="39">
        <v>36026427226.598343</v>
      </c>
      <c r="Z91" s="39">
        <v>90701583.019262746</v>
      </c>
      <c r="AA91" s="39">
        <v>739731623.81687582</v>
      </c>
    </row>
    <row r="92" spans="1:27">
      <c r="A92" s="3">
        <f t="shared" si="3"/>
        <v>2034</v>
      </c>
      <c r="B92" s="34">
        <v>7474076.854361509</v>
      </c>
      <c r="C92" s="28">
        <v>5172061.1832181634</v>
      </c>
      <c r="D92" s="28">
        <v>245579.37837255766</v>
      </c>
      <c r="E92" s="28">
        <v>6234651.8976805601</v>
      </c>
      <c r="F92" s="28">
        <v>14010.695387397893</v>
      </c>
      <c r="G92" s="28">
        <v>10694.340077260054</v>
      </c>
      <c r="H92" s="28">
        <v>198499.30351865798</v>
      </c>
      <c r="I92" s="28">
        <v>93746.263824308335</v>
      </c>
      <c r="J92" s="28">
        <v>99988556.267616391</v>
      </c>
      <c r="K92" s="28">
        <v>2356766006.4940052</v>
      </c>
      <c r="L92" s="28">
        <v>1510298275.5579579</v>
      </c>
      <c r="M92" s="28">
        <f>L92*TechnicalInputs!$D$16</f>
        <v>1208238620.4463663</v>
      </c>
      <c r="N92" s="38">
        <v>2.3350620000000002</v>
      </c>
      <c r="O92" s="38">
        <v>2.8080780000000001</v>
      </c>
      <c r="P92" s="28">
        <v>517077061.84704328</v>
      </c>
      <c r="Q92" s="28">
        <v>82087192457.309357</v>
      </c>
      <c r="R92" s="28">
        <v>184468783.11746246</v>
      </c>
      <c r="S92" s="28">
        <v>178626621.36534223</v>
      </c>
      <c r="T92" s="28">
        <v>3290910590.0855412</v>
      </c>
      <c r="U92" s="28">
        <v>9281230773.1244221</v>
      </c>
      <c r="V92" s="39">
        <v>582198405.22545934</v>
      </c>
      <c r="W92" s="28">
        <v>6880671.1568398513</v>
      </c>
      <c r="X92" s="39">
        <v>189063413094.1929</v>
      </c>
      <c r="Y92" s="39">
        <v>36647101257.708466</v>
      </c>
      <c r="Z92" s="39">
        <v>92596214.065321907</v>
      </c>
      <c r="AA92" s="39">
        <v>743909782.38298726</v>
      </c>
    </row>
    <row r="93" spans="1:27">
      <c r="A93" s="3">
        <f t="shared" si="3"/>
        <v>2035</v>
      </c>
      <c r="B93" s="35">
        <v>7516292</v>
      </c>
      <c r="C93" s="28">
        <v>5201274.0639999993</v>
      </c>
      <c r="D93" s="28">
        <v>248035.17215628325</v>
      </c>
      <c r="E93" s="28">
        <v>6295987.0000792453</v>
      </c>
      <c r="F93" s="28">
        <v>15162.218919392675</v>
      </c>
      <c r="G93" s="28">
        <v>10801.283478032656</v>
      </c>
      <c r="H93" s="28">
        <v>199809.3989218811</v>
      </c>
      <c r="I93" s="28">
        <v>95593.065221647223</v>
      </c>
      <c r="J93" s="28">
        <v>100187890.41008669</v>
      </c>
      <c r="K93" s="28">
        <v>2348048513.6278563</v>
      </c>
      <c r="L93" s="28">
        <v>1535081397.026655</v>
      </c>
      <c r="M93" s="28">
        <f>L93*TechnicalInputs!$D$16</f>
        <v>1228065117.6213241</v>
      </c>
      <c r="N93" s="38">
        <v>2.3385008100000002</v>
      </c>
      <c r="O93" s="38">
        <v>2.8132200565000001</v>
      </c>
      <c r="P93" s="28">
        <v>522247832.46551371</v>
      </c>
      <c r="Q93" s="28">
        <v>82894747784.794876</v>
      </c>
      <c r="R93" s="28">
        <v>199630068.03622723</v>
      </c>
      <c r="S93" s="28">
        <v>180412887.57899565</v>
      </c>
      <c r="T93" s="28">
        <v>3312630599.9801059</v>
      </c>
      <c r="U93" s="28">
        <v>9464071019.3549747</v>
      </c>
      <c r="V93" s="39">
        <v>600123952.88411486</v>
      </c>
      <c r="W93" s="28">
        <v>6963441.0176633075</v>
      </c>
      <c r="X93" s="39">
        <v>194884564769.48062</v>
      </c>
      <c r="Y93" s="39">
        <v>37335378794.984428</v>
      </c>
      <c r="Z93" s="39">
        <v>94530421.342370659</v>
      </c>
      <c r="AA93" s="39">
        <v>748111540.06050837</v>
      </c>
    </row>
    <row r="97" spans="1:27" s="32" customFormat="1">
      <c r="A97" s="237" t="s">
        <v>71</v>
      </c>
      <c r="B97" s="238" t="s">
        <v>345</v>
      </c>
      <c r="C97" s="239"/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239"/>
      <c r="O97" s="239"/>
      <c r="P97" s="239"/>
      <c r="Q97" s="239"/>
      <c r="R97" s="239"/>
      <c r="S97" s="239"/>
      <c r="T97" s="239"/>
      <c r="U97" s="239"/>
      <c r="V97" s="239"/>
      <c r="W97" s="239"/>
      <c r="X97" s="239"/>
      <c r="Y97" s="239"/>
      <c r="Z97" s="239"/>
      <c r="AA97" s="240"/>
    </row>
    <row r="98" spans="1:27" s="32" customFormat="1" ht="15" customHeight="1">
      <c r="A98" s="237"/>
      <c r="B98" s="237" t="s">
        <v>68</v>
      </c>
      <c r="C98" s="237" t="s">
        <v>99</v>
      </c>
      <c r="D98" s="243" t="s">
        <v>100</v>
      </c>
      <c r="E98" s="245"/>
      <c r="F98" s="245"/>
      <c r="G98" s="245"/>
      <c r="H98" s="245"/>
      <c r="I98" s="245"/>
      <c r="J98" s="244"/>
      <c r="K98" s="243" t="s">
        <v>97</v>
      </c>
      <c r="L98" s="245"/>
      <c r="M98" s="244"/>
      <c r="N98" s="243" t="s">
        <v>116</v>
      </c>
      <c r="O98" s="244"/>
      <c r="P98" s="237" t="s">
        <v>69</v>
      </c>
      <c r="Q98" s="237"/>
      <c r="R98" s="237"/>
      <c r="S98" s="237"/>
      <c r="T98" s="237"/>
      <c r="U98" s="237"/>
      <c r="V98" s="241" t="s">
        <v>107</v>
      </c>
      <c r="W98" s="237" t="s">
        <v>109</v>
      </c>
      <c r="X98" s="237" t="s">
        <v>108</v>
      </c>
      <c r="Y98" s="54" t="s">
        <v>110</v>
      </c>
      <c r="Z98" s="237" t="s">
        <v>160</v>
      </c>
      <c r="AA98" s="237" t="s">
        <v>111</v>
      </c>
    </row>
    <row r="99" spans="1:27" s="32" customFormat="1" ht="31.5">
      <c r="A99" s="237"/>
      <c r="B99" s="237"/>
      <c r="C99" s="237"/>
      <c r="D99" s="57" t="s">
        <v>101</v>
      </c>
      <c r="E99" s="57" t="s">
        <v>102</v>
      </c>
      <c r="F99" s="57" t="s">
        <v>106</v>
      </c>
      <c r="G99" s="57" t="s">
        <v>103</v>
      </c>
      <c r="H99" s="57" t="s">
        <v>104</v>
      </c>
      <c r="I99" s="57" t="s">
        <v>105</v>
      </c>
      <c r="J99" s="57" t="s">
        <v>159</v>
      </c>
      <c r="K99" s="54" t="s">
        <v>70</v>
      </c>
      <c r="L99" s="54" t="s">
        <v>98</v>
      </c>
      <c r="M99" s="54" t="s">
        <v>152</v>
      </c>
      <c r="N99" s="33" t="s">
        <v>70</v>
      </c>
      <c r="O99" s="33" t="s">
        <v>117</v>
      </c>
      <c r="P99" s="33" t="s">
        <v>101</v>
      </c>
      <c r="Q99" s="33" t="s">
        <v>102</v>
      </c>
      <c r="R99" s="33" t="s">
        <v>106</v>
      </c>
      <c r="S99" s="33" t="s">
        <v>103</v>
      </c>
      <c r="T99" s="33" t="s">
        <v>104</v>
      </c>
      <c r="U99" s="33" t="s">
        <v>105</v>
      </c>
      <c r="V99" s="242"/>
      <c r="W99" s="237"/>
      <c r="X99" s="237"/>
      <c r="Y99" s="33" t="s">
        <v>101</v>
      </c>
      <c r="Z99" s="237"/>
      <c r="AA99" s="237"/>
    </row>
    <row r="100" spans="1:27">
      <c r="A100" s="3">
        <v>2010</v>
      </c>
      <c r="B100" s="35">
        <v>6483802</v>
      </c>
      <c r="C100" s="36">
        <v>4762954</v>
      </c>
      <c r="D100" s="28">
        <v>193410</v>
      </c>
      <c r="E100" s="28">
        <v>4914668.5854779789</v>
      </c>
      <c r="F100" s="28">
        <v>106</v>
      </c>
      <c r="G100" s="28">
        <v>8422.5</v>
      </c>
      <c r="H100" s="28">
        <v>169509</v>
      </c>
      <c r="I100" s="28">
        <v>58697</v>
      </c>
      <c r="J100" s="28">
        <v>82900000</v>
      </c>
      <c r="K100" s="28">
        <v>3323160347.6330194</v>
      </c>
      <c r="L100" s="28">
        <v>1162538442.6330683</v>
      </c>
      <c r="M100" s="28">
        <f>L100*TechnicalInputs!$D$16</f>
        <v>930030754.10645473</v>
      </c>
      <c r="N100" s="38">
        <v>3.4326274379999999</v>
      </c>
      <c r="O100" s="38">
        <v>3.6616922719999998</v>
      </c>
      <c r="P100" s="28">
        <v>416685500</v>
      </c>
      <c r="Q100" s="28">
        <v>66209988933.066185</v>
      </c>
      <c r="R100" s="28">
        <v>0</v>
      </c>
      <c r="S100" s="28">
        <v>143945900</v>
      </c>
      <c r="T100" s="28">
        <v>2856189700</v>
      </c>
      <c r="U100" s="28">
        <v>6060880000</v>
      </c>
      <c r="V100" s="39">
        <v>237698014.83858031</v>
      </c>
      <c r="W100" s="28">
        <v>6548216</v>
      </c>
      <c r="X100" s="39">
        <v>75463217000</v>
      </c>
      <c r="Y100" s="39">
        <v>0</v>
      </c>
      <c r="Z100" s="39">
        <v>41255353.333333336</v>
      </c>
      <c r="AA100" s="39">
        <v>624012071</v>
      </c>
    </row>
    <row r="101" spans="1:27">
      <c r="A101" s="3">
        <f>A100+1</f>
        <v>2011</v>
      </c>
      <c r="B101" s="36">
        <v>6516922</v>
      </c>
      <c r="C101" s="36">
        <v>4727568</v>
      </c>
      <c r="D101" s="28">
        <v>195344.1</v>
      </c>
      <c r="E101" s="28">
        <v>4963815.2713327594</v>
      </c>
      <c r="F101" s="28">
        <v>114</v>
      </c>
      <c r="G101" s="28">
        <v>8506.7250000000004</v>
      </c>
      <c r="H101" s="28">
        <v>170627.75939999995</v>
      </c>
      <c r="I101" s="28">
        <v>59853.330900000001</v>
      </c>
      <c r="J101" s="28">
        <v>89100000</v>
      </c>
      <c r="K101" s="28">
        <v>3126491770.7427502</v>
      </c>
      <c r="L101" s="28">
        <v>1160099842.9069977</v>
      </c>
      <c r="M101" s="28">
        <f>L101*TechnicalInputs!$D$16</f>
        <v>928079874.32559824</v>
      </c>
      <c r="N101" s="38">
        <v>3.4326274379999999</v>
      </c>
      <c r="O101" s="38">
        <v>3.6616922719999998</v>
      </c>
      <c r="P101" s="28">
        <v>416051625</v>
      </c>
      <c r="Q101" s="28">
        <v>66109268229.478111</v>
      </c>
      <c r="R101" s="28">
        <v>2520205.0543314051</v>
      </c>
      <c r="S101" s="28">
        <v>143726925</v>
      </c>
      <c r="T101" s="28">
        <v>2851844775</v>
      </c>
      <c r="U101" s="28">
        <v>6051660000</v>
      </c>
      <c r="V101" s="39">
        <v>262171646.28032887</v>
      </c>
      <c r="W101" s="28">
        <v>6429800</v>
      </c>
      <c r="X101" s="39">
        <v>81112769000</v>
      </c>
      <c r="Y101" s="39">
        <v>0</v>
      </c>
      <c r="Z101" s="39">
        <v>45063790</v>
      </c>
      <c r="AA101" s="39">
        <v>621200578</v>
      </c>
    </row>
    <row r="102" spans="1:27">
      <c r="A102" s="3">
        <f>A101+1</f>
        <v>2012</v>
      </c>
      <c r="B102" s="36">
        <v>6537334</v>
      </c>
      <c r="C102" s="36">
        <v>4634787</v>
      </c>
      <c r="D102" s="28">
        <v>197297.541</v>
      </c>
      <c r="E102" s="28">
        <v>5010399.6578110112</v>
      </c>
      <c r="F102" s="28">
        <v>181</v>
      </c>
      <c r="G102" s="28">
        <v>8591.7922500000004</v>
      </c>
      <c r="H102" s="28">
        <v>171753.90261203996</v>
      </c>
      <c r="I102" s="28">
        <v>61032.441518730004</v>
      </c>
      <c r="J102" s="28">
        <v>90900000</v>
      </c>
      <c r="K102" s="28">
        <v>3070721595.6390829</v>
      </c>
      <c r="L102" s="28">
        <v>1158111177.5809865</v>
      </c>
      <c r="M102" s="28">
        <f>L102*TechnicalInputs!$D$16</f>
        <v>926488942.0647893</v>
      </c>
      <c r="N102" s="38">
        <v>3.47325054</v>
      </c>
      <c r="O102" s="38">
        <v>3.7147603359999994</v>
      </c>
      <c r="P102" s="28">
        <v>415417750</v>
      </c>
      <c r="Q102" s="28">
        <v>65968340774.852097</v>
      </c>
      <c r="R102" s="28">
        <v>5229883.1696011899</v>
      </c>
      <c r="S102" s="28">
        <v>143507950</v>
      </c>
      <c r="T102" s="28">
        <v>2847499850</v>
      </c>
      <c r="U102" s="28">
        <v>6042440000</v>
      </c>
      <c r="V102" s="39">
        <v>280331361.54000401</v>
      </c>
      <c r="W102" s="28">
        <v>5519876</v>
      </c>
      <c r="X102" s="39">
        <v>86221792000</v>
      </c>
      <c r="Y102" s="39">
        <v>0</v>
      </c>
      <c r="Z102" s="39">
        <v>53639630</v>
      </c>
      <c r="AA102" s="39">
        <v>650673897</v>
      </c>
    </row>
    <row r="103" spans="1:27">
      <c r="A103" s="3">
        <f>A102+1</f>
        <v>2013</v>
      </c>
      <c r="B103" s="36">
        <v>6570713</v>
      </c>
      <c r="C103" s="36">
        <v>4579439</v>
      </c>
      <c r="D103" s="28">
        <v>199270.51641000001</v>
      </c>
      <c r="E103" s="28">
        <v>5069713.2174608633</v>
      </c>
      <c r="F103" s="28">
        <v>379</v>
      </c>
      <c r="G103" s="28">
        <v>8677.7101725000011</v>
      </c>
      <c r="H103" s="28">
        <v>172887.47836927942</v>
      </c>
      <c r="I103" s="28">
        <v>62234.78061664899</v>
      </c>
      <c r="J103" s="28">
        <v>92800000</v>
      </c>
      <c r="K103" s="28">
        <v>3017345256.1580124</v>
      </c>
      <c r="L103" s="28">
        <v>1165700004.5153515</v>
      </c>
      <c r="M103" s="28">
        <f>L103*TechnicalInputs!$D$16</f>
        <v>932560003.61228132</v>
      </c>
      <c r="N103" s="38">
        <v>3.36356886</v>
      </c>
      <c r="O103" s="38">
        <v>3.6524630660000001</v>
      </c>
      <c r="P103" s="28">
        <v>414435166.78867292</v>
      </c>
      <c r="Q103" s="28">
        <v>65932077754.569595</v>
      </c>
      <c r="R103" s="28">
        <v>8324873.933615122</v>
      </c>
      <c r="S103" s="28">
        <v>143168512.16335976</v>
      </c>
      <c r="T103" s="28">
        <v>2831201718.4758468</v>
      </c>
      <c r="U103" s="28">
        <v>6086041974.0689087</v>
      </c>
      <c r="V103" s="39">
        <v>264768397.83436936</v>
      </c>
      <c r="W103" s="28">
        <v>5492012</v>
      </c>
      <c r="X103" s="39">
        <v>89720902000</v>
      </c>
      <c r="Y103" s="39">
        <v>21644350305.293369</v>
      </c>
      <c r="Z103" s="39">
        <v>53749413.333333336</v>
      </c>
      <c r="AA103" s="39">
        <v>653996175.4713099</v>
      </c>
    </row>
    <row r="104" spans="1:27">
      <c r="A104" s="3">
        <f>A103+1</f>
        <v>2014</v>
      </c>
      <c r="B104" s="37">
        <v>6596855</v>
      </c>
      <c r="C104" s="36">
        <v>4563231</v>
      </c>
      <c r="D104" s="28">
        <v>201263.22157410003</v>
      </c>
      <c r="E104" s="28">
        <v>5120100.772731971</v>
      </c>
      <c r="F104" s="28">
        <v>582</v>
      </c>
      <c r="G104" s="28">
        <v>8764.4872742250009</v>
      </c>
      <c r="H104" s="28">
        <v>174028.53572651668</v>
      </c>
      <c r="I104" s="28">
        <v>63460.805794796979</v>
      </c>
      <c r="J104" s="28">
        <v>96100000</v>
      </c>
      <c r="K104" s="28">
        <v>2958471898.4668183</v>
      </c>
      <c r="L104" s="28">
        <v>1162955899.0202558</v>
      </c>
      <c r="M104" s="28">
        <f>L104*TechnicalInputs!$D$16</f>
        <v>930364719.21620464</v>
      </c>
      <c r="N104" s="38">
        <v>3.184828488</v>
      </c>
      <c r="O104" s="38">
        <v>3.4678784280000001</v>
      </c>
      <c r="P104" s="28">
        <v>413533579.40690452</v>
      </c>
      <c r="Q104" s="28">
        <v>65784667574.742859</v>
      </c>
      <c r="R104" s="28">
        <v>12284305.072086271</v>
      </c>
      <c r="S104" s="28">
        <v>142857054.70420337</v>
      </c>
      <c r="T104" s="28">
        <v>2815532506.4214478</v>
      </c>
      <c r="U104" s="28">
        <v>6131124979.6525269</v>
      </c>
      <c r="V104" s="39">
        <v>313597854.42149591</v>
      </c>
      <c r="W104" s="28">
        <v>5459060</v>
      </c>
      <c r="X104" s="39">
        <v>91929139000</v>
      </c>
      <c r="Y104" s="39">
        <v>21910596460.143372</v>
      </c>
      <c r="Z104" s="39">
        <v>61238700</v>
      </c>
      <c r="AA104" s="39">
        <v>656598140.89259231</v>
      </c>
    </row>
    <row r="105" spans="1:27">
      <c r="A105" s="3">
        <f>A104+1</f>
        <v>2015</v>
      </c>
      <c r="B105" s="35">
        <v>6688049</v>
      </c>
      <c r="C105" s="28">
        <v>4628129.9079999998</v>
      </c>
      <c r="D105" s="28">
        <v>203811.3104415994</v>
      </c>
      <c r="E105" s="28">
        <v>5184505.550977516</v>
      </c>
      <c r="F105" s="28">
        <v>1386.359167070128</v>
      </c>
      <c r="G105" s="28">
        <v>8875.4498846717906</v>
      </c>
      <c r="H105" s="28">
        <v>176231.8204153126</v>
      </c>
      <c r="I105" s="28">
        <v>64264.250018254999</v>
      </c>
      <c r="J105" s="28">
        <v>94748446.181286544</v>
      </c>
      <c r="K105" s="28">
        <v>2843660184.7534771</v>
      </c>
      <c r="L105" s="28">
        <v>1170817267.227649</v>
      </c>
      <c r="M105" s="28">
        <f>L105*TechnicalInputs!$D$16</f>
        <v>936653813.78211927</v>
      </c>
      <c r="N105" s="38">
        <v>2.9766796499999999</v>
      </c>
      <c r="O105" s="38">
        <v>3.3017033804999998</v>
      </c>
      <c r="P105" s="28">
        <v>417147100.84478235</v>
      </c>
      <c r="Q105" s="28">
        <v>66354152603.903297</v>
      </c>
      <c r="R105" s="28">
        <v>17743386.872891113</v>
      </c>
      <c r="S105" s="28">
        <v>144105362.11001572</v>
      </c>
      <c r="T105" s="28">
        <v>2830574221.4185133</v>
      </c>
      <c r="U105" s="28">
        <v>6244097324.8504877</v>
      </c>
      <c r="V105" s="39">
        <v>325379532.46054727</v>
      </c>
      <c r="W105" s="28">
        <v>5305249.3699053442</v>
      </c>
      <c r="X105" s="39">
        <v>95205426000</v>
      </c>
      <c r="Y105" s="39">
        <v>22400098258.890717</v>
      </c>
      <c r="Z105" s="39">
        <v>64154342.498143569</v>
      </c>
      <c r="AA105" s="62">
        <v>664649881.18484473</v>
      </c>
    </row>
    <row r="106" spans="1:27">
      <c r="A106" s="3">
        <f t="shared" ref="A106:A125" si="4">A105+1</f>
        <v>2016</v>
      </c>
      <c r="B106" s="34">
        <v>6728852.0826461725</v>
      </c>
      <c r="C106" s="28">
        <v>4656365.641191151</v>
      </c>
      <c r="D106" s="28">
        <v>204864.75178793771</v>
      </c>
      <c r="E106" s="28">
        <v>5210957.0914920643</v>
      </c>
      <c r="F106" s="28">
        <v>1739.184631774202</v>
      </c>
      <c r="G106" s="28">
        <v>8921.3245020107825</v>
      </c>
      <c r="H106" s="28">
        <v>177142.71140445204</v>
      </c>
      <c r="I106" s="28">
        <v>64596.413223103489</v>
      </c>
      <c r="J106" s="28">
        <v>95417331.645059913</v>
      </c>
      <c r="K106" s="28">
        <v>2819377319.5546994</v>
      </c>
      <c r="L106" s="28">
        <v>1178992817.8046694</v>
      </c>
      <c r="M106" s="28">
        <f>L106*TechnicalInputs!$D$16</f>
        <v>943194254.24373555</v>
      </c>
      <c r="N106" s="38">
        <v>2.8737574860000001</v>
      </c>
      <c r="O106" s="38">
        <v>3.2545656395</v>
      </c>
      <c r="P106" s="28">
        <v>420789044.61470807</v>
      </c>
      <c r="Q106" s="28">
        <v>66929024435.437706</v>
      </c>
      <c r="R106" s="28">
        <v>22337917.713388473</v>
      </c>
      <c r="S106" s="28">
        <v>145363488.13962644</v>
      </c>
      <c r="T106" s="28">
        <v>2845674971.2586417</v>
      </c>
      <c r="U106" s="28">
        <v>6359103650.8359213</v>
      </c>
      <c r="V106" s="39">
        <v>335237857.67936295</v>
      </c>
      <c r="W106" s="28">
        <v>5360086.4811283145</v>
      </c>
      <c r="X106" s="39">
        <v>98994412000</v>
      </c>
      <c r="Y106" s="39">
        <v>22731757850.830399</v>
      </c>
      <c r="Z106" s="39">
        <v>66341437.59844055</v>
      </c>
      <c r="AA106" s="62">
        <v>669115541.29418099</v>
      </c>
    </row>
    <row r="107" spans="1:27">
      <c r="A107" s="3">
        <f t="shared" si="4"/>
        <v>2017</v>
      </c>
      <c r="B107" s="34">
        <v>6769904.100602692</v>
      </c>
      <c r="C107" s="28">
        <v>4684773.6376170628</v>
      </c>
      <c r="D107" s="28">
        <v>205923.63806600121</v>
      </c>
      <c r="E107" s="28">
        <v>5237570.9188560992</v>
      </c>
      <c r="F107" s="28">
        <v>2068.2672135829926</v>
      </c>
      <c r="G107" s="28">
        <v>8967.43623189543</v>
      </c>
      <c r="H107" s="28">
        <v>178058.31052400827</v>
      </c>
      <c r="I107" s="28">
        <v>64930.293282884908</v>
      </c>
      <c r="J107" s="28">
        <v>96165572.479166165</v>
      </c>
      <c r="K107" s="28">
        <v>2783786885.5726061</v>
      </c>
      <c r="L107" s="28">
        <v>1183220389.6137705</v>
      </c>
      <c r="M107" s="28">
        <f>L107*TechnicalInputs!$D$16</f>
        <v>946576311.69101644</v>
      </c>
      <c r="N107" s="38">
        <v>2.8317264840000003</v>
      </c>
      <c r="O107" s="38">
        <v>3.2552696014999998</v>
      </c>
      <c r="P107" s="28">
        <v>424459580.53868949</v>
      </c>
      <c r="Q107" s="28">
        <v>67508719432.427231</v>
      </c>
      <c r="R107" s="28">
        <v>26658554.737706207</v>
      </c>
      <c r="S107" s="28">
        <v>146631491.45882002</v>
      </c>
      <c r="T107" s="28">
        <v>2860834685.5642223</v>
      </c>
      <c r="U107" s="28">
        <v>6476179322.2485275</v>
      </c>
      <c r="V107" s="39">
        <v>345394869.71288079</v>
      </c>
      <c r="W107" s="28">
        <v>5415537.6074948274</v>
      </c>
      <c r="X107" s="39">
        <v>102539266000</v>
      </c>
      <c r="Y107" s="39">
        <v>23068978559.895355</v>
      </c>
      <c r="Z107" s="39">
        <v>68888447.028759629</v>
      </c>
      <c r="AA107" s="62">
        <v>673197744.74862099</v>
      </c>
    </row>
    <row r="108" spans="1:27">
      <c r="A108" s="3">
        <f t="shared" si="4"/>
        <v>2018</v>
      </c>
      <c r="B108" s="34">
        <v>6811206.5725976722</v>
      </c>
      <c r="C108" s="28">
        <v>4713354.9482375886</v>
      </c>
      <c r="D108" s="28">
        <v>206987.99741905724</v>
      </c>
      <c r="E108" s="28">
        <v>5264261.9861467192</v>
      </c>
      <c r="F108" s="28">
        <v>2459.3699288396165</v>
      </c>
      <c r="G108" s="28">
        <v>9013.7862998914716</v>
      </c>
      <c r="H108" s="28">
        <v>178978.64210893703</v>
      </c>
      <c r="I108" s="28">
        <v>65265.899071522726</v>
      </c>
      <c r="J108" s="28">
        <v>96564181.870536759</v>
      </c>
      <c r="K108" s="28">
        <v>2746539419.6608768</v>
      </c>
      <c r="L108" s="28">
        <v>1188717049.6678112</v>
      </c>
      <c r="M108" s="28">
        <f>L108*TechnicalInputs!$D$16</f>
        <v>950973639.734249</v>
      </c>
      <c r="N108" s="38">
        <v>2.8248474960000003</v>
      </c>
      <c r="O108" s="38">
        <v>3.2887879569999998</v>
      </c>
      <c r="P108" s="28">
        <v>428158878.50755835</v>
      </c>
      <c r="Q108" s="28">
        <v>68092158473.997032</v>
      </c>
      <c r="R108" s="28">
        <v>31811449.996484146</v>
      </c>
      <c r="S108" s="28">
        <v>147909430.75715655</v>
      </c>
      <c r="T108" s="28">
        <v>2876053288.6968169</v>
      </c>
      <c r="U108" s="28">
        <v>6595360285.84972</v>
      </c>
      <c r="V108" s="39">
        <v>355859618.15231413</v>
      </c>
      <c r="W108" s="28">
        <v>5471610.237639511</v>
      </c>
      <c r="X108" s="39">
        <v>106231686000</v>
      </c>
      <c r="Y108" s="39">
        <v>23411860457.301559</v>
      </c>
      <c r="Z108" s="39">
        <v>71333241.190216526</v>
      </c>
      <c r="AA108" s="62">
        <v>677304853.29644942</v>
      </c>
    </row>
    <row r="109" spans="1:27">
      <c r="A109" s="3">
        <f t="shared" si="4"/>
        <v>2019</v>
      </c>
      <c r="B109" s="34">
        <v>6852761.0266248267</v>
      </c>
      <c r="C109" s="28">
        <v>4742110.6304243794</v>
      </c>
      <c r="D109" s="28">
        <v>208057.85813583768</v>
      </c>
      <c r="E109" s="28">
        <v>5291131.1847064309</v>
      </c>
      <c r="F109" s="28">
        <v>2812.3212297614664</v>
      </c>
      <c r="G109" s="28">
        <v>9060.3759378992436</v>
      </c>
      <c r="H109" s="28">
        <v>179903.73061997467</v>
      </c>
      <c r="I109" s="28">
        <v>65603.239508807179</v>
      </c>
      <c r="J109" s="28">
        <v>96916039.950240821</v>
      </c>
      <c r="K109" s="28">
        <v>2708097578.1933203</v>
      </c>
      <c r="L109" s="28">
        <v>1196826330.6928022</v>
      </c>
      <c r="M109" s="28">
        <f>L109*TechnicalInputs!$D$16</f>
        <v>957461064.55424178</v>
      </c>
      <c r="N109" s="38">
        <v>2.8337001660000003</v>
      </c>
      <c r="O109" s="38">
        <v>3.3600651455000001</v>
      </c>
      <c r="P109" s="28">
        <v>431887108.46135211</v>
      </c>
      <c r="Q109" s="28">
        <v>68680660328.282585</v>
      </c>
      <c r="R109" s="28">
        <v>36504874.359099567</v>
      </c>
      <c r="S109" s="28">
        <v>149197364.74119437</v>
      </c>
      <c r="T109" s="28">
        <v>2891330699.688951</v>
      </c>
      <c r="U109" s="28">
        <v>6716683079.2649603</v>
      </c>
      <c r="V109" s="39">
        <v>366641426.77272713</v>
      </c>
      <c r="W109" s="28">
        <v>5528311.957401773</v>
      </c>
      <c r="X109" s="39">
        <v>110267145000</v>
      </c>
      <c r="Y109" s="39">
        <v>23760505478.255943</v>
      </c>
      <c r="Z109" s="39">
        <v>73333623.335636824</v>
      </c>
      <c r="AA109" s="62">
        <v>681437018.88101792</v>
      </c>
    </row>
    <row r="110" spans="1:27">
      <c r="A110" s="3">
        <f t="shared" si="4"/>
        <v>2020</v>
      </c>
      <c r="B110" s="35">
        <v>6894569</v>
      </c>
      <c r="C110" s="28">
        <v>4771041.7479999997</v>
      </c>
      <c r="D110" s="28">
        <v>209133.24865129037</v>
      </c>
      <c r="E110" s="28">
        <v>5318161.5451526595</v>
      </c>
      <c r="F110" s="28">
        <v>3144.8140140473843</v>
      </c>
      <c r="G110" s="28">
        <v>9107.2063841864074</v>
      </c>
      <c r="H110" s="28">
        <v>180833.60064428765</v>
      </c>
      <c r="I110" s="28">
        <v>65942.323560632241</v>
      </c>
      <c r="J110" s="28">
        <v>97230962.06627664</v>
      </c>
      <c r="K110" s="28">
        <v>2667726845.3501601</v>
      </c>
      <c r="L110" s="28">
        <v>1205982381.4960155</v>
      </c>
      <c r="M110" s="28">
        <f>L110*TechnicalInputs!$D$16</f>
        <v>964785905.19681251</v>
      </c>
      <c r="N110" s="38">
        <v>2.8746523859999997</v>
      </c>
      <c r="O110" s="38">
        <v>3.4178244764999999</v>
      </c>
      <c r="P110" s="28">
        <v>435644440.36933362</v>
      </c>
      <c r="Q110" s="28">
        <v>69274026723.761017</v>
      </c>
      <c r="R110" s="28">
        <v>40964143.003310367</v>
      </c>
      <c r="S110" s="28">
        <v>150495352.12758797</v>
      </c>
      <c r="T110" s="28">
        <v>2906666832.1756582</v>
      </c>
      <c r="U110" s="28">
        <v>6840184839.8363628</v>
      </c>
      <c r="V110" s="39">
        <v>377749901.84023738</v>
      </c>
      <c r="W110" s="28">
        <v>5585650.4510931503</v>
      </c>
      <c r="X110" s="39">
        <v>114279158000</v>
      </c>
      <c r="Y110" s="39">
        <v>24115017457.222122</v>
      </c>
      <c r="Z110" s="39">
        <v>75151511.927123174</v>
      </c>
      <c r="AA110" s="62">
        <v>685594394.37266934</v>
      </c>
    </row>
    <row r="111" spans="1:27">
      <c r="A111" s="3">
        <f t="shared" si="4"/>
        <v>2021</v>
      </c>
      <c r="B111" s="34">
        <v>6935380.1824488426</v>
      </c>
      <c r="C111" s="28">
        <v>4799283.0862545986</v>
      </c>
      <c r="D111" s="28">
        <v>210094.43826883056</v>
      </c>
      <c r="E111" s="28">
        <v>5342290.6923142048</v>
      </c>
      <c r="F111" s="28">
        <v>3472.7269190726802</v>
      </c>
      <c r="G111" s="28">
        <v>9149.0636798470878</v>
      </c>
      <c r="H111" s="28">
        <v>181664.72329246841</v>
      </c>
      <c r="I111" s="28">
        <v>66245.398643966502</v>
      </c>
      <c r="J111" s="28">
        <v>97515966.152356729</v>
      </c>
      <c r="K111" s="28">
        <v>2622929879.8526411</v>
      </c>
      <c r="L111" s="28">
        <v>1216182856.0204773</v>
      </c>
      <c r="M111" s="28">
        <f>L111*TechnicalInputs!$D$16</f>
        <v>972946284.81638193</v>
      </c>
      <c r="N111" s="38">
        <v>2.9113698480000001</v>
      </c>
      <c r="O111" s="38">
        <v>3.483640909</v>
      </c>
      <c r="P111" s="28">
        <v>439431044.20964611</v>
      </c>
      <c r="Q111" s="28">
        <v>69872054013.912445</v>
      </c>
      <c r="R111" s="28">
        <v>45419947.516899243</v>
      </c>
      <c r="S111" s="28">
        <v>151803451.63605961</v>
      </c>
      <c r="T111" s="28">
        <v>2922061594.3257871</v>
      </c>
      <c r="U111" s="28">
        <v>6965903313.5864172</v>
      </c>
      <c r="V111" s="39">
        <v>388973215.85005373</v>
      </c>
      <c r="W111" s="28">
        <v>5643633.502779562</v>
      </c>
      <c r="X111" s="39">
        <v>118176580000</v>
      </c>
      <c r="Y111" s="39">
        <v>24461558441.148479</v>
      </c>
      <c r="Z111" s="39">
        <v>76797726.496682703</v>
      </c>
      <c r="AA111" s="62">
        <v>689384166.72053671</v>
      </c>
    </row>
    <row r="112" spans="1:27">
      <c r="A112" s="3">
        <f t="shared" si="4"/>
        <v>2022</v>
      </c>
      <c r="B112" s="34">
        <v>6976432.939478036</v>
      </c>
      <c r="C112" s="28">
        <v>4827691.5941188009</v>
      </c>
      <c r="D112" s="28">
        <v>211060.04557455209</v>
      </c>
      <c r="E112" s="28">
        <v>5366507.9778104546</v>
      </c>
      <c r="F112" s="28">
        <v>3824.9076819224283</v>
      </c>
      <c r="G112" s="28">
        <v>9191.1133542819116</v>
      </c>
      <c r="H112" s="28">
        <v>182499.66583282553</v>
      </c>
      <c r="I112" s="28">
        <v>66549.866679522951</v>
      </c>
      <c r="J112" s="28">
        <v>97776243.532790825</v>
      </c>
      <c r="K112" s="28">
        <v>2574277911.6822858</v>
      </c>
      <c r="L112" s="28">
        <v>1227611843.5119295</v>
      </c>
      <c r="M112" s="28">
        <f>L112*TechnicalInputs!$D$16</f>
        <v>982089474.80954361</v>
      </c>
      <c r="N112" s="38">
        <v>2.9413499099999996</v>
      </c>
      <c r="O112" s="38">
        <v>3.5540338714999997</v>
      </c>
      <c r="P112" s="28">
        <v>443247089.94860351</v>
      </c>
      <c r="Q112" s="28">
        <v>70474411823.600433</v>
      </c>
      <c r="R112" s="28">
        <v>50229706.221936166</v>
      </c>
      <c r="S112" s="28">
        <v>153121721.98224485</v>
      </c>
      <c r="T112" s="28">
        <v>2937514888.7731018</v>
      </c>
      <c r="U112" s="28">
        <v>7093876864.2936954</v>
      </c>
      <c r="V112" s="39">
        <v>400529985.34655404</v>
      </c>
      <c r="W112" s="28">
        <v>5702268.9975786991</v>
      </c>
      <c r="X112" s="39">
        <v>122315379000</v>
      </c>
      <c r="Y112" s="39">
        <v>24813770291.712372</v>
      </c>
      <c r="Z112" s="39">
        <v>78303857.705853537</v>
      </c>
      <c r="AA112" s="62">
        <v>693464854.43363035</v>
      </c>
    </row>
    <row r="113" spans="1:27">
      <c r="A113" s="3">
        <f t="shared" si="4"/>
        <v>2023</v>
      </c>
      <c r="B113" s="34">
        <v>7017728.7010456054</v>
      </c>
      <c r="C113" s="28">
        <v>4856268.2611235585</v>
      </c>
      <c r="D113" s="28">
        <v>212030.09087242858</v>
      </c>
      <c r="E113" s="28">
        <v>5390817.9432100663</v>
      </c>
      <c r="F113" s="28">
        <v>4197.3313598930836</v>
      </c>
      <c r="G113" s="28">
        <v>9233.3562916758656</v>
      </c>
      <c r="H113" s="28">
        <v>183338.4458218246</v>
      </c>
      <c r="I113" s="28">
        <v>66855.73406939792</v>
      </c>
      <c r="J113" s="28">
        <v>98015742.216549546</v>
      </c>
      <c r="K113" s="28">
        <v>2522306449.5033627</v>
      </c>
      <c r="L113" s="28">
        <v>1240374610.2658365</v>
      </c>
      <c r="M113" s="28">
        <f>L113*TechnicalInputs!$D$16</f>
        <v>992299688.21266925</v>
      </c>
      <c r="N113" s="38">
        <v>2.9884639440000003</v>
      </c>
      <c r="O113" s="38">
        <v>3.6032557855</v>
      </c>
      <c r="P113" s="28">
        <v>447092747.51960909</v>
      </c>
      <c r="Q113" s="28">
        <v>71081176271.907822</v>
      </c>
      <c r="R113" s="28">
        <v>55344337.984898999</v>
      </c>
      <c r="S113" s="28">
        <v>154450221.87041044</v>
      </c>
      <c r="T113" s="28">
        <v>2953026612.5471587</v>
      </c>
      <c r="U113" s="28">
        <v>7224144482.6814203</v>
      </c>
      <c r="V113" s="39">
        <v>412430117.61394173</v>
      </c>
      <c r="W113" s="28">
        <v>5761564.9229725935</v>
      </c>
      <c r="X113" s="39">
        <v>126856676000</v>
      </c>
      <c r="Y113" s="39">
        <v>25171752538.078773</v>
      </c>
      <c r="Z113" s="39">
        <v>79691471.796481475</v>
      </c>
      <c r="AA113" s="62">
        <v>697569697.05630195</v>
      </c>
    </row>
    <row r="114" spans="1:27">
      <c r="A114" s="3">
        <f t="shared" si="4"/>
        <v>2024</v>
      </c>
      <c r="B114" s="34">
        <v>7059268.9055739604</v>
      </c>
      <c r="C114" s="28">
        <v>4885014.0826571798</v>
      </c>
      <c r="D114" s="28">
        <v>213004.59455975247</v>
      </c>
      <c r="E114" s="28">
        <v>5415193.4018926164</v>
      </c>
      <c r="F114" s="28">
        <v>4617.7035738183185</v>
      </c>
      <c r="G114" s="28">
        <v>9275.7933802777225</v>
      </c>
      <c r="H114" s="28">
        <v>184181.08089662201</v>
      </c>
      <c r="I114" s="28">
        <v>67163.007245112254</v>
      </c>
      <c r="J114" s="28">
        <v>98237534.574385151</v>
      </c>
      <c r="K114" s="28">
        <v>2467030487.658258</v>
      </c>
      <c r="L114" s="28">
        <v>1254298046.7836266</v>
      </c>
      <c r="M114" s="28">
        <f>L114*TechnicalInputs!$D$16</f>
        <v>1003438437.4269013</v>
      </c>
      <c r="N114" s="38">
        <v>3.0247099020000001</v>
      </c>
      <c r="O114" s="38">
        <v>3.6485752170000003</v>
      </c>
      <c r="P114" s="28">
        <v>450968186.80170435</v>
      </c>
      <c r="Q114" s="28">
        <v>71692004232.652512</v>
      </c>
      <c r="R114" s="28">
        <v>61133998.28777805</v>
      </c>
      <c r="S114" s="28">
        <v>155789009.98604333</v>
      </c>
      <c r="T114" s="28">
        <v>2968596657.0039992</v>
      </c>
      <c r="U114" s="28">
        <v>7356745795.7197227</v>
      </c>
      <c r="V114" s="39">
        <v>424683814.29139173</v>
      </c>
      <c r="W114" s="28">
        <v>5821529.3701355048</v>
      </c>
      <c r="X114" s="39">
        <v>131623193000</v>
      </c>
      <c r="Y114" s="39">
        <v>25535606513.808739</v>
      </c>
      <c r="Z114" s="39">
        <v>80977770.202317223</v>
      </c>
      <c r="AA114" s="62">
        <v>701698837.56926918</v>
      </c>
    </row>
    <row r="115" spans="1:27">
      <c r="A115" s="3">
        <f t="shared" si="4"/>
        <v>2025</v>
      </c>
      <c r="B115" s="35">
        <v>7101055</v>
      </c>
      <c r="C115" s="28">
        <v>4913930.0599999996</v>
      </c>
      <c r="D115" s="28">
        <v>213983.57712756301</v>
      </c>
      <c r="E115" s="28">
        <v>5439606.1598055586</v>
      </c>
      <c r="F115" s="28">
        <v>5114.7397620035335</v>
      </c>
      <c r="G115" s="28">
        <v>9318.4255124186893</v>
      </c>
      <c r="H115" s="28">
        <v>185027.58877543549</v>
      </c>
      <c r="I115" s="28">
        <v>67471.692667746436</v>
      </c>
      <c r="J115" s="28">
        <v>98444058.459106848</v>
      </c>
      <c r="K115" s="28">
        <v>2409257428.4481373</v>
      </c>
      <c r="L115" s="28">
        <v>1269092822.3231895</v>
      </c>
      <c r="M115" s="28">
        <f>L115*TechnicalInputs!$D$16</f>
        <v>1015274257.8585516</v>
      </c>
      <c r="N115" s="38">
        <v>3.0551553120000001</v>
      </c>
      <c r="O115" s="38">
        <v>3.7040794350000001</v>
      </c>
      <c r="P115" s="28">
        <v>454873577.59774387</v>
      </c>
      <c r="Q115" s="28">
        <v>72306533197.479477</v>
      </c>
      <c r="R115" s="28">
        <v>67988212.663366318</v>
      </c>
      <c r="S115" s="28">
        <v>157138144.98831153</v>
      </c>
      <c r="T115" s="28">
        <v>2984224907.7566566</v>
      </c>
      <c r="U115" s="28">
        <v>7491721076.0424395</v>
      </c>
      <c r="V115" s="39">
        <v>437301580.11862075</v>
      </c>
      <c r="W115" s="28">
        <v>5882170.5352772679</v>
      </c>
      <c r="X115" s="39">
        <v>136571049999.99998</v>
      </c>
      <c r="Y115" s="39">
        <v>25905435390.030952</v>
      </c>
      <c r="Z115" s="39">
        <v>82176461.904254764</v>
      </c>
      <c r="AA115" s="62">
        <v>705852419.79959881</v>
      </c>
    </row>
    <row r="116" spans="1:27">
      <c r="A116" s="3">
        <f t="shared" si="4"/>
        <v>2026</v>
      </c>
      <c r="B116" s="34">
        <v>7141886.5243841968</v>
      </c>
      <c r="C116" s="28">
        <v>4942185.4748738641</v>
      </c>
      <c r="D116" s="28">
        <v>214787.87600324774</v>
      </c>
      <c r="E116" s="28">
        <v>5459487.2537944801</v>
      </c>
      <c r="F116" s="28">
        <v>5698.6877951100469</v>
      </c>
      <c r="G116" s="28">
        <v>9353.4506263241474</v>
      </c>
      <c r="H116" s="28">
        <v>185723.05093949693</v>
      </c>
      <c r="I116" s="28">
        <v>67725.298141968728</v>
      </c>
      <c r="J116" s="28">
        <v>98637280.676199034</v>
      </c>
      <c r="K116" s="28">
        <v>2352237905.7321787</v>
      </c>
      <c r="L116" s="28">
        <v>1284480192.624784</v>
      </c>
      <c r="M116" s="28">
        <f>L116*TechnicalInputs!$D$16</f>
        <v>1027584154.0998273</v>
      </c>
      <c r="N116" s="38">
        <v>3.0795923520000001</v>
      </c>
      <c r="O116" s="38">
        <v>3.7470090735000001</v>
      </c>
      <c r="P116" s="28">
        <v>458809089.61219478</v>
      </c>
      <c r="Q116" s="28">
        <v>72924577473.257385</v>
      </c>
      <c r="R116" s="28">
        <v>76119675.766552389</v>
      </c>
      <c r="S116" s="28">
        <v>158497685.50239459</v>
      </c>
      <c r="T116" s="28">
        <v>2999911244.6055002</v>
      </c>
      <c r="U116" s="28">
        <v>7629111251.4793234</v>
      </c>
      <c r="V116" s="39">
        <v>449918894.702434</v>
      </c>
      <c r="W116" s="28">
        <v>5943496.7210022099</v>
      </c>
      <c r="X116" s="39">
        <v>141796972000</v>
      </c>
      <c r="Y116" s="39">
        <v>26259437716.828163</v>
      </c>
      <c r="Z116" s="39">
        <v>83298665.076175258</v>
      </c>
      <c r="AA116" s="62">
        <v>709438751.1298691</v>
      </c>
    </row>
    <row r="117" spans="1:27">
      <c r="A117" s="3">
        <f t="shared" si="4"/>
        <v>2027</v>
      </c>
      <c r="B117" s="34">
        <v>7182952.832667904</v>
      </c>
      <c r="C117" s="28">
        <v>4970603.3602061896</v>
      </c>
      <c r="D117" s="28">
        <v>215595.19799262233</v>
      </c>
      <c r="E117" s="28">
        <v>5479366.3726135883</v>
      </c>
      <c r="F117" s="28">
        <v>6361.5328371254727</v>
      </c>
      <c r="G117" s="28">
        <v>9388.607388929533</v>
      </c>
      <c r="H117" s="28">
        <v>186421.12713330839</v>
      </c>
      <c r="I117" s="28">
        <v>67979.856841669884</v>
      </c>
      <c r="J117" s="28">
        <v>98818810.996317029</v>
      </c>
      <c r="K117" s="28">
        <v>2296960233.0697293</v>
      </c>
      <c r="L117" s="28">
        <v>1300402402.1144335</v>
      </c>
      <c r="M117" s="28">
        <f>L117*TechnicalInputs!$D$16</f>
        <v>1040321921.6915469</v>
      </c>
      <c r="N117" s="38">
        <v>3.1196236800000001</v>
      </c>
      <c r="O117" s="38">
        <v>3.8022677595000003</v>
      </c>
      <c r="P117" s="28">
        <v>462774892.42855889</v>
      </c>
      <c r="Q117" s="28">
        <v>73546305324.025177</v>
      </c>
      <c r="R117" s="28">
        <v>85387105.835174084</v>
      </c>
      <c r="S117" s="28">
        <v>159867690.11168399</v>
      </c>
      <c r="T117" s="28">
        <v>3015655541.4684262</v>
      </c>
      <c r="U117" s="28">
        <v>7768957914.704442</v>
      </c>
      <c r="V117" s="39">
        <v>462900252.39641327</v>
      </c>
      <c r="W117" s="28">
        <v>6005516.3376837503</v>
      </c>
      <c r="X117" s="39">
        <v>147324390000</v>
      </c>
      <c r="Y117" s="39">
        <v>26619008477.810921</v>
      </c>
      <c r="Z117" s="39">
        <v>84353516.480910987</v>
      </c>
      <c r="AA117" s="62">
        <v>713518069.71926916</v>
      </c>
    </row>
    <row r="118" spans="1:27">
      <c r="A118" s="3">
        <f t="shared" si="4"/>
        <v>2028</v>
      </c>
      <c r="B118" s="34">
        <v>7224255.2748736907</v>
      </c>
      <c r="C118" s="28">
        <v>4999184.6502125934</v>
      </c>
      <c r="D118" s="28">
        <v>216405.55445864741</v>
      </c>
      <c r="E118" s="28">
        <v>5499232.214326161</v>
      </c>
      <c r="F118" s="28">
        <v>7114.865950461477</v>
      </c>
      <c r="G118" s="28">
        <v>9423.8962950620808</v>
      </c>
      <c r="H118" s="28">
        <v>187121.82718220894</v>
      </c>
      <c r="I118" s="28">
        <v>68235.372349733254</v>
      </c>
      <c r="J118" s="28">
        <v>98989983.641414985</v>
      </c>
      <c r="K118" s="28">
        <v>2243464081.5623283</v>
      </c>
      <c r="L118" s="28">
        <v>1316879837.6330302</v>
      </c>
      <c r="M118" s="28">
        <f>L118*TechnicalInputs!$D$16</f>
        <v>1053503870.1064242</v>
      </c>
      <c r="N118" s="38">
        <v>3.124872012</v>
      </c>
      <c r="O118" s="38">
        <v>3.8342720009999995</v>
      </c>
      <c r="P118" s="28">
        <v>466771155.48641407</v>
      </c>
      <c r="Q118" s="28">
        <v>74171571581.507385</v>
      </c>
      <c r="R118" s="28">
        <v>95962630.521891683</v>
      </c>
      <c r="S118" s="28">
        <v>161248217.34985214</v>
      </c>
      <c r="T118" s="28">
        <v>3031457666.3109126</v>
      </c>
      <c r="U118" s="28">
        <v>7911303333.0016232</v>
      </c>
      <c r="V118" s="39">
        <v>476256156.8132869</v>
      </c>
      <c r="W118" s="28">
        <v>6068237.9048548071</v>
      </c>
      <c r="X118" s="39">
        <v>152930278000</v>
      </c>
      <c r="Y118" s="39">
        <v>26984241612.59864</v>
      </c>
      <c r="Z118" s="39">
        <v>85348614.177206367</v>
      </c>
      <c r="AA118" s="62">
        <v>717620844.65374136</v>
      </c>
    </row>
    <row r="119" spans="1:27">
      <c r="A119" s="3">
        <f t="shared" si="4"/>
        <v>2029</v>
      </c>
      <c r="B119" s="34">
        <v>7265795.2087868443</v>
      </c>
      <c r="C119" s="28">
        <v>5027930.2844804963</v>
      </c>
      <c r="D119" s="28">
        <v>217218.95680699334</v>
      </c>
      <c r="E119" s="28">
        <v>5519109.6108101057</v>
      </c>
      <c r="F119" s="28">
        <v>7934.1454696301371</v>
      </c>
      <c r="G119" s="28">
        <v>9459.3178414089271</v>
      </c>
      <c r="H119" s="28">
        <v>187825.16094846808</v>
      </c>
      <c r="I119" s="28">
        <v>68491.84826250904</v>
      </c>
      <c r="J119" s="28">
        <v>99151916.778700233</v>
      </c>
      <c r="K119" s="28">
        <v>2191774249.3207955</v>
      </c>
      <c r="L119" s="28">
        <v>1333828280.4089847</v>
      </c>
      <c r="M119" s="28">
        <f>L119*TechnicalInputs!$D$16</f>
        <v>1067062624.3271878</v>
      </c>
      <c r="N119" s="38">
        <v>3.15141486</v>
      </c>
      <c r="O119" s="38">
        <v>3.8776317089999996</v>
      </c>
      <c r="P119" s="28">
        <v>470798048.05807495</v>
      </c>
      <c r="Q119" s="28">
        <v>74800717631.180984</v>
      </c>
      <c r="R119" s="28">
        <v>107531797.11381344</v>
      </c>
      <c r="S119" s="28">
        <v>162639325.69278955</v>
      </c>
      <c r="T119" s="28">
        <v>3047317481.0759463</v>
      </c>
      <c r="U119" s="28">
        <v>8056190458.1477365</v>
      </c>
      <c r="V119" s="39">
        <v>489997414.62296855</v>
      </c>
      <c r="W119" s="28">
        <v>6131670.0526141301</v>
      </c>
      <c r="X119" s="39">
        <v>158777951000</v>
      </c>
      <c r="Y119" s="39">
        <v>27355232693.476532</v>
      </c>
      <c r="Z119" s="39">
        <v>86290343.438675866</v>
      </c>
      <c r="AA119" s="62">
        <v>721747210.80878282</v>
      </c>
    </row>
    <row r="120" spans="1:27">
      <c r="A120" s="3">
        <f t="shared" si="4"/>
        <v>2030</v>
      </c>
      <c r="B120" s="35">
        <v>7307574</v>
      </c>
      <c r="C120" s="28">
        <v>5056841.2079999996</v>
      </c>
      <c r="D120" s="28">
        <v>218035.41648620105</v>
      </c>
      <c r="E120" s="28">
        <v>5539020.9530966859</v>
      </c>
      <c r="F120" s="28">
        <v>8797.2716666124761</v>
      </c>
      <c r="G120" s="28">
        <v>9494.8725265241064</v>
      </c>
      <c r="H120" s="28">
        <v>188531.13833142447</v>
      </c>
      <c r="I120" s="28">
        <v>68749.288189865096</v>
      </c>
      <c r="J120" s="28">
        <v>99305556.780168712</v>
      </c>
      <c r="K120" s="28">
        <v>2141873529.1633313</v>
      </c>
      <c r="L120" s="28">
        <v>1351481572.2428143</v>
      </c>
      <c r="M120" s="28">
        <f>L120*TechnicalInputs!$D$16</f>
        <v>1081185257.7942514</v>
      </c>
      <c r="N120" s="38">
        <v>3.1807456920000003</v>
      </c>
      <c r="O120" s="38">
        <v>3.9170524155000002</v>
      </c>
      <c r="P120" s="28">
        <v>474855739.22487062</v>
      </c>
      <c r="Q120" s="28">
        <v>75434057905.752289</v>
      </c>
      <c r="R120" s="28">
        <v>119807075.28122786</v>
      </c>
      <c r="S120" s="28">
        <v>164041073.55040985</v>
      </c>
      <c r="T120" s="28">
        <v>3063234841.6138535</v>
      </c>
      <c r="U120" s="28">
        <v>8203662936.4146414</v>
      </c>
      <c r="V120" s="39">
        <v>504135144.29656404</v>
      </c>
      <c r="W120" s="28">
        <v>6195821.5230486961</v>
      </c>
      <c r="X120" s="39">
        <v>164961908000</v>
      </c>
      <c r="Y120" s="39">
        <v>27732078954.108253</v>
      </c>
      <c r="Z120" s="39">
        <v>87184121.014912128</v>
      </c>
      <c r="AA120" s="62">
        <v>725897303.83543396</v>
      </c>
    </row>
    <row r="121" spans="1:27">
      <c r="A121" s="3">
        <f t="shared" si="4"/>
        <v>2031</v>
      </c>
      <c r="B121" s="34">
        <v>7348848.702774033</v>
      </c>
      <c r="C121" s="28">
        <v>5085403.30231963</v>
      </c>
      <c r="D121" s="28">
        <v>218672.48234906874</v>
      </c>
      <c r="E121" s="28">
        <v>5554313.2503645038</v>
      </c>
      <c r="F121" s="28">
        <v>9714.8437005355954</v>
      </c>
      <c r="G121" s="28">
        <v>9522.6150798047183</v>
      </c>
      <c r="H121" s="28">
        <v>189081.99724349548</v>
      </c>
      <c r="I121" s="28">
        <v>68950.16300785591</v>
      </c>
      <c r="J121" s="28">
        <v>99451711.700892329</v>
      </c>
      <c r="K121" s="28">
        <v>2093767656.7918589</v>
      </c>
      <c r="L121" s="28">
        <v>1369691434.4846051</v>
      </c>
      <c r="M121" s="28">
        <f>L121*TechnicalInputs!$D$16</f>
        <v>1095753147.5876842</v>
      </c>
      <c r="N121" s="38">
        <v>3.21429498</v>
      </c>
      <c r="O121" s="38">
        <v>3.9632405330000005</v>
      </c>
      <c r="P121" s="28">
        <v>478944397.85303658</v>
      </c>
      <c r="Q121" s="28">
        <v>76071354148.813019</v>
      </c>
      <c r="R121" s="28">
        <v>133053589.58559299</v>
      </c>
      <c r="S121" s="28">
        <v>165453519.25832173</v>
      </c>
      <c r="T121" s="28">
        <v>3079209597.6120362</v>
      </c>
      <c r="U121" s="28">
        <v>8353765118.6905575</v>
      </c>
      <c r="V121" s="39">
        <v>518248353.1796096</v>
      </c>
      <c r="W121" s="28">
        <v>6260701.1716722455</v>
      </c>
      <c r="X121" s="39">
        <v>171276791000</v>
      </c>
      <c r="Y121" s="39">
        <v>28091439523.645859</v>
      </c>
      <c r="Z121" s="39">
        <v>88034581.027436465</v>
      </c>
      <c r="AA121" s="62">
        <v>729462588.84305263</v>
      </c>
    </row>
    <row r="122" spans="1:27">
      <c r="A122" s="3">
        <f t="shared" si="4"/>
        <v>2032</v>
      </c>
      <c r="B122" s="34">
        <v>7390356.5336818462</v>
      </c>
      <c r="C122" s="28">
        <v>5114126.7213078374</v>
      </c>
      <c r="D122" s="28">
        <v>219311.40962014327</v>
      </c>
      <c r="E122" s="28">
        <v>5569629.8685358409</v>
      </c>
      <c r="F122" s="28">
        <v>10655.457569250837</v>
      </c>
      <c r="G122" s="28">
        <v>9550.4386925477265</v>
      </c>
      <c r="H122" s="28">
        <v>189634.46568035742</v>
      </c>
      <c r="I122" s="28">
        <v>69151.624751087176</v>
      </c>
      <c r="J122" s="28">
        <v>99591076.981121451</v>
      </c>
      <c r="K122" s="28">
        <v>2047436747.9100299</v>
      </c>
      <c r="L122" s="28">
        <v>1388447055.6317046</v>
      </c>
      <c r="M122" s="28">
        <f>L122*TechnicalInputs!$D$16</f>
        <v>1110757644.5053637</v>
      </c>
      <c r="N122" s="38">
        <v>3.2504330939999999</v>
      </c>
      <c r="O122" s="38">
        <v>4.0115604794999999</v>
      </c>
      <c r="P122" s="28">
        <v>483064192.56922048</v>
      </c>
      <c r="Q122" s="28">
        <v>76713141882.342819</v>
      </c>
      <c r="R122" s="28">
        <v>146762648.07989487</v>
      </c>
      <c r="S122" s="28">
        <v>166876721.06936711</v>
      </c>
      <c r="T122" s="28">
        <v>3095241592.5246305</v>
      </c>
      <c r="U122" s="28">
        <v>8506542070.7216673</v>
      </c>
      <c r="V122" s="39">
        <v>532756659.82013136</v>
      </c>
      <c r="W122" s="28">
        <v>6326317.9688801132</v>
      </c>
      <c r="X122" s="39">
        <v>177937545000</v>
      </c>
      <c r="Y122" s="39">
        <v>28456226265.549072</v>
      </c>
      <c r="Z122" s="39">
        <v>88845718.426421195</v>
      </c>
      <c r="AA122" s="62">
        <v>733582745.75686204</v>
      </c>
    </row>
    <row r="123" spans="1:27">
      <c r="A123" s="3">
        <f t="shared" si="4"/>
        <v>2033</v>
      </c>
      <c r="B123" s="34">
        <v>7432098.8094797852</v>
      </c>
      <c r="C123" s="28">
        <v>5143012.3761600107</v>
      </c>
      <c r="D123" s="28">
        <v>219952.20373817239</v>
      </c>
      <c r="E123" s="28">
        <v>5584963.5871688994</v>
      </c>
      <c r="F123" s="28">
        <v>11626.472101173364</v>
      </c>
      <c r="G123" s="28">
        <v>9578.3436015963816</v>
      </c>
      <c r="H123" s="28">
        <v>190188.54834479355</v>
      </c>
      <c r="I123" s="28">
        <v>69353.675134463963</v>
      </c>
      <c r="J123" s="28">
        <v>99789618.720984086</v>
      </c>
      <c r="K123" s="28">
        <v>2002436409.2705803</v>
      </c>
      <c r="L123" s="28">
        <v>1407590577.2064059</v>
      </c>
      <c r="M123" s="28">
        <f>L123*TechnicalInputs!$D$16</f>
        <v>1126072461.7651248</v>
      </c>
      <c r="N123" s="38">
        <v>3.289196628</v>
      </c>
      <c r="O123" s="38">
        <v>4.0631891510000004</v>
      </c>
      <c r="P123" s="28">
        <v>487215291.73559999</v>
      </c>
      <c r="Q123" s="28">
        <v>77359339697.651245</v>
      </c>
      <c r="R123" s="28">
        <v>161042447.4075897</v>
      </c>
      <c r="S123" s="28">
        <v>168310737.14502546</v>
      </c>
      <c r="T123" s="28">
        <v>3111330663.5021152</v>
      </c>
      <c r="U123" s="28">
        <v>8662039583.4747066</v>
      </c>
      <c r="V123" s="39">
        <v>547671124.93715179</v>
      </c>
      <c r="W123" s="28">
        <v>6392681.0014204513</v>
      </c>
      <c r="X123" s="39">
        <v>183416137717.76337</v>
      </c>
      <c r="Y123" s="39">
        <v>28826526982.051285</v>
      </c>
      <c r="Z123" s="39">
        <v>90701583.019262746</v>
      </c>
      <c r="AA123" s="62">
        <v>737726174.17664587</v>
      </c>
    </row>
    <row r="124" spans="1:27">
      <c r="A124" s="3">
        <f t="shared" si="4"/>
        <v>2034</v>
      </c>
      <c r="B124" s="34">
        <v>7474076.854361509</v>
      </c>
      <c r="C124" s="28">
        <v>5172061.1832181634</v>
      </c>
      <c r="D124" s="28">
        <v>220594.870157795</v>
      </c>
      <c r="E124" s="28">
        <v>5600357.1430229666</v>
      </c>
      <c r="F124" s="28">
        <v>12585.289327978157</v>
      </c>
      <c r="G124" s="28">
        <v>9606.3300444859487</v>
      </c>
      <c r="H124" s="28">
        <v>190744.24995332788</v>
      </c>
      <c r="I124" s="28">
        <v>69556.315877901987</v>
      </c>
      <c r="J124" s="28">
        <v>99988556.267616391</v>
      </c>
      <c r="K124" s="28">
        <v>1958701278.738487</v>
      </c>
      <c r="L124" s="28">
        <v>1427350947.5243716</v>
      </c>
      <c r="M124" s="28">
        <f>L124*TechnicalInputs!$D$16</f>
        <v>1141880758.0194974</v>
      </c>
      <c r="N124" s="38">
        <v>3.3310321200000002</v>
      </c>
      <c r="O124" s="38">
        <v>4.1073325930000006</v>
      </c>
      <c r="P124" s="28">
        <v>491397863.42461079</v>
      </c>
      <c r="Q124" s="28">
        <v>78010559671.623734</v>
      </c>
      <c r="R124" s="28">
        <v>175307652.53569388</v>
      </c>
      <c r="S124" s="28">
        <v>169755625.54668373</v>
      </c>
      <c r="T124" s="28">
        <v>3127476641.3208809</v>
      </c>
      <c r="U124" s="28">
        <v>8820304183.6213074</v>
      </c>
      <c r="V124" s="39">
        <v>563003118.89332724</v>
      </c>
      <c r="W124" s="28">
        <v>6459799.4738819748</v>
      </c>
      <c r="X124" s="39">
        <v>189063413094.1929</v>
      </c>
      <c r="Y124" s="39">
        <v>29202430934.560555</v>
      </c>
      <c r="Z124" s="39">
        <v>92596214.065321907</v>
      </c>
      <c r="AA124" s="62">
        <v>741893005.54472578</v>
      </c>
    </row>
    <row r="125" spans="1:27">
      <c r="A125" s="3">
        <f t="shared" si="4"/>
        <v>2035</v>
      </c>
      <c r="B125" s="35">
        <v>7516292</v>
      </c>
      <c r="C125" s="28">
        <v>5201274.0639999993</v>
      </c>
      <c r="D125" s="28">
        <v>221239.41434958766</v>
      </c>
      <c r="E125" s="28">
        <v>5615818.3718093466</v>
      </c>
      <c r="F125" s="28">
        <v>13524.212734849192</v>
      </c>
      <c r="G125" s="28">
        <v>9634.3982594457411</v>
      </c>
      <c r="H125" s="28">
        <v>191301.5752362654</v>
      </c>
      <c r="I125" s="28">
        <v>69759.548706342321</v>
      </c>
      <c r="J125" s="28">
        <v>100187890.41008669</v>
      </c>
      <c r="K125" s="28">
        <v>1916227036.205358</v>
      </c>
      <c r="L125" s="28">
        <v>1447677844.7401836</v>
      </c>
      <c r="M125" s="28">
        <f>L125*TechnicalInputs!$D$16</f>
        <v>1158142275.7921469</v>
      </c>
      <c r="N125" s="38">
        <v>3.359314608</v>
      </c>
      <c r="O125" s="38">
        <v>4.1400366525000001</v>
      </c>
      <c r="P125" s="28">
        <v>495612075.39328331</v>
      </c>
      <c r="Q125" s="28">
        <v>78666938252.03746</v>
      </c>
      <c r="R125" s="28">
        <v>189448507.35569173</v>
      </c>
      <c r="S125" s="28">
        <v>171211444.22677061</v>
      </c>
      <c r="T125" s="28">
        <v>3143679350.3127685</v>
      </c>
      <c r="U125" s="28">
        <v>8981383144.1448441</v>
      </c>
      <c r="V125" s="39">
        <v>578764330.36338794</v>
      </c>
      <c r="W125" s="28">
        <v>6527682.7101982962</v>
      </c>
      <c r="X125" s="39">
        <v>194884564769.48062</v>
      </c>
      <c r="Y125" s="39">
        <v>29584028868.144157</v>
      </c>
      <c r="Z125" s="39">
        <v>94530421.342370659</v>
      </c>
      <c r="AA125" s="62">
        <v>746083372.04583704</v>
      </c>
    </row>
    <row r="129" spans="1:27">
      <c r="A129" s="237" t="s">
        <v>71</v>
      </c>
      <c r="B129" s="238" t="s">
        <v>114</v>
      </c>
      <c r="C129" s="239"/>
      <c r="D129" s="239"/>
      <c r="E129" s="239"/>
      <c r="F129" s="239"/>
      <c r="G129" s="239"/>
      <c r="H129" s="239"/>
      <c r="I129" s="239"/>
      <c r="J129" s="239"/>
      <c r="K129" s="239"/>
      <c r="L129" s="239"/>
      <c r="M129" s="239"/>
      <c r="N129" s="239"/>
      <c r="O129" s="239"/>
      <c r="P129" s="239"/>
      <c r="Q129" s="239"/>
      <c r="R129" s="239"/>
      <c r="S129" s="239"/>
      <c r="T129" s="239"/>
      <c r="U129" s="239"/>
      <c r="V129" s="239"/>
      <c r="W129" s="239"/>
      <c r="X129" s="239"/>
      <c r="Y129" s="239"/>
      <c r="Z129" s="239"/>
      <c r="AA129" s="240"/>
    </row>
    <row r="130" spans="1:27" ht="15.95" customHeight="1">
      <c r="A130" s="237"/>
      <c r="B130" s="237" t="s">
        <v>68</v>
      </c>
      <c r="C130" s="237" t="s">
        <v>99</v>
      </c>
      <c r="D130" s="243" t="s">
        <v>100</v>
      </c>
      <c r="E130" s="245"/>
      <c r="F130" s="245"/>
      <c r="G130" s="245"/>
      <c r="H130" s="245"/>
      <c r="I130" s="245"/>
      <c r="J130" s="244"/>
      <c r="K130" s="243" t="s">
        <v>97</v>
      </c>
      <c r="L130" s="245"/>
      <c r="M130" s="244"/>
      <c r="N130" s="243" t="s">
        <v>116</v>
      </c>
      <c r="O130" s="244"/>
      <c r="P130" s="237" t="s">
        <v>69</v>
      </c>
      <c r="Q130" s="237"/>
      <c r="R130" s="237"/>
      <c r="S130" s="237"/>
      <c r="T130" s="237"/>
      <c r="U130" s="237"/>
      <c r="V130" s="241" t="s">
        <v>107</v>
      </c>
      <c r="W130" s="237" t="s">
        <v>109</v>
      </c>
      <c r="X130" s="237" t="s">
        <v>108</v>
      </c>
      <c r="Y130" s="54" t="s">
        <v>110</v>
      </c>
      <c r="Z130" s="237" t="s">
        <v>160</v>
      </c>
      <c r="AA130" s="237" t="s">
        <v>111</v>
      </c>
    </row>
    <row r="131" spans="1:27" ht="31.5">
      <c r="A131" s="237"/>
      <c r="B131" s="237"/>
      <c r="C131" s="237"/>
      <c r="D131" s="33" t="s">
        <v>101</v>
      </c>
      <c r="E131" s="33" t="s">
        <v>102</v>
      </c>
      <c r="F131" s="33" t="s">
        <v>106</v>
      </c>
      <c r="G131" s="33" t="s">
        <v>103</v>
      </c>
      <c r="H131" s="33" t="s">
        <v>104</v>
      </c>
      <c r="I131" s="33" t="s">
        <v>105</v>
      </c>
      <c r="J131" s="57" t="s">
        <v>159</v>
      </c>
      <c r="K131" s="33" t="s">
        <v>70</v>
      </c>
      <c r="L131" s="33" t="s">
        <v>98</v>
      </c>
      <c r="M131" s="54" t="s">
        <v>152</v>
      </c>
      <c r="N131" s="33" t="s">
        <v>70</v>
      </c>
      <c r="O131" s="33" t="s">
        <v>117</v>
      </c>
      <c r="P131" s="33" t="s">
        <v>101</v>
      </c>
      <c r="Q131" s="33" t="s">
        <v>102</v>
      </c>
      <c r="R131" s="33" t="s">
        <v>106</v>
      </c>
      <c r="S131" s="33" t="s">
        <v>103</v>
      </c>
      <c r="T131" s="33" t="s">
        <v>104</v>
      </c>
      <c r="U131" s="33" t="s">
        <v>105</v>
      </c>
      <c r="V131" s="242"/>
      <c r="W131" s="237"/>
      <c r="X131" s="237"/>
      <c r="Y131" s="33" t="s">
        <v>101</v>
      </c>
      <c r="Z131" s="237"/>
      <c r="AA131" s="237"/>
    </row>
    <row r="132" spans="1:27">
      <c r="A132" s="3">
        <v>2010</v>
      </c>
      <c r="B132" s="27">
        <v>6483802</v>
      </c>
      <c r="C132" s="27">
        <v>4762954</v>
      </c>
      <c r="D132" s="52">
        <v>193410</v>
      </c>
      <c r="E132" s="52">
        <v>4914668.5854779789</v>
      </c>
      <c r="F132" s="28">
        <v>106</v>
      </c>
      <c r="G132" s="52">
        <v>8422.5</v>
      </c>
      <c r="H132" s="52">
        <v>169509</v>
      </c>
      <c r="I132" s="52">
        <v>58697</v>
      </c>
      <c r="J132" s="28">
        <v>82900000</v>
      </c>
      <c r="K132" s="27">
        <v>3323160347.6330194</v>
      </c>
      <c r="L132" s="27">
        <v>1162538442.6330683</v>
      </c>
      <c r="M132" s="28">
        <f>L132*TechnicalInputs!$D$16</f>
        <v>930030754.10645473</v>
      </c>
      <c r="N132" s="51">
        <v>3.4326274379999999</v>
      </c>
      <c r="O132" s="51">
        <v>3.6616922719999998</v>
      </c>
      <c r="P132" s="27">
        <v>416685500</v>
      </c>
      <c r="Q132" s="27">
        <v>66209988933.066185</v>
      </c>
      <c r="R132" s="27">
        <v>0</v>
      </c>
      <c r="S132" s="27">
        <v>143945900</v>
      </c>
      <c r="T132" s="27">
        <v>2856189700</v>
      </c>
      <c r="U132" s="27">
        <v>6060880000</v>
      </c>
      <c r="V132" s="27">
        <v>237698014.83858031</v>
      </c>
      <c r="W132" s="27">
        <v>6548216</v>
      </c>
      <c r="X132" s="27">
        <v>75463217000</v>
      </c>
      <c r="Y132" s="39">
        <v>0</v>
      </c>
      <c r="Z132" s="39">
        <v>41255353.333333336</v>
      </c>
      <c r="AA132" s="39">
        <v>624012071</v>
      </c>
    </row>
    <row r="133" spans="1:27">
      <c r="A133" s="3">
        <f>A132+1</f>
        <v>2011</v>
      </c>
      <c r="B133" s="27">
        <v>6516922</v>
      </c>
      <c r="C133" s="27">
        <v>4727568</v>
      </c>
      <c r="D133" s="52">
        <v>195344.1</v>
      </c>
      <c r="E133" s="52">
        <v>4963815.2713327594</v>
      </c>
      <c r="F133" s="28">
        <v>114</v>
      </c>
      <c r="G133" s="52">
        <v>8506.7250000000004</v>
      </c>
      <c r="H133" s="52">
        <v>170627.75939999995</v>
      </c>
      <c r="I133" s="52">
        <v>59853.330900000001</v>
      </c>
      <c r="J133" s="28">
        <v>89100000</v>
      </c>
      <c r="K133" s="27">
        <v>3127104682.7042675</v>
      </c>
      <c r="L133" s="27">
        <v>1160099842.9069977</v>
      </c>
      <c r="M133" s="28">
        <f>L133*TechnicalInputs!$D$16</f>
        <v>928079874.32559824</v>
      </c>
      <c r="N133" s="51">
        <v>3.4326274379999999</v>
      </c>
      <c r="O133" s="51">
        <v>3.6616922719999998</v>
      </c>
      <c r="P133" s="27">
        <v>416051625</v>
      </c>
      <c r="Q133" s="27">
        <v>66109268229.478111</v>
      </c>
      <c r="R133" s="27">
        <v>2520205.0543314051</v>
      </c>
      <c r="S133" s="27">
        <v>143726925</v>
      </c>
      <c r="T133" s="27">
        <v>2851844775</v>
      </c>
      <c r="U133" s="27">
        <v>6051660000</v>
      </c>
      <c r="V133" s="27">
        <v>262171646.28032887</v>
      </c>
      <c r="W133" s="27">
        <v>6429800</v>
      </c>
      <c r="X133" s="27">
        <v>81112769000</v>
      </c>
      <c r="Y133" s="39">
        <v>0</v>
      </c>
      <c r="Z133" s="39">
        <v>45063790</v>
      </c>
      <c r="AA133" s="39">
        <v>621200578</v>
      </c>
    </row>
    <row r="134" spans="1:27">
      <c r="A134" s="3">
        <f t="shared" ref="A134:A157" si="5">A133+1</f>
        <v>2012</v>
      </c>
      <c r="B134" s="27">
        <v>6537334</v>
      </c>
      <c r="C134" s="27">
        <v>4634787</v>
      </c>
      <c r="D134" s="52">
        <v>197297.541</v>
      </c>
      <c r="E134" s="52">
        <v>5010399.6578110112</v>
      </c>
      <c r="F134" s="28">
        <v>181</v>
      </c>
      <c r="G134" s="52">
        <v>8591.7922500000004</v>
      </c>
      <c r="H134" s="52">
        <v>171753.90261203996</v>
      </c>
      <c r="I134" s="52">
        <v>61032.441518730004</v>
      </c>
      <c r="J134" s="28">
        <v>90900000</v>
      </c>
      <c r="K134" s="27">
        <v>3071907236.3508205</v>
      </c>
      <c r="L134" s="27">
        <v>1158111177.5809865</v>
      </c>
      <c r="M134" s="28">
        <f>L134*TechnicalInputs!$D$16</f>
        <v>926488942.0647893</v>
      </c>
      <c r="N134" s="51">
        <v>3.47325054</v>
      </c>
      <c r="O134" s="51">
        <v>3.7147603359999994</v>
      </c>
      <c r="P134" s="27">
        <v>415417750</v>
      </c>
      <c r="Q134" s="27">
        <v>65968340774.852097</v>
      </c>
      <c r="R134" s="27">
        <v>5229883.1696011899</v>
      </c>
      <c r="S134" s="27">
        <v>143507950</v>
      </c>
      <c r="T134" s="27">
        <v>2847499850</v>
      </c>
      <c r="U134" s="27">
        <v>6042440000</v>
      </c>
      <c r="V134" s="27">
        <v>280331361.54000401</v>
      </c>
      <c r="W134" s="27">
        <v>5519876</v>
      </c>
      <c r="X134" s="27">
        <v>86221792000</v>
      </c>
      <c r="Y134" s="39">
        <v>0</v>
      </c>
      <c r="Z134" s="39">
        <v>53639630</v>
      </c>
      <c r="AA134" s="39">
        <v>650673897</v>
      </c>
    </row>
    <row r="135" spans="1:27">
      <c r="A135" s="3">
        <f t="shared" si="5"/>
        <v>2013</v>
      </c>
      <c r="B135" s="27">
        <v>6570713</v>
      </c>
      <c r="C135" s="27">
        <v>4579439</v>
      </c>
      <c r="D135" s="52">
        <v>199270.51641000001</v>
      </c>
      <c r="E135" s="52">
        <v>5069713.2174608633</v>
      </c>
      <c r="F135" s="28">
        <v>379</v>
      </c>
      <c r="G135" s="52">
        <v>8677.7101725000011</v>
      </c>
      <c r="H135" s="52">
        <v>172887.47836927942</v>
      </c>
      <c r="I135" s="52">
        <v>62234.78061664899</v>
      </c>
      <c r="J135" s="28">
        <v>92800000</v>
      </c>
      <c r="K135" s="27">
        <v>3019064566.4234042</v>
      </c>
      <c r="L135" s="27">
        <v>1165700004.5153515</v>
      </c>
      <c r="M135" s="28">
        <f>L135*TechnicalInputs!$D$16</f>
        <v>932560003.61228132</v>
      </c>
      <c r="N135" s="51">
        <v>3.36356886</v>
      </c>
      <c r="O135" s="51">
        <v>3.6524630660000001</v>
      </c>
      <c r="P135" s="27">
        <v>414435166.78867292</v>
      </c>
      <c r="Q135" s="27">
        <v>65932077754.569595</v>
      </c>
      <c r="R135" s="27">
        <v>8324873.933615122</v>
      </c>
      <c r="S135" s="27">
        <v>143168512.16335976</v>
      </c>
      <c r="T135" s="27">
        <v>2831201718.4758468</v>
      </c>
      <c r="U135" s="27">
        <v>6086041974.0689087</v>
      </c>
      <c r="V135" s="27">
        <v>264768397.83436936</v>
      </c>
      <c r="W135" s="27">
        <v>5492012</v>
      </c>
      <c r="X135" s="27">
        <v>89720902000</v>
      </c>
      <c r="Y135" s="39">
        <v>21644350305.293369</v>
      </c>
      <c r="Z135" s="39">
        <v>53749413.333333336</v>
      </c>
      <c r="AA135" s="39">
        <v>653996175.4713099</v>
      </c>
    </row>
    <row r="136" spans="1:27">
      <c r="A136" s="3">
        <f t="shared" si="5"/>
        <v>2014</v>
      </c>
      <c r="B136" s="27">
        <v>6596855</v>
      </c>
      <c r="C136" s="27">
        <v>4563231</v>
      </c>
      <c r="D136" s="52">
        <v>201263.22157410003</v>
      </c>
      <c r="E136" s="52">
        <v>5120100.772731971</v>
      </c>
      <c r="F136" s="28">
        <v>582</v>
      </c>
      <c r="G136" s="52">
        <v>8764.4872742250009</v>
      </c>
      <c r="H136" s="52">
        <v>174028.53572651668</v>
      </c>
      <c r="I136" s="52">
        <v>63460.805794796979</v>
      </c>
      <c r="J136" s="28">
        <v>96100000</v>
      </c>
      <c r="K136" s="27">
        <v>2960689260.0380812</v>
      </c>
      <c r="L136" s="27">
        <v>1162955899.0202558</v>
      </c>
      <c r="M136" s="28">
        <f>L136*TechnicalInputs!$D$16</f>
        <v>930364719.21620464</v>
      </c>
      <c r="N136" s="51">
        <v>3.184828488</v>
      </c>
      <c r="O136" s="51">
        <v>3.4678784280000001</v>
      </c>
      <c r="P136" s="27">
        <v>413533579.40690452</v>
      </c>
      <c r="Q136" s="27">
        <v>65784667574.742859</v>
      </c>
      <c r="R136" s="27">
        <v>12284305.072086271</v>
      </c>
      <c r="S136" s="27">
        <v>142857054.70420337</v>
      </c>
      <c r="T136" s="27">
        <v>2815532506.4214478</v>
      </c>
      <c r="U136" s="27">
        <v>6131124979.6525269</v>
      </c>
      <c r="V136" s="27">
        <v>313597854.42149591</v>
      </c>
      <c r="W136" s="27">
        <v>5459060</v>
      </c>
      <c r="X136" s="27">
        <v>91929139000</v>
      </c>
      <c r="Y136" s="39">
        <v>21910596460.143372</v>
      </c>
      <c r="Z136" s="39">
        <v>61238700</v>
      </c>
      <c r="AA136" s="39">
        <v>656598140.89259231</v>
      </c>
    </row>
    <row r="137" spans="1:27">
      <c r="A137" s="3">
        <f t="shared" si="5"/>
        <v>2015</v>
      </c>
      <c r="B137" s="27">
        <v>6677751</v>
      </c>
      <c r="C137" s="27">
        <v>4621003.6919999998</v>
      </c>
      <c r="D137" s="52">
        <v>203811.3104415994</v>
      </c>
      <c r="E137" s="52">
        <v>5184505.550977516</v>
      </c>
      <c r="F137" s="52">
        <v>1386.359167070128</v>
      </c>
      <c r="G137" s="52">
        <v>8875.4498846717906</v>
      </c>
      <c r="H137" s="52">
        <v>176231.8204153126</v>
      </c>
      <c r="I137" s="52">
        <v>64264.250018254999</v>
      </c>
      <c r="J137" s="28">
        <v>94748446.181286544</v>
      </c>
      <c r="K137" s="27">
        <v>2934377927.6346931</v>
      </c>
      <c r="L137" s="27">
        <v>1171270657.5734823</v>
      </c>
      <c r="M137" s="28">
        <f>L137*TechnicalInputs!$D$16</f>
        <v>937016526.05878592</v>
      </c>
      <c r="N137" s="51">
        <v>2.9766796499999999</v>
      </c>
      <c r="O137" s="51">
        <v>3.3017033804999998</v>
      </c>
      <c r="P137" s="27">
        <v>417147100.84478235</v>
      </c>
      <c r="Q137" s="27">
        <v>66354152603.903297</v>
      </c>
      <c r="R137" s="27">
        <v>17743386.872891113</v>
      </c>
      <c r="S137" s="27">
        <v>144105362.11001572</v>
      </c>
      <c r="T137" s="27">
        <v>2830574221.4185133</v>
      </c>
      <c r="U137" s="27">
        <v>6244097324.8504877</v>
      </c>
      <c r="V137" s="27">
        <v>325379532.46054727</v>
      </c>
      <c r="W137" s="27">
        <v>5305249.3699053442</v>
      </c>
      <c r="X137" s="27">
        <v>95382860072.49646</v>
      </c>
      <c r="Y137" s="39">
        <v>22400098258.890717</v>
      </c>
      <c r="Z137" s="39">
        <v>64154342.498143569</v>
      </c>
      <c r="AA137" s="62">
        <v>664649881.18484473</v>
      </c>
    </row>
    <row r="138" spans="1:27">
      <c r="A138" s="3">
        <f t="shared" si="5"/>
        <v>2016</v>
      </c>
      <c r="B138" s="27">
        <v>6712266.3514233828</v>
      </c>
      <c r="C138" s="27">
        <v>4644888.3151849806</v>
      </c>
      <c r="D138" s="52">
        <v>204864.75178793771</v>
      </c>
      <c r="E138" s="52">
        <v>5210957.0914920643</v>
      </c>
      <c r="F138" s="52">
        <v>1739.184631774202</v>
      </c>
      <c r="G138" s="52">
        <v>8921.3245020107825</v>
      </c>
      <c r="H138" s="52">
        <v>177142.71140445204</v>
      </c>
      <c r="I138" s="52">
        <v>64596.413223103489</v>
      </c>
      <c r="J138" s="28">
        <v>95417331.645059913</v>
      </c>
      <c r="K138" s="27">
        <v>2908060676.3813877</v>
      </c>
      <c r="L138" s="27">
        <v>1179505304.7704</v>
      </c>
      <c r="M138" s="28">
        <f>L138*TechnicalInputs!$D$16</f>
        <v>943604243.81632006</v>
      </c>
      <c r="N138" s="51">
        <v>2.8737574860000001</v>
      </c>
      <c r="O138" s="51">
        <v>3.2545656395</v>
      </c>
      <c r="P138" s="27">
        <v>420789044.61470807</v>
      </c>
      <c r="Q138" s="27">
        <v>66929024435.437706</v>
      </c>
      <c r="R138" s="27">
        <v>22337917.713388473</v>
      </c>
      <c r="S138" s="27">
        <v>145363488.13962644</v>
      </c>
      <c r="T138" s="27">
        <v>2845674971.2586417</v>
      </c>
      <c r="U138" s="27">
        <v>6359103650.8359213</v>
      </c>
      <c r="V138" s="27">
        <v>335237857.67936295</v>
      </c>
      <c r="W138" s="27">
        <v>5360086.4811283145</v>
      </c>
      <c r="X138" s="27">
        <v>98272762973.839767</v>
      </c>
      <c r="Y138" s="39">
        <v>22731757850.830399</v>
      </c>
      <c r="Z138" s="39">
        <v>66341437.59844055</v>
      </c>
      <c r="AA138" s="62">
        <v>669115541.29418099</v>
      </c>
    </row>
    <row r="139" spans="1:27">
      <c r="A139" s="3">
        <f t="shared" si="5"/>
        <v>2017</v>
      </c>
      <c r="B139" s="27">
        <v>6746960.1026529092</v>
      </c>
      <c r="C139" s="27">
        <v>4668896.3910358129</v>
      </c>
      <c r="D139" s="52">
        <v>205923.63806600121</v>
      </c>
      <c r="E139" s="52">
        <v>5237570.9188560992</v>
      </c>
      <c r="F139" s="52">
        <v>2068.2672135829926</v>
      </c>
      <c r="G139" s="52">
        <v>8967.43623189543</v>
      </c>
      <c r="H139" s="52">
        <v>178058.31052400827</v>
      </c>
      <c r="I139" s="52">
        <v>64930.293282884908</v>
      </c>
      <c r="J139" s="28">
        <v>96165572.479166165</v>
      </c>
      <c r="K139" s="27">
        <v>2877409774.4565415</v>
      </c>
      <c r="L139" s="27">
        <v>1183846936.0249143</v>
      </c>
      <c r="M139" s="28">
        <f>L139*TechnicalInputs!$D$16</f>
        <v>947077548.81993151</v>
      </c>
      <c r="N139" s="51">
        <v>2.8317264840000003</v>
      </c>
      <c r="O139" s="51">
        <v>3.2552696014999998</v>
      </c>
      <c r="P139" s="27">
        <v>424459580.53868949</v>
      </c>
      <c r="Q139" s="27">
        <v>67508719432.427231</v>
      </c>
      <c r="R139" s="27">
        <v>26658554.737706207</v>
      </c>
      <c r="S139" s="27">
        <v>146631491.45882002</v>
      </c>
      <c r="T139" s="27">
        <v>2860834685.5642223</v>
      </c>
      <c r="U139" s="27">
        <v>6476179322.2485275</v>
      </c>
      <c r="V139" s="27">
        <v>345394869.71288079</v>
      </c>
      <c r="W139" s="27">
        <v>5415537.6074948274</v>
      </c>
      <c r="X139" s="27">
        <v>101250223941.41051</v>
      </c>
      <c r="Y139" s="39">
        <v>23068978559.895355</v>
      </c>
      <c r="Z139" s="39">
        <v>68888447.028759629</v>
      </c>
      <c r="AA139" s="62">
        <v>673197744.74862099</v>
      </c>
    </row>
    <row r="140" spans="1:27">
      <c r="A140" s="3">
        <f t="shared" si="5"/>
        <v>2018</v>
      </c>
      <c r="B140" s="27">
        <v>6781833.1757852565</v>
      </c>
      <c r="C140" s="27">
        <v>4693028.5576433968</v>
      </c>
      <c r="D140" s="52">
        <v>206987.99741905724</v>
      </c>
      <c r="E140" s="52">
        <v>5264261.9861467192</v>
      </c>
      <c r="F140" s="52">
        <v>2459.3699288396165</v>
      </c>
      <c r="G140" s="52">
        <v>9013.7862998914716</v>
      </c>
      <c r="H140" s="52">
        <v>178978.64210893703</v>
      </c>
      <c r="I140" s="52">
        <v>65265.899071522726</v>
      </c>
      <c r="J140" s="28">
        <v>96564181.870536759</v>
      </c>
      <c r="K140" s="27">
        <v>2845802526.9570389</v>
      </c>
      <c r="L140" s="27">
        <v>1189488225.2163918</v>
      </c>
      <c r="M140" s="28">
        <f>L140*TechnicalInputs!$D$16</f>
        <v>951590580.17311347</v>
      </c>
      <c r="N140" s="51">
        <v>2.8248474960000003</v>
      </c>
      <c r="O140" s="51">
        <v>3.2887879569999998</v>
      </c>
      <c r="P140" s="27">
        <v>428158878.50755835</v>
      </c>
      <c r="Q140" s="27">
        <v>68092158473.997032</v>
      </c>
      <c r="R140" s="27">
        <v>31811449.996484146</v>
      </c>
      <c r="S140" s="27">
        <v>147909430.75715655</v>
      </c>
      <c r="T140" s="27">
        <v>2876053288.6968169</v>
      </c>
      <c r="U140" s="27">
        <v>6595360285.84972</v>
      </c>
      <c r="V140" s="27">
        <v>355859618.15231413</v>
      </c>
      <c r="W140" s="27">
        <v>5471610.237639511</v>
      </c>
      <c r="X140" s="27">
        <v>104317895803.07982</v>
      </c>
      <c r="Y140" s="39">
        <v>23411860457.301559</v>
      </c>
      <c r="Z140" s="39">
        <v>71333241.190216526</v>
      </c>
      <c r="AA140" s="62">
        <v>677304853.29644942</v>
      </c>
    </row>
    <row r="141" spans="1:27">
      <c r="A141" s="3">
        <f t="shared" si="5"/>
        <v>2019</v>
      </c>
      <c r="B141" s="27">
        <v>6816886.4976831507</v>
      </c>
      <c r="C141" s="27">
        <v>4717285.4563967399</v>
      </c>
      <c r="D141" s="52">
        <v>208057.85813583768</v>
      </c>
      <c r="E141" s="52">
        <v>5291131.1847064309</v>
      </c>
      <c r="F141" s="52">
        <v>2812.3212297614664</v>
      </c>
      <c r="G141" s="52">
        <v>9060.3759378992436</v>
      </c>
      <c r="H141" s="52">
        <v>179903.73061997467</v>
      </c>
      <c r="I141" s="52">
        <v>65603.239508807179</v>
      </c>
      <c r="J141" s="28">
        <v>96916039.950240821</v>
      </c>
      <c r="K141" s="27">
        <v>2806746266.6592031</v>
      </c>
      <c r="L141" s="27">
        <v>1197695009.0829732</v>
      </c>
      <c r="M141" s="28">
        <f>L141*TechnicalInputs!$D$16</f>
        <v>958156007.26637864</v>
      </c>
      <c r="N141" s="51">
        <v>2.8337001660000003</v>
      </c>
      <c r="O141" s="51">
        <v>3.3600651455000001</v>
      </c>
      <c r="P141" s="27">
        <v>431887108.46135211</v>
      </c>
      <c r="Q141" s="27">
        <v>68680660328.282585</v>
      </c>
      <c r="R141" s="27">
        <v>36504874.359099567</v>
      </c>
      <c r="S141" s="27">
        <v>149197364.74119437</v>
      </c>
      <c r="T141" s="27">
        <v>2891330699.688951</v>
      </c>
      <c r="U141" s="27">
        <v>6716683079.2649603</v>
      </c>
      <c r="V141" s="27">
        <v>366641426.77272713</v>
      </c>
      <c r="W141" s="27">
        <v>5528311.957401773</v>
      </c>
      <c r="X141" s="27">
        <v>107478511761.90318</v>
      </c>
      <c r="Y141" s="39">
        <v>23760505478.255943</v>
      </c>
      <c r="Z141" s="39">
        <v>73333623.335636824</v>
      </c>
      <c r="AA141" s="62">
        <v>681437018.88101792</v>
      </c>
    </row>
    <row r="142" spans="1:27">
      <c r="A142" s="3">
        <f t="shared" si="5"/>
        <v>2020</v>
      </c>
      <c r="B142" s="27">
        <v>6852121</v>
      </c>
      <c r="C142" s="27">
        <v>4741667.7319999998</v>
      </c>
      <c r="D142" s="52">
        <v>209133.24865129037</v>
      </c>
      <c r="E142" s="52">
        <v>5318161.5451526595</v>
      </c>
      <c r="F142" s="52">
        <v>3144.8140140473843</v>
      </c>
      <c r="G142" s="52">
        <v>9107.2063841864074</v>
      </c>
      <c r="H142" s="52">
        <v>180833.60064428765</v>
      </c>
      <c r="I142" s="52">
        <v>65942.323560632241</v>
      </c>
      <c r="J142" s="28">
        <v>97230962.06627664</v>
      </c>
      <c r="K142" s="27">
        <v>2765295219.8592954</v>
      </c>
      <c r="L142" s="27">
        <v>1206947371.1674597</v>
      </c>
      <c r="M142" s="28">
        <f>L142*TechnicalInputs!$D$16</f>
        <v>965557896.93396783</v>
      </c>
      <c r="N142" s="51">
        <v>2.8746523859999997</v>
      </c>
      <c r="O142" s="51">
        <v>3.4178244764999999</v>
      </c>
      <c r="P142" s="27">
        <v>435644440.36933362</v>
      </c>
      <c r="Q142" s="27">
        <v>69274026723.761017</v>
      </c>
      <c r="R142" s="27">
        <v>40964143.003310367</v>
      </c>
      <c r="S142" s="27">
        <v>150495352.12758797</v>
      </c>
      <c r="T142" s="27">
        <v>2906666832.1756582</v>
      </c>
      <c r="U142" s="27">
        <v>6840184839.8363628</v>
      </c>
      <c r="V142" s="27">
        <v>377749901.84023738</v>
      </c>
      <c r="W142" s="27">
        <v>5585650.4510931503</v>
      </c>
      <c r="X142" s="27">
        <v>110734887831.32182</v>
      </c>
      <c r="Y142" s="39">
        <v>24115017457.222122</v>
      </c>
      <c r="Z142" s="39">
        <v>75151511.927123174</v>
      </c>
      <c r="AA142" s="62">
        <v>685594394.37266934</v>
      </c>
    </row>
    <row r="143" spans="1:27">
      <c r="A143" s="3">
        <f t="shared" si="5"/>
        <v>2021</v>
      </c>
      <c r="B143" s="27">
        <v>6883613.7808265975</v>
      </c>
      <c r="C143" s="27">
        <v>4763460.7363320049</v>
      </c>
      <c r="D143" s="52">
        <v>210094.43826883056</v>
      </c>
      <c r="E143" s="52">
        <v>5342290.6923142048</v>
      </c>
      <c r="F143" s="52">
        <v>3472.7269190726802</v>
      </c>
      <c r="G143" s="52">
        <v>9149.0636798470878</v>
      </c>
      <c r="H143" s="52">
        <v>181664.72329246841</v>
      </c>
      <c r="I143" s="52">
        <v>66245.398643966502</v>
      </c>
      <c r="J143" s="28">
        <v>97515966.152356729</v>
      </c>
      <c r="K143" s="27">
        <v>2721247879.5849199</v>
      </c>
      <c r="L143" s="27">
        <v>1217264860.7131224</v>
      </c>
      <c r="M143" s="28">
        <f>L143*TechnicalInputs!$D$16</f>
        <v>973811888.57049799</v>
      </c>
      <c r="N143" s="51">
        <v>2.9113698480000001</v>
      </c>
      <c r="O143" s="51">
        <v>3.483640909</v>
      </c>
      <c r="P143" s="27">
        <v>439431044.20964611</v>
      </c>
      <c r="Q143" s="27">
        <v>69872054013.912445</v>
      </c>
      <c r="R143" s="27">
        <v>45419947.516899243</v>
      </c>
      <c r="S143" s="27">
        <v>151803451.63605961</v>
      </c>
      <c r="T143" s="27">
        <v>2922061594.3257871</v>
      </c>
      <c r="U143" s="27">
        <v>6965903313.5864172</v>
      </c>
      <c r="V143" s="27">
        <v>388973215.85005373</v>
      </c>
      <c r="W143" s="27">
        <v>5643633.502779562</v>
      </c>
      <c r="X143" s="27">
        <v>114024928177.90634</v>
      </c>
      <c r="Y143" s="39">
        <v>24461558441.148479</v>
      </c>
      <c r="Z143" s="39">
        <v>76797726.496682703</v>
      </c>
      <c r="AA143" s="62">
        <v>689384166.72053671</v>
      </c>
    </row>
    <row r="144" spans="1:27">
      <c r="A144" s="3">
        <f t="shared" si="5"/>
        <v>2022</v>
      </c>
      <c r="B144" s="27">
        <v>6915251.3044626396</v>
      </c>
      <c r="C144" s="27">
        <v>4785353.9026881466</v>
      </c>
      <c r="D144" s="52">
        <v>211060.04557455209</v>
      </c>
      <c r="E144" s="52">
        <v>5366507.9778104546</v>
      </c>
      <c r="F144" s="52">
        <v>3824.9076819224283</v>
      </c>
      <c r="G144" s="52">
        <v>9191.1133542819116</v>
      </c>
      <c r="H144" s="52">
        <v>182499.66583282553</v>
      </c>
      <c r="I144" s="52">
        <v>66549.866679522951</v>
      </c>
      <c r="J144" s="28">
        <v>97776243.532790825</v>
      </c>
      <c r="K144" s="27">
        <v>2675062251.8139801</v>
      </c>
      <c r="L144" s="27">
        <v>1228840778.9522245</v>
      </c>
      <c r="M144" s="28">
        <f>L144*TechnicalInputs!$D$16</f>
        <v>983072623.16177964</v>
      </c>
      <c r="N144" s="51">
        <v>2.9413499099999996</v>
      </c>
      <c r="O144" s="51">
        <v>3.5540338714999997</v>
      </c>
      <c r="P144" s="27">
        <v>443247089.94860351</v>
      </c>
      <c r="Q144" s="27">
        <v>70474411823.600433</v>
      </c>
      <c r="R144" s="27">
        <v>50229706.221936166</v>
      </c>
      <c r="S144" s="27">
        <v>153121721.98224485</v>
      </c>
      <c r="T144" s="27">
        <v>2937514888.7731018</v>
      </c>
      <c r="U144" s="27">
        <v>7093876864.2936954</v>
      </c>
      <c r="V144" s="27">
        <v>400529985.34655404</v>
      </c>
      <c r="W144" s="27">
        <v>5702268.9975786991</v>
      </c>
      <c r="X144" s="27">
        <v>117412718797.18398</v>
      </c>
      <c r="Y144" s="39">
        <v>24813770291.712372</v>
      </c>
      <c r="Z144" s="39">
        <v>78303857.705853537</v>
      </c>
      <c r="AA144" s="62">
        <v>693464854.43363035</v>
      </c>
    </row>
    <row r="145" spans="1:27">
      <c r="A145" s="3">
        <f t="shared" si="5"/>
        <v>2023</v>
      </c>
      <c r="B145" s="27">
        <v>6947034.2361552184</v>
      </c>
      <c r="C145" s="27">
        <v>4807347.6914194105</v>
      </c>
      <c r="D145" s="52">
        <v>212030.09087242858</v>
      </c>
      <c r="E145" s="52">
        <v>5390817.9432100663</v>
      </c>
      <c r="F145" s="52">
        <v>4197.3313598930836</v>
      </c>
      <c r="G145" s="52">
        <v>9233.3562916758656</v>
      </c>
      <c r="H145" s="52">
        <v>183338.4458218246</v>
      </c>
      <c r="I145" s="52">
        <v>66855.73406939792</v>
      </c>
      <c r="J145" s="28">
        <v>98015742.216549546</v>
      </c>
      <c r="K145" s="27">
        <v>2626467147.76824</v>
      </c>
      <c r="L145" s="27">
        <v>1241781424.6087945</v>
      </c>
      <c r="M145" s="28">
        <f>L145*TechnicalInputs!$D$16</f>
        <v>993425139.68703556</v>
      </c>
      <c r="N145" s="51">
        <v>2.9884639440000003</v>
      </c>
      <c r="O145" s="51">
        <v>3.6032557855</v>
      </c>
      <c r="P145" s="27">
        <v>447092747.51960909</v>
      </c>
      <c r="Q145" s="27">
        <v>71081176271.907822</v>
      </c>
      <c r="R145" s="27">
        <v>55344337.984898999</v>
      </c>
      <c r="S145" s="27">
        <v>154450221.87041044</v>
      </c>
      <c r="T145" s="27">
        <v>2953026612.5471587</v>
      </c>
      <c r="U145" s="27">
        <v>7224144482.6814203</v>
      </c>
      <c r="V145" s="27">
        <v>412430117.61394173</v>
      </c>
      <c r="W145" s="27">
        <v>5761564.9229725935</v>
      </c>
      <c r="X145" s="27">
        <v>120901163944.05891</v>
      </c>
      <c r="Y145" s="39">
        <v>25171752538.078773</v>
      </c>
      <c r="Z145" s="39">
        <v>79691471.796481475</v>
      </c>
      <c r="AA145" s="62">
        <v>697569697.05630195</v>
      </c>
    </row>
    <row r="146" spans="1:27">
      <c r="A146" s="3">
        <f t="shared" si="5"/>
        <v>2024</v>
      </c>
      <c r="B146" s="27">
        <v>6978963.244208945</v>
      </c>
      <c r="C146" s="27">
        <v>4829442.5649925899</v>
      </c>
      <c r="D146" s="52">
        <v>213004.59455975247</v>
      </c>
      <c r="E146" s="52">
        <v>5415193.4018926164</v>
      </c>
      <c r="F146" s="52">
        <v>4617.7035738183185</v>
      </c>
      <c r="G146" s="52">
        <v>9275.7933802777225</v>
      </c>
      <c r="H146" s="52">
        <v>184181.08089662201</v>
      </c>
      <c r="I146" s="52">
        <v>67163.007245112254</v>
      </c>
      <c r="J146" s="28">
        <v>98237534.574385151</v>
      </c>
      <c r="K146" s="27">
        <v>2576678589.4026179</v>
      </c>
      <c r="L146" s="27">
        <v>1255937511.8086944</v>
      </c>
      <c r="M146" s="28">
        <f>L146*TechnicalInputs!$D$16</f>
        <v>1004750009.4469556</v>
      </c>
      <c r="N146" s="51">
        <v>3.0247099020000001</v>
      </c>
      <c r="O146" s="51">
        <v>3.6485752170000003</v>
      </c>
      <c r="P146" s="27">
        <v>450968186.80170435</v>
      </c>
      <c r="Q146" s="27">
        <v>71692004232.652512</v>
      </c>
      <c r="R146" s="27">
        <v>61133998.28777805</v>
      </c>
      <c r="S146" s="27">
        <v>155789009.98604333</v>
      </c>
      <c r="T146" s="27">
        <v>2968596657.0039992</v>
      </c>
      <c r="U146" s="27">
        <v>7356745795.7197227</v>
      </c>
      <c r="V146" s="27">
        <v>424683814.29139173</v>
      </c>
      <c r="W146" s="27">
        <v>5821529.3701355048</v>
      </c>
      <c r="X146" s="27">
        <v>124493254161.65041</v>
      </c>
      <c r="Y146" s="39">
        <v>25535606513.808739</v>
      </c>
      <c r="Z146" s="39">
        <v>80977770.202317223</v>
      </c>
      <c r="AA146" s="62">
        <v>701698837.56926918</v>
      </c>
    </row>
    <row r="147" spans="1:27">
      <c r="A147" s="3">
        <f t="shared" si="5"/>
        <v>2025</v>
      </c>
      <c r="B147" s="27">
        <v>7011039</v>
      </c>
      <c r="C147" s="27">
        <v>4851638.9879999999</v>
      </c>
      <c r="D147" s="52">
        <v>213983.57712756301</v>
      </c>
      <c r="E147" s="52">
        <v>5439606.1598055586</v>
      </c>
      <c r="F147" s="52">
        <v>5114.7397620035335</v>
      </c>
      <c r="G147" s="52">
        <v>9318.4255124186893</v>
      </c>
      <c r="H147" s="52">
        <v>185027.58877543549</v>
      </c>
      <c r="I147" s="52">
        <v>67471.692667746436</v>
      </c>
      <c r="J147" s="28">
        <v>98444058.459106848</v>
      </c>
      <c r="K147" s="27">
        <v>2523214496.2140536</v>
      </c>
      <c r="L147" s="27">
        <v>1270968975.0486419</v>
      </c>
      <c r="M147" s="28">
        <f>L147*TechnicalInputs!$D$16</f>
        <v>1016775180.0389136</v>
      </c>
      <c r="N147" s="51">
        <v>3.0551553120000001</v>
      </c>
      <c r="O147" s="51">
        <v>3.7040794350000001</v>
      </c>
      <c r="P147" s="27">
        <v>454873577.59774387</v>
      </c>
      <c r="Q147" s="27">
        <v>72306533197.479477</v>
      </c>
      <c r="R147" s="27">
        <v>67988212.663366318</v>
      </c>
      <c r="S147" s="27">
        <v>157138144.98831153</v>
      </c>
      <c r="T147" s="27">
        <v>2984224907.7566566</v>
      </c>
      <c r="U147" s="27">
        <v>7491721076.0424395</v>
      </c>
      <c r="V147" s="27">
        <v>437301580.11862075</v>
      </c>
      <c r="W147" s="27">
        <v>5882170.5352772679</v>
      </c>
      <c r="X147" s="27">
        <v>128192068844.99881</v>
      </c>
      <c r="Y147" s="39">
        <v>25905435390.030952</v>
      </c>
      <c r="Z147" s="39">
        <v>82176461.904254764</v>
      </c>
      <c r="AA147" s="62">
        <v>705852419.79959881</v>
      </c>
    </row>
    <row r="148" spans="1:27">
      <c r="A148" s="3">
        <f t="shared" si="5"/>
        <v>2026</v>
      </c>
      <c r="B148" s="27">
        <v>7037391.3531140909</v>
      </c>
      <c r="C148" s="27">
        <v>4869874.8163549509</v>
      </c>
      <c r="D148" s="52">
        <v>214787.87600324774</v>
      </c>
      <c r="E148" s="52">
        <v>5459487.2537944801</v>
      </c>
      <c r="F148" s="52">
        <v>5698.6877951100469</v>
      </c>
      <c r="G148" s="52">
        <v>9353.4506263241474</v>
      </c>
      <c r="H148" s="52">
        <v>185723.05093949693</v>
      </c>
      <c r="I148" s="52">
        <v>67725.298141968728</v>
      </c>
      <c r="J148" s="28">
        <v>98637280.676199034</v>
      </c>
      <c r="K148" s="27">
        <v>2473834914.9619932</v>
      </c>
      <c r="L148" s="27">
        <v>1286668429.9861851</v>
      </c>
      <c r="M148" s="28">
        <f>L148*TechnicalInputs!$D$16</f>
        <v>1029334743.9889481</v>
      </c>
      <c r="N148" s="51">
        <v>3.0795923520000001</v>
      </c>
      <c r="O148" s="51">
        <v>3.7470090735000001</v>
      </c>
      <c r="P148" s="27">
        <v>458809089.61219478</v>
      </c>
      <c r="Q148" s="27">
        <v>72924577473.257385</v>
      </c>
      <c r="R148" s="27">
        <v>76119675.766552389</v>
      </c>
      <c r="S148" s="27">
        <v>158497685.50239459</v>
      </c>
      <c r="T148" s="27">
        <v>2999911244.6055002</v>
      </c>
      <c r="U148" s="27">
        <v>7629111251.4793234</v>
      </c>
      <c r="V148" s="27">
        <v>449918894.702434</v>
      </c>
      <c r="W148" s="27">
        <v>5943496.7210022099</v>
      </c>
      <c r="X148" s="27">
        <v>131890751249.32137</v>
      </c>
      <c r="Y148" s="39">
        <v>26259437716.828163</v>
      </c>
      <c r="Z148" s="39">
        <v>83298665.076175258</v>
      </c>
      <c r="AA148" s="62">
        <v>709438751.1298691</v>
      </c>
    </row>
    <row r="149" spans="1:27">
      <c r="A149" s="3">
        <f t="shared" si="5"/>
        <v>2027</v>
      </c>
      <c r="B149" s="27">
        <v>7063842.756670584</v>
      </c>
      <c r="C149" s="27">
        <v>4888179.1876160437</v>
      </c>
      <c r="D149" s="52">
        <v>215595.19799262233</v>
      </c>
      <c r="E149" s="52">
        <v>5479366.3726135883</v>
      </c>
      <c r="F149" s="52">
        <v>6361.5328371254727</v>
      </c>
      <c r="G149" s="52">
        <v>9388.607388929533</v>
      </c>
      <c r="H149" s="52">
        <v>186421.12713330839</v>
      </c>
      <c r="I149" s="52">
        <v>67979.856841669884</v>
      </c>
      <c r="J149" s="28">
        <v>98818810.996317029</v>
      </c>
      <c r="K149" s="27">
        <v>2428728861.7133207</v>
      </c>
      <c r="L149" s="27">
        <v>1302973769.8038754</v>
      </c>
      <c r="M149" s="28">
        <f>L149*TechnicalInputs!$D$16</f>
        <v>1042379015.8431004</v>
      </c>
      <c r="N149" s="51">
        <v>3.1196236800000001</v>
      </c>
      <c r="O149" s="51">
        <v>3.8022677595000003</v>
      </c>
      <c r="P149" s="27">
        <v>462774892.42855889</v>
      </c>
      <c r="Q149" s="27">
        <v>73546305324.025177</v>
      </c>
      <c r="R149" s="27">
        <v>85387105.835174084</v>
      </c>
      <c r="S149" s="27">
        <v>159867690.11168399</v>
      </c>
      <c r="T149" s="27">
        <v>3015655541.4684262</v>
      </c>
      <c r="U149" s="27">
        <v>7768957914.704442</v>
      </c>
      <c r="V149" s="27">
        <v>462900252.39641327</v>
      </c>
      <c r="W149" s="27">
        <v>6005516.3376837503</v>
      </c>
      <c r="X149" s="27">
        <v>135696150486.06032</v>
      </c>
      <c r="Y149" s="39">
        <v>26619008477.810921</v>
      </c>
      <c r="Z149" s="39">
        <v>84353516.480910987</v>
      </c>
      <c r="AA149" s="62">
        <v>713518069.71926916</v>
      </c>
    </row>
    <row r="150" spans="1:27">
      <c r="A150" s="3">
        <f t="shared" si="5"/>
        <v>2028</v>
      </c>
      <c r="B150" s="27">
        <v>7090393.5829698239</v>
      </c>
      <c r="C150" s="27">
        <v>4906552.3594151177</v>
      </c>
      <c r="D150" s="52">
        <v>216405.55445864741</v>
      </c>
      <c r="E150" s="52">
        <v>5499232.214326161</v>
      </c>
      <c r="F150" s="52">
        <v>7114.865950461477</v>
      </c>
      <c r="G150" s="52">
        <v>9423.8962950620808</v>
      </c>
      <c r="H150" s="52">
        <v>187121.82718220894</v>
      </c>
      <c r="I150" s="52">
        <v>68235.372349733254</v>
      </c>
      <c r="J150" s="28">
        <v>98989983.641414985</v>
      </c>
      <c r="K150" s="27">
        <v>2388697868.4086733</v>
      </c>
      <c r="L150" s="27">
        <v>1319928187.8071649</v>
      </c>
      <c r="M150" s="28">
        <f>L150*TechnicalInputs!$D$16</f>
        <v>1055942550.2457319</v>
      </c>
      <c r="N150" s="51">
        <v>3.124872012</v>
      </c>
      <c r="O150" s="51">
        <v>3.8342720009999995</v>
      </c>
      <c r="P150" s="27">
        <v>466771155.48641407</v>
      </c>
      <c r="Q150" s="27">
        <v>74171571581.507385</v>
      </c>
      <c r="R150" s="27">
        <v>95962630.521891683</v>
      </c>
      <c r="S150" s="27">
        <v>161248217.34985214</v>
      </c>
      <c r="T150" s="27">
        <v>3031457666.3109126</v>
      </c>
      <c r="U150" s="27">
        <v>7911303333.0016232</v>
      </c>
      <c r="V150" s="27">
        <v>476256156.8132869</v>
      </c>
      <c r="W150" s="27">
        <v>6068237.9048548071</v>
      </c>
      <c r="X150" s="27">
        <v>139611345619.88687</v>
      </c>
      <c r="Y150" s="39">
        <v>26984241612.59864</v>
      </c>
      <c r="Z150" s="39">
        <v>85348614.177206367</v>
      </c>
      <c r="AA150" s="62">
        <v>717620844.65374136</v>
      </c>
    </row>
    <row r="151" spans="1:27">
      <c r="A151" s="3">
        <f t="shared" si="5"/>
        <v>2029</v>
      </c>
      <c r="B151" s="27">
        <v>7117044.2057115184</v>
      </c>
      <c r="C151" s="27">
        <v>4924994.5903523704</v>
      </c>
      <c r="D151" s="52">
        <v>217218.95680699334</v>
      </c>
      <c r="E151" s="52">
        <v>5519109.6108101057</v>
      </c>
      <c r="F151" s="52">
        <v>7934.1454696301371</v>
      </c>
      <c r="G151" s="52">
        <v>9459.3178414089271</v>
      </c>
      <c r="H151" s="52">
        <v>187825.16094846808</v>
      </c>
      <c r="I151" s="52">
        <v>68491.84826250904</v>
      </c>
      <c r="J151" s="28">
        <v>99151916.778700233</v>
      </c>
      <c r="K151" s="27">
        <v>2353313483.1826887</v>
      </c>
      <c r="L151" s="27">
        <v>1337446992.9803987</v>
      </c>
      <c r="M151" s="28">
        <f>L151*TechnicalInputs!$D$16</f>
        <v>1069957594.3843189</v>
      </c>
      <c r="N151" s="51">
        <v>3.15141486</v>
      </c>
      <c r="O151" s="51">
        <v>3.8776317089999996</v>
      </c>
      <c r="P151" s="27">
        <v>470798048.05807495</v>
      </c>
      <c r="Q151" s="27">
        <v>74800717631.180984</v>
      </c>
      <c r="R151" s="27">
        <v>107531797.11381344</v>
      </c>
      <c r="S151" s="27">
        <v>162639325.69278955</v>
      </c>
      <c r="T151" s="27">
        <v>3047317481.0759463</v>
      </c>
      <c r="U151" s="27">
        <v>8056190458.1477365</v>
      </c>
      <c r="V151" s="27">
        <v>489997414.62296855</v>
      </c>
      <c r="W151" s="27">
        <v>6131670.0526141301</v>
      </c>
      <c r="X151" s="27">
        <v>143639504554.68372</v>
      </c>
      <c r="Y151" s="39">
        <v>27355232693.476532</v>
      </c>
      <c r="Z151" s="39">
        <v>86290343.438675866</v>
      </c>
      <c r="AA151" s="62">
        <v>721747210.80878282</v>
      </c>
    </row>
    <row r="152" spans="1:27">
      <c r="A152" s="3">
        <f t="shared" si="5"/>
        <v>2030</v>
      </c>
      <c r="B152" s="27">
        <v>7143795</v>
      </c>
      <c r="C152" s="27">
        <v>4943506.1399999997</v>
      </c>
      <c r="D152" s="52">
        <v>218035.41648620105</v>
      </c>
      <c r="E152" s="52">
        <v>5539020.9530966859</v>
      </c>
      <c r="F152" s="52">
        <v>8797.2716666124761</v>
      </c>
      <c r="G152" s="52">
        <v>9494.8725265241064</v>
      </c>
      <c r="H152" s="52">
        <v>188531.13833142447</v>
      </c>
      <c r="I152" s="52">
        <v>68749.288189865096</v>
      </c>
      <c r="J152" s="28">
        <v>99305556.780168712</v>
      </c>
      <c r="K152" s="27">
        <v>2322253015.6166911</v>
      </c>
      <c r="L152" s="27">
        <v>1355764468.0065224</v>
      </c>
      <c r="M152" s="28">
        <f>L152*TechnicalInputs!$D$16</f>
        <v>1084611574.4052179</v>
      </c>
      <c r="N152" s="51">
        <v>3.1807456920000003</v>
      </c>
      <c r="O152" s="51">
        <v>3.9170524155000002</v>
      </c>
      <c r="P152" s="27">
        <v>474855739.22487062</v>
      </c>
      <c r="Q152" s="27">
        <v>75434057905.752289</v>
      </c>
      <c r="R152" s="27">
        <v>119807075.28122786</v>
      </c>
      <c r="S152" s="27">
        <v>164041073.55040985</v>
      </c>
      <c r="T152" s="27">
        <v>3063234841.6138535</v>
      </c>
      <c r="U152" s="27">
        <v>8203662936.4146414</v>
      </c>
      <c r="V152" s="27">
        <v>504135144.29656404</v>
      </c>
      <c r="W152" s="27">
        <v>6195821.5230486961</v>
      </c>
      <c r="X152" s="27">
        <v>147783886596.79282</v>
      </c>
      <c r="Y152" s="39">
        <v>27732078954.108253</v>
      </c>
      <c r="Z152" s="39">
        <v>87184121.014912128</v>
      </c>
      <c r="AA152" s="62">
        <v>725897303.83543396</v>
      </c>
    </row>
    <row r="153" spans="1:27">
      <c r="A153" s="3">
        <f t="shared" si="5"/>
        <v>2031</v>
      </c>
      <c r="B153" s="27">
        <v>7164668.0673170835</v>
      </c>
      <c r="C153" s="27">
        <v>4957950.3025834216</v>
      </c>
      <c r="D153" s="52">
        <v>218672.48234906874</v>
      </c>
      <c r="E153" s="52">
        <v>5554313.2503645038</v>
      </c>
      <c r="F153" s="52">
        <v>9714.8437005355954</v>
      </c>
      <c r="G153" s="52">
        <v>9522.6150798047183</v>
      </c>
      <c r="H153" s="52">
        <v>189081.99724349548</v>
      </c>
      <c r="I153" s="52">
        <v>68950.16300785591</v>
      </c>
      <c r="J153" s="28">
        <v>99451711.700892329</v>
      </c>
      <c r="K153" s="27">
        <v>2295580892.9912906</v>
      </c>
      <c r="L153" s="27">
        <v>1374737370.814255</v>
      </c>
      <c r="M153" s="28">
        <f>L153*TechnicalInputs!$D$16</f>
        <v>1099789896.6514041</v>
      </c>
      <c r="N153" s="51">
        <v>3.21429498</v>
      </c>
      <c r="O153" s="51">
        <v>3.9632405330000005</v>
      </c>
      <c r="P153" s="27">
        <v>478944397.85303658</v>
      </c>
      <c r="Q153" s="27">
        <v>76071354148.813019</v>
      </c>
      <c r="R153" s="27">
        <v>133053589.58559299</v>
      </c>
      <c r="S153" s="27">
        <v>165453519.25832173</v>
      </c>
      <c r="T153" s="27">
        <v>3079209597.6120362</v>
      </c>
      <c r="U153" s="27">
        <v>8353765118.6905575</v>
      </c>
      <c r="V153" s="27">
        <v>518248353.1796096</v>
      </c>
      <c r="W153" s="27">
        <v>6260701.1716722455</v>
      </c>
      <c r="X153" s="27">
        <v>151921080531.16751</v>
      </c>
      <c r="Y153" s="39">
        <v>28091439523.645859</v>
      </c>
      <c r="Z153" s="39">
        <v>88034581.027436465</v>
      </c>
      <c r="AA153" s="62">
        <v>729462588.84305263</v>
      </c>
    </row>
    <row r="154" spans="1:27">
      <c r="A154" s="3">
        <f t="shared" si="5"/>
        <v>2032</v>
      </c>
      <c r="B154" s="27">
        <v>7185602.1225179499</v>
      </c>
      <c r="C154" s="27">
        <v>4972436.6687824214</v>
      </c>
      <c r="D154" s="52">
        <v>219311.40962014327</v>
      </c>
      <c r="E154" s="52">
        <v>5569629.8685358409</v>
      </c>
      <c r="F154" s="52">
        <v>10655.457569250837</v>
      </c>
      <c r="G154" s="52">
        <v>9550.4386925477265</v>
      </c>
      <c r="H154" s="52">
        <v>189634.46568035742</v>
      </c>
      <c r="I154" s="52">
        <v>69151.624751087176</v>
      </c>
      <c r="J154" s="28">
        <v>99591076.981121451</v>
      </c>
      <c r="K154" s="27">
        <v>2272997176.4695745</v>
      </c>
      <c r="L154" s="27">
        <v>1394351422.9208515</v>
      </c>
      <c r="M154" s="28">
        <f>L154*TechnicalInputs!$D$16</f>
        <v>1115481138.3366811</v>
      </c>
      <c r="N154" s="51">
        <v>3.2504330939999999</v>
      </c>
      <c r="O154" s="51">
        <v>4.0115604794999999</v>
      </c>
      <c r="P154" s="27">
        <v>483064192.56922048</v>
      </c>
      <c r="Q154" s="27">
        <v>76713141882.342819</v>
      </c>
      <c r="R154" s="27">
        <v>146762648.07989487</v>
      </c>
      <c r="S154" s="27">
        <v>166876721.06936711</v>
      </c>
      <c r="T154" s="27">
        <v>3095241592.5246305</v>
      </c>
      <c r="U154" s="27">
        <v>8506542070.7216673</v>
      </c>
      <c r="V154" s="27">
        <v>532756659.82013136</v>
      </c>
      <c r="W154" s="27">
        <v>6326317.9688801132</v>
      </c>
      <c r="X154" s="27">
        <v>156174094762.63135</v>
      </c>
      <c r="Y154" s="39">
        <v>28456226265.549072</v>
      </c>
      <c r="Z154" s="39">
        <v>88845718.426421195</v>
      </c>
      <c r="AA154" s="62">
        <v>733582745.75686204</v>
      </c>
    </row>
    <row r="155" spans="1:27">
      <c r="A155" s="3">
        <f t="shared" si="5"/>
        <v>2033</v>
      </c>
      <c r="B155" s="27">
        <v>7206597.3437997894</v>
      </c>
      <c r="C155" s="27">
        <v>4986965.3619094538</v>
      </c>
      <c r="D155" s="52">
        <v>219952.20373817239</v>
      </c>
      <c r="E155" s="52">
        <v>5584963.5871688994</v>
      </c>
      <c r="F155" s="52">
        <v>11626.472101173364</v>
      </c>
      <c r="G155" s="52">
        <v>9578.3436015963816</v>
      </c>
      <c r="H155" s="52">
        <v>190188.54834479355</v>
      </c>
      <c r="I155" s="52">
        <v>69353.675134463963</v>
      </c>
      <c r="J155" s="28">
        <v>99789618.720984086</v>
      </c>
      <c r="K155" s="27">
        <v>2254526267.7182674</v>
      </c>
      <c r="L155" s="27">
        <v>1414459861.7534542</v>
      </c>
      <c r="M155" s="28">
        <f>L155*TechnicalInputs!$D$16</f>
        <v>1131567889.4027634</v>
      </c>
      <c r="N155" s="51">
        <v>3.289196628</v>
      </c>
      <c r="O155" s="51">
        <v>4.0631891510000004</v>
      </c>
      <c r="P155" s="27">
        <v>487215291.73559999</v>
      </c>
      <c r="Q155" s="27">
        <v>77359339697.651245</v>
      </c>
      <c r="R155" s="27">
        <v>161042447.4075897</v>
      </c>
      <c r="S155" s="27">
        <v>168310737.14502546</v>
      </c>
      <c r="T155" s="27">
        <v>3111330663.5021152</v>
      </c>
      <c r="U155" s="27">
        <v>8662039583.4747066</v>
      </c>
      <c r="V155" s="27">
        <v>547671124.93715179</v>
      </c>
      <c r="W155" s="27">
        <v>6392681.0014204513</v>
      </c>
      <c r="X155" s="27">
        <v>160546171667.8847</v>
      </c>
      <c r="Y155" s="39">
        <v>28826526982.051285</v>
      </c>
      <c r="Z155" s="39">
        <v>90701583.019262746</v>
      </c>
      <c r="AA155" s="62">
        <v>737726174.17664587</v>
      </c>
    </row>
    <row r="156" spans="1:27">
      <c r="A156" s="3">
        <f t="shared" si="5"/>
        <v>2034</v>
      </c>
      <c r="B156" s="27">
        <v>7227653.9098804584</v>
      </c>
      <c r="C156" s="27">
        <v>5001536.5056372769</v>
      </c>
      <c r="D156" s="52">
        <v>220594.870157795</v>
      </c>
      <c r="E156" s="52">
        <v>5600357.1430229666</v>
      </c>
      <c r="F156" s="52">
        <v>12585.289327978157</v>
      </c>
      <c r="G156" s="52">
        <v>9606.3300444859487</v>
      </c>
      <c r="H156" s="52">
        <v>190744.24995332788</v>
      </c>
      <c r="I156" s="52">
        <v>69556.315877901987</v>
      </c>
      <c r="J156" s="28">
        <v>99988556.267616391</v>
      </c>
      <c r="K156" s="27">
        <v>2239723758.0913763</v>
      </c>
      <c r="L156" s="27">
        <v>1435293499.7580543</v>
      </c>
      <c r="M156" s="28">
        <f>L156*TechnicalInputs!$D$16</f>
        <v>1148234799.8064435</v>
      </c>
      <c r="N156" s="51">
        <v>3.3310321200000002</v>
      </c>
      <c r="O156" s="51">
        <v>4.1073325930000006</v>
      </c>
      <c r="P156" s="27">
        <v>491397863.42461079</v>
      </c>
      <c r="Q156" s="27">
        <v>78010559671.623734</v>
      </c>
      <c r="R156" s="27">
        <v>175307652.53569388</v>
      </c>
      <c r="S156" s="27">
        <v>169755625.54668373</v>
      </c>
      <c r="T156" s="27">
        <v>3127476641.3208809</v>
      </c>
      <c r="U156" s="27">
        <v>8820304183.6213074</v>
      </c>
      <c r="V156" s="27">
        <v>563003118.89332724</v>
      </c>
      <c r="W156" s="27">
        <v>6459799.4738819748</v>
      </c>
      <c r="X156" s="27">
        <v>165040644393.61328</v>
      </c>
      <c r="Y156" s="39">
        <v>29202430934.560555</v>
      </c>
      <c r="Z156" s="39">
        <v>92596214.065321907</v>
      </c>
      <c r="AA156" s="62">
        <v>741893005.54472578</v>
      </c>
    </row>
    <row r="157" spans="1:27">
      <c r="A157" s="3">
        <f t="shared" si="5"/>
        <v>2035</v>
      </c>
      <c r="B157" s="27">
        <v>7248772</v>
      </c>
      <c r="C157" s="27">
        <v>5016150.2239999995</v>
      </c>
      <c r="D157" s="52">
        <v>221239.41434958766</v>
      </c>
      <c r="E157" s="52">
        <v>5615818.3718093466</v>
      </c>
      <c r="F157" s="52">
        <v>13524.212734849192</v>
      </c>
      <c r="G157" s="52">
        <v>9634.3982594457411</v>
      </c>
      <c r="H157" s="52">
        <v>191301.5752362654</v>
      </c>
      <c r="I157" s="52">
        <v>69759.548706342321</v>
      </c>
      <c r="J157" s="28">
        <v>100187890.41008669</v>
      </c>
      <c r="K157" s="27">
        <v>2228293014.5814667</v>
      </c>
      <c r="L157" s="27">
        <v>1456788960.6860945</v>
      </c>
      <c r="M157" s="28">
        <f>L157*TechnicalInputs!$D$16</f>
        <v>1165431168.5488756</v>
      </c>
      <c r="N157" s="51">
        <v>3.359314608</v>
      </c>
      <c r="O157" s="51">
        <v>4.1400366525000001</v>
      </c>
      <c r="P157" s="27">
        <v>495612075.39328331</v>
      </c>
      <c r="Q157" s="27">
        <v>78666938252.03746</v>
      </c>
      <c r="R157" s="27">
        <v>189448507.35569173</v>
      </c>
      <c r="S157" s="27">
        <v>171211444.22677061</v>
      </c>
      <c r="T157" s="27">
        <v>3143679350.3127685</v>
      </c>
      <c r="U157" s="27">
        <v>8981383144.1448441</v>
      </c>
      <c r="V157" s="27">
        <v>578764330.36338794</v>
      </c>
      <c r="W157" s="27">
        <v>6527682.7101982962</v>
      </c>
      <c r="X157" s="27">
        <v>169660939397.58414</v>
      </c>
      <c r="Y157" s="39">
        <v>29584028868.144157</v>
      </c>
      <c r="Z157" s="39">
        <v>94530421.342370659</v>
      </c>
      <c r="AA157" s="62">
        <v>746083372.04583704</v>
      </c>
    </row>
  </sheetData>
  <sheetProtection selectLockedCells="1"/>
  <mergeCells count="65">
    <mergeCell ref="AA2:AA3"/>
    <mergeCell ref="AA34:AA35"/>
    <mergeCell ref="AA66:AA67"/>
    <mergeCell ref="AA98:AA99"/>
    <mergeCell ref="B97:AA97"/>
    <mergeCell ref="B65:AA65"/>
    <mergeCell ref="B33:AA33"/>
    <mergeCell ref="C34:C35"/>
    <mergeCell ref="C66:C67"/>
    <mergeCell ref="C98:C99"/>
    <mergeCell ref="V66:V67"/>
    <mergeCell ref="X66:X67"/>
    <mergeCell ref="X34:X35"/>
    <mergeCell ref="W34:W35"/>
    <mergeCell ref="Z2:Z3"/>
    <mergeCell ref="Z34:Z35"/>
    <mergeCell ref="Z66:Z67"/>
    <mergeCell ref="Z98:Z99"/>
    <mergeCell ref="A33:A35"/>
    <mergeCell ref="V34:V35"/>
    <mergeCell ref="B34:B35"/>
    <mergeCell ref="A65:A67"/>
    <mergeCell ref="B66:B67"/>
    <mergeCell ref="P66:U66"/>
    <mergeCell ref="K34:M34"/>
    <mergeCell ref="P34:U34"/>
    <mergeCell ref="K98:M98"/>
    <mergeCell ref="K66:M66"/>
    <mergeCell ref="X98:X99"/>
    <mergeCell ref="W98:W99"/>
    <mergeCell ref="N34:O34"/>
    <mergeCell ref="N66:O66"/>
    <mergeCell ref="N98:O98"/>
    <mergeCell ref="W66:W67"/>
    <mergeCell ref="P98:U98"/>
    <mergeCell ref="V98:V99"/>
    <mergeCell ref="A1:A3"/>
    <mergeCell ref="B2:B3"/>
    <mergeCell ref="P2:U2"/>
    <mergeCell ref="K2:M2"/>
    <mergeCell ref="D98:J98"/>
    <mergeCell ref="D66:J66"/>
    <mergeCell ref="D34:J34"/>
    <mergeCell ref="A97:A99"/>
    <mergeCell ref="B98:B99"/>
    <mergeCell ref="V2:V3"/>
    <mergeCell ref="X2:X3"/>
    <mergeCell ref="W2:W3"/>
    <mergeCell ref="C2:C3"/>
    <mergeCell ref="B1:Y1"/>
    <mergeCell ref="N2:O2"/>
    <mergeCell ref="D2:J2"/>
    <mergeCell ref="A129:A131"/>
    <mergeCell ref="B129:AA129"/>
    <mergeCell ref="B130:B131"/>
    <mergeCell ref="C130:C131"/>
    <mergeCell ref="P130:U130"/>
    <mergeCell ref="V130:V131"/>
    <mergeCell ref="W130:W131"/>
    <mergeCell ref="X130:X131"/>
    <mergeCell ref="AA130:AA131"/>
    <mergeCell ref="N130:O130"/>
    <mergeCell ref="K130:M130"/>
    <mergeCell ref="D130:J130"/>
    <mergeCell ref="Z130:Z131"/>
  </mergeCells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  <pageSetUpPr autoPageBreaks="0"/>
  </sheetPr>
  <dimension ref="A1:I170"/>
  <sheetViews>
    <sheetView zoomScale="80" zoomScaleNormal="80" zoomScalePageLayoutView="80" workbookViewId="0">
      <selection activeCell="D35" sqref="D35"/>
    </sheetView>
  </sheetViews>
  <sheetFormatPr defaultColWidth="11" defaultRowHeight="15.75"/>
  <cols>
    <col min="1" max="1" width="29" bestFit="1" customWidth="1"/>
    <col min="2" max="2" width="18.125" bestFit="1" customWidth="1"/>
    <col min="3" max="3" width="33.375" bestFit="1" customWidth="1"/>
    <col min="4" max="4" width="12.5" bestFit="1" customWidth="1"/>
    <col min="6" max="6" width="38.625" bestFit="1" customWidth="1"/>
    <col min="9" max="9" width="31.875" bestFit="1" customWidth="1"/>
  </cols>
  <sheetData>
    <row r="1" spans="1:6">
      <c r="A1" s="21" t="s">
        <v>72</v>
      </c>
      <c r="B1" s="19" t="s">
        <v>91</v>
      </c>
      <c r="C1" s="19" t="s">
        <v>86</v>
      </c>
      <c r="D1" s="19" t="s">
        <v>73</v>
      </c>
      <c r="E1" s="19" t="s">
        <v>38</v>
      </c>
      <c r="F1" s="19" t="s">
        <v>82</v>
      </c>
    </row>
    <row r="2" spans="1:6">
      <c r="A2" s="22" t="s">
        <v>74</v>
      </c>
      <c r="B2" s="18" t="s">
        <v>80</v>
      </c>
      <c r="C2" s="3" t="s">
        <v>80</v>
      </c>
      <c r="D2" s="128">
        <v>2.5000000000000001E-2</v>
      </c>
      <c r="E2" s="3" t="s">
        <v>66</v>
      </c>
      <c r="F2" s="3" t="s">
        <v>156</v>
      </c>
    </row>
    <row r="3" spans="1:6">
      <c r="A3" s="22" t="s">
        <v>74</v>
      </c>
      <c r="B3" s="18" t="s">
        <v>80</v>
      </c>
      <c r="C3" s="3" t="s">
        <v>80</v>
      </c>
      <c r="D3" s="129">
        <v>0.03</v>
      </c>
      <c r="E3" s="3" t="s">
        <v>67</v>
      </c>
      <c r="F3" s="3" t="s">
        <v>156</v>
      </c>
    </row>
    <row r="4" spans="1:6">
      <c r="A4" s="22" t="s">
        <v>399</v>
      </c>
      <c r="B4" s="206" t="s">
        <v>19</v>
      </c>
      <c r="C4" s="3" t="s">
        <v>400</v>
      </c>
      <c r="D4" s="210">
        <v>3.4000000000000002E-2</v>
      </c>
      <c r="E4" s="3"/>
      <c r="F4" s="3" t="s">
        <v>401</v>
      </c>
    </row>
    <row r="5" spans="1:6">
      <c r="A5" s="22" t="s">
        <v>256</v>
      </c>
      <c r="B5" s="18" t="s">
        <v>80</v>
      </c>
      <c r="C5" s="3" t="s">
        <v>80</v>
      </c>
      <c r="D5" s="130">
        <v>1.7</v>
      </c>
      <c r="E5" s="3"/>
      <c r="F5" s="3" t="s">
        <v>257</v>
      </c>
    </row>
    <row r="6" spans="1:6">
      <c r="A6" s="22" t="s">
        <v>81</v>
      </c>
      <c r="B6" s="18" t="s">
        <v>87</v>
      </c>
      <c r="C6" s="3" t="s">
        <v>88</v>
      </c>
      <c r="D6" s="128">
        <v>1.6E-2</v>
      </c>
      <c r="E6" s="3"/>
      <c r="F6" s="3" t="s">
        <v>85</v>
      </c>
    </row>
    <row r="7" spans="1:6">
      <c r="A7" s="22" t="s">
        <v>81</v>
      </c>
      <c r="B7" s="17" t="s">
        <v>3</v>
      </c>
      <c r="C7" s="3" t="s">
        <v>49</v>
      </c>
      <c r="D7" s="128">
        <v>0</v>
      </c>
      <c r="E7" s="3"/>
      <c r="F7" s="3" t="s">
        <v>84</v>
      </c>
    </row>
    <row r="8" spans="1:6">
      <c r="A8" s="22" t="s">
        <v>81</v>
      </c>
      <c r="B8" s="17" t="s">
        <v>4</v>
      </c>
      <c r="C8" s="3" t="s">
        <v>50</v>
      </c>
      <c r="D8" s="128">
        <v>0</v>
      </c>
      <c r="E8" s="3"/>
      <c r="F8" s="3" t="s">
        <v>84</v>
      </c>
    </row>
    <row r="9" spans="1:6">
      <c r="A9" s="22" t="s">
        <v>81</v>
      </c>
      <c r="B9" s="17" t="s">
        <v>58</v>
      </c>
      <c r="C9" s="4" t="s">
        <v>51</v>
      </c>
      <c r="D9" s="128">
        <v>0</v>
      </c>
      <c r="E9" s="3"/>
      <c r="F9" s="3" t="s">
        <v>84</v>
      </c>
    </row>
    <row r="10" spans="1:6">
      <c r="A10" s="22" t="s">
        <v>81</v>
      </c>
      <c r="B10" s="68" t="s">
        <v>179</v>
      </c>
      <c r="C10" s="6" t="s">
        <v>180</v>
      </c>
      <c r="D10" s="128">
        <v>7.3000000000000001E-3</v>
      </c>
      <c r="E10" s="3"/>
      <c r="F10" s="3" t="s">
        <v>181</v>
      </c>
    </row>
    <row r="11" spans="1:6">
      <c r="A11" s="22" t="s">
        <v>81</v>
      </c>
      <c r="B11" s="68" t="s">
        <v>179</v>
      </c>
      <c r="C11" s="6" t="s">
        <v>180</v>
      </c>
      <c r="D11" s="128">
        <v>5.3E-3</v>
      </c>
      <c r="E11" s="3"/>
      <c r="F11" s="3" t="s">
        <v>181</v>
      </c>
    </row>
    <row r="12" spans="1:6">
      <c r="A12" s="22" t="s">
        <v>81</v>
      </c>
      <c r="B12" s="68" t="s">
        <v>179</v>
      </c>
      <c r="C12" s="6" t="s">
        <v>180</v>
      </c>
      <c r="D12" s="128">
        <v>2.5999999999999999E-3</v>
      </c>
      <c r="E12" s="3"/>
      <c r="F12" s="3" t="s">
        <v>181</v>
      </c>
    </row>
    <row r="13" spans="1:6">
      <c r="A13" s="22" t="s">
        <v>81</v>
      </c>
      <c r="B13" s="68" t="s">
        <v>179</v>
      </c>
      <c r="C13" s="4" t="s">
        <v>183</v>
      </c>
      <c r="D13" s="131">
        <v>0.05</v>
      </c>
      <c r="E13" s="3"/>
      <c r="F13" s="3" t="s">
        <v>182</v>
      </c>
    </row>
    <row r="14" spans="1:6">
      <c r="A14" s="22" t="s">
        <v>81</v>
      </c>
      <c r="B14" s="68" t="s">
        <v>179</v>
      </c>
      <c r="C14" s="4" t="s">
        <v>184</v>
      </c>
      <c r="D14" s="131">
        <v>0.15</v>
      </c>
      <c r="E14" s="3"/>
      <c r="F14" s="3" t="s">
        <v>182</v>
      </c>
    </row>
    <row r="15" spans="1:6">
      <c r="A15" s="22" t="s">
        <v>81</v>
      </c>
      <c r="B15" s="68" t="s">
        <v>179</v>
      </c>
      <c r="C15" s="4" t="s">
        <v>185</v>
      </c>
      <c r="D15" s="131">
        <v>0.8</v>
      </c>
      <c r="E15" s="3"/>
      <c r="F15" s="3" t="s">
        <v>182</v>
      </c>
    </row>
    <row r="16" spans="1:6">
      <c r="A16" s="22" t="s">
        <v>161</v>
      </c>
      <c r="B16" s="55" t="s">
        <v>162</v>
      </c>
      <c r="C16" s="4" t="s">
        <v>62</v>
      </c>
      <c r="D16" s="131">
        <v>0.8</v>
      </c>
      <c r="E16" s="3"/>
      <c r="F16" s="3" t="s">
        <v>188</v>
      </c>
    </row>
    <row r="17" spans="1:9">
      <c r="A17" s="248" t="s">
        <v>315</v>
      </c>
      <c r="B17" s="17" t="s">
        <v>163</v>
      </c>
      <c r="C17" s="3" t="s">
        <v>311</v>
      </c>
      <c r="D17" s="132">
        <v>20000000</v>
      </c>
      <c r="E17" s="3"/>
      <c r="F17" s="3"/>
    </row>
    <row r="18" spans="1:9">
      <c r="A18" s="248"/>
      <c r="B18" s="78" t="s">
        <v>163</v>
      </c>
      <c r="C18" s="3" t="s">
        <v>312</v>
      </c>
      <c r="D18" s="133">
        <v>0.1</v>
      </c>
      <c r="E18" s="3"/>
      <c r="F18" s="3"/>
    </row>
    <row r="19" spans="1:9">
      <c r="A19" s="248"/>
      <c r="B19" s="78" t="s">
        <v>163</v>
      </c>
      <c r="C19" s="3" t="s">
        <v>313</v>
      </c>
      <c r="D19" s="133">
        <v>0.7</v>
      </c>
      <c r="E19" s="3"/>
      <c r="F19" s="3"/>
    </row>
    <row r="20" spans="1:9">
      <c r="A20" s="248"/>
      <c r="B20" s="17" t="s">
        <v>163</v>
      </c>
      <c r="C20" s="4" t="s">
        <v>314</v>
      </c>
      <c r="D20" s="127">
        <v>8</v>
      </c>
      <c r="E20" s="3"/>
      <c r="F20" s="3"/>
    </row>
    <row r="21" spans="1:9">
      <c r="A21" s="22" t="s">
        <v>75</v>
      </c>
      <c r="B21" s="20" t="s">
        <v>80</v>
      </c>
      <c r="C21" s="20" t="s">
        <v>80</v>
      </c>
      <c r="D21" s="126">
        <v>0.1</v>
      </c>
      <c r="E21" s="3"/>
      <c r="F21" s="3"/>
      <c r="H21" s="224" t="s">
        <v>44</v>
      </c>
      <c r="I21" s="3" t="s">
        <v>40</v>
      </c>
    </row>
    <row r="22" spans="1:9" ht="31.5">
      <c r="A22" s="22" t="s">
        <v>77</v>
      </c>
      <c r="B22" s="20" t="s">
        <v>80</v>
      </c>
      <c r="C22" s="20" t="s">
        <v>80</v>
      </c>
      <c r="D22" s="134">
        <v>2.7E-2</v>
      </c>
      <c r="E22" s="3"/>
      <c r="F22" s="3"/>
      <c r="H22" s="224"/>
      <c r="I22" s="3" t="s">
        <v>41</v>
      </c>
    </row>
    <row r="23" spans="1:9">
      <c r="A23" s="22" t="s">
        <v>76</v>
      </c>
      <c r="B23" s="20" t="s">
        <v>80</v>
      </c>
      <c r="C23" s="20" t="s">
        <v>80</v>
      </c>
      <c r="D23" s="126">
        <v>0.1</v>
      </c>
      <c r="E23" s="3"/>
      <c r="F23" s="3"/>
      <c r="H23" s="224"/>
      <c r="I23" s="3" t="s">
        <v>42</v>
      </c>
    </row>
    <row r="24" spans="1:9">
      <c r="A24" s="22" t="s">
        <v>78</v>
      </c>
      <c r="B24" s="20" t="s">
        <v>80</v>
      </c>
      <c r="C24" s="20" t="s">
        <v>80</v>
      </c>
      <c r="D24" s="134">
        <v>1.0999999999999999E-2</v>
      </c>
      <c r="E24" s="3"/>
      <c r="F24" s="3"/>
      <c r="H24" s="71" t="s">
        <v>1</v>
      </c>
      <c r="I24" s="3" t="s">
        <v>2</v>
      </c>
    </row>
    <row r="25" spans="1:9">
      <c r="A25" s="22" t="s">
        <v>229</v>
      </c>
      <c r="B25" s="20" t="s">
        <v>80</v>
      </c>
      <c r="C25" s="20" t="s">
        <v>80</v>
      </c>
      <c r="D25" s="126">
        <v>0.1</v>
      </c>
      <c r="E25" s="3"/>
      <c r="F25" s="3"/>
      <c r="H25" s="2" t="s">
        <v>31</v>
      </c>
      <c r="I25" s="4" t="s">
        <v>53</v>
      </c>
    </row>
    <row r="26" spans="1:9">
      <c r="A26" s="22" t="s">
        <v>230</v>
      </c>
      <c r="B26" s="20" t="s">
        <v>80</v>
      </c>
      <c r="C26" s="20" t="s">
        <v>80</v>
      </c>
      <c r="D26" s="134">
        <v>0</v>
      </c>
      <c r="E26" s="3"/>
      <c r="F26" s="3"/>
      <c r="H26" s="234" t="s">
        <v>11</v>
      </c>
      <c r="I26" s="6" t="s">
        <v>151</v>
      </c>
    </row>
    <row r="27" spans="1:9">
      <c r="A27" s="22" t="s">
        <v>79</v>
      </c>
      <c r="B27" s="20" t="s">
        <v>80</v>
      </c>
      <c r="C27" s="20" t="s">
        <v>80</v>
      </c>
      <c r="D27" s="126">
        <v>0.9</v>
      </c>
      <c r="E27" s="3"/>
      <c r="F27" s="3"/>
      <c r="H27" s="235"/>
      <c r="I27" s="6" t="s">
        <v>157</v>
      </c>
    </row>
    <row r="28" spans="1:9">
      <c r="A28" s="22" t="s">
        <v>231</v>
      </c>
      <c r="B28" s="20" t="s">
        <v>80</v>
      </c>
      <c r="C28" s="20" t="s">
        <v>80</v>
      </c>
      <c r="D28" s="126">
        <v>0.01</v>
      </c>
      <c r="E28" s="3"/>
      <c r="F28" s="3"/>
      <c r="H28" s="2" t="s">
        <v>23</v>
      </c>
      <c r="I28" s="4" t="s">
        <v>24</v>
      </c>
    </row>
    <row r="29" spans="1:9">
      <c r="A29" s="22" t="s">
        <v>213</v>
      </c>
      <c r="B29" s="20" t="s">
        <v>80</v>
      </c>
      <c r="C29" s="20" t="s">
        <v>80</v>
      </c>
      <c r="D29" s="127">
        <v>10</v>
      </c>
      <c r="E29" s="3" t="s">
        <v>281</v>
      </c>
      <c r="F29" s="3"/>
      <c r="H29" s="2" t="s">
        <v>34</v>
      </c>
      <c r="I29" s="4" t="s">
        <v>35</v>
      </c>
    </row>
    <row r="30" spans="1:9">
      <c r="A30" s="22" t="s">
        <v>214</v>
      </c>
      <c r="B30" s="20" t="s">
        <v>80</v>
      </c>
      <c r="C30" s="20" t="s">
        <v>80</v>
      </c>
      <c r="D30" s="127">
        <v>3</v>
      </c>
      <c r="E30" s="3" t="s">
        <v>281</v>
      </c>
      <c r="F30" s="3"/>
      <c r="H30" s="2" t="s">
        <v>29</v>
      </c>
      <c r="I30" s="4" t="s">
        <v>30</v>
      </c>
    </row>
    <row r="31" spans="1:9">
      <c r="A31" s="22" t="s">
        <v>215</v>
      </c>
      <c r="B31" s="20" t="s">
        <v>80</v>
      </c>
      <c r="C31" s="20" t="s">
        <v>80</v>
      </c>
      <c r="D31" s="127">
        <v>0</v>
      </c>
      <c r="E31" s="3" t="s">
        <v>281</v>
      </c>
      <c r="F31" s="3"/>
      <c r="H31" s="2" t="s">
        <v>32</v>
      </c>
      <c r="I31" s="4" t="s">
        <v>33</v>
      </c>
    </row>
    <row r="32" spans="1:9" ht="31.5">
      <c r="A32" s="22" t="s">
        <v>216</v>
      </c>
      <c r="B32" s="20" t="s">
        <v>80</v>
      </c>
      <c r="C32" s="20" t="s">
        <v>80</v>
      </c>
      <c r="D32" s="127">
        <v>1</v>
      </c>
      <c r="E32" s="3" t="s">
        <v>281</v>
      </c>
      <c r="F32" s="3"/>
      <c r="H32" s="2" t="s">
        <v>36</v>
      </c>
      <c r="I32" s="4" t="s">
        <v>37</v>
      </c>
    </row>
    <row r="33" spans="1:9">
      <c r="A33" s="22" t="s">
        <v>217</v>
      </c>
      <c r="B33" s="20" t="s">
        <v>80</v>
      </c>
      <c r="C33" s="20" t="s">
        <v>80</v>
      </c>
      <c r="D33" s="127">
        <v>1</v>
      </c>
      <c r="E33" s="3" t="s">
        <v>281</v>
      </c>
      <c r="F33" s="3"/>
      <c r="H33" s="2" t="s">
        <v>15</v>
      </c>
      <c r="I33" s="4" t="s">
        <v>16</v>
      </c>
    </row>
    <row r="34" spans="1:9">
      <c r="A34" s="22" t="s">
        <v>218</v>
      </c>
      <c r="B34" s="20" t="s">
        <v>80</v>
      </c>
      <c r="C34" s="20" t="s">
        <v>80</v>
      </c>
      <c r="D34" s="127">
        <v>2</v>
      </c>
      <c r="E34" s="3" t="s">
        <v>281</v>
      </c>
      <c r="F34" s="3"/>
      <c r="H34" s="2" t="s">
        <v>17</v>
      </c>
      <c r="I34" s="4" t="s">
        <v>18</v>
      </c>
    </row>
    <row r="35" spans="1:9">
      <c r="A35" s="117" t="s">
        <v>373</v>
      </c>
      <c r="B35" s="3"/>
      <c r="C35" s="3"/>
      <c r="D35" s="127">
        <v>1.34</v>
      </c>
      <c r="E35" s="3" t="s">
        <v>374</v>
      </c>
      <c r="F35" s="3"/>
      <c r="H35" s="71" t="s">
        <v>59</v>
      </c>
      <c r="I35" s="3" t="s">
        <v>46</v>
      </c>
    </row>
    <row r="36" spans="1:9">
      <c r="A36" s="22" t="s">
        <v>375</v>
      </c>
      <c r="B36" s="20"/>
      <c r="C36" s="20"/>
      <c r="D36" s="131">
        <v>0.01</v>
      </c>
      <c r="E36" s="3"/>
      <c r="F36" s="3"/>
      <c r="H36" s="71" t="s">
        <v>3</v>
      </c>
      <c r="I36" s="3" t="s">
        <v>49</v>
      </c>
    </row>
    <row r="37" spans="1:9">
      <c r="A37" s="85"/>
      <c r="B37" s="25"/>
      <c r="C37" s="25"/>
      <c r="D37" s="8"/>
      <c r="E37" s="1"/>
      <c r="F37" s="1"/>
      <c r="H37" s="71" t="s">
        <v>4</v>
      </c>
      <c r="I37" s="3" t="s">
        <v>50</v>
      </c>
    </row>
    <row r="38" spans="1:9">
      <c r="A38" s="85"/>
      <c r="B38" s="25"/>
      <c r="C38" s="25"/>
      <c r="D38" s="8"/>
      <c r="E38" s="1"/>
      <c r="F38" s="1"/>
      <c r="H38" s="71" t="s">
        <v>58</v>
      </c>
      <c r="I38" s="4" t="s">
        <v>51</v>
      </c>
    </row>
    <row r="39" spans="1:9">
      <c r="A39" s="85"/>
      <c r="B39" s="25"/>
      <c r="C39" s="25"/>
      <c r="D39" s="8"/>
      <c r="E39" s="1"/>
      <c r="F39" s="1"/>
      <c r="H39" s="71" t="s">
        <v>21</v>
      </c>
      <c r="I39" s="4" t="s">
        <v>22</v>
      </c>
    </row>
    <row r="40" spans="1:9">
      <c r="H40" s="2" t="s">
        <v>5</v>
      </c>
      <c r="I40" s="4" t="s">
        <v>6</v>
      </c>
    </row>
    <row r="41" spans="1:9">
      <c r="A41" s="249" t="s">
        <v>261</v>
      </c>
      <c r="B41" s="249"/>
      <c r="C41" s="249"/>
      <c r="D41" s="249"/>
      <c r="E41" s="249"/>
      <c r="F41" s="249"/>
      <c r="H41" s="2" t="s">
        <v>7</v>
      </c>
      <c r="I41" s="4" t="s">
        <v>8</v>
      </c>
    </row>
    <row r="42" spans="1:9">
      <c r="A42" s="22">
        <v>2015</v>
      </c>
      <c r="B42" s="234" t="s">
        <v>59</v>
      </c>
      <c r="C42" s="251" t="s">
        <v>46</v>
      </c>
      <c r="D42" s="128">
        <v>0.25</v>
      </c>
      <c r="E42" s="3"/>
      <c r="F42" s="251" t="s">
        <v>83</v>
      </c>
      <c r="H42" s="2" t="s">
        <v>9</v>
      </c>
      <c r="I42" s="4" t="s">
        <v>10</v>
      </c>
    </row>
    <row r="43" spans="1:9">
      <c r="A43" s="3">
        <f>A42+1</f>
        <v>2016</v>
      </c>
      <c r="B43" s="250"/>
      <c r="C43" s="252"/>
      <c r="D43" s="128">
        <v>0.25</v>
      </c>
      <c r="E43" s="3"/>
      <c r="F43" s="252"/>
      <c r="H43" s="2" t="s">
        <v>13</v>
      </c>
      <c r="I43" s="4" t="s">
        <v>14</v>
      </c>
    </row>
    <row r="44" spans="1:9">
      <c r="A44" s="3">
        <f t="shared" ref="A44:A62" si="0">A43+1</f>
        <v>2017</v>
      </c>
      <c r="B44" s="250"/>
      <c r="C44" s="252"/>
      <c r="D44" s="128">
        <v>0.25</v>
      </c>
      <c r="E44" s="3"/>
      <c r="F44" s="252"/>
      <c r="H44" s="2" t="s">
        <v>19</v>
      </c>
      <c r="I44" s="4" t="s">
        <v>20</v>
      </c>
    </row>
    <row r="45" spans="1:9">
      <c r="A45" s="3">
        <f t="shared" si="0"/>
        <v>2018</v>
      </c>
      <c r="B45" s="250"/>
      <c r="C45" s="252"/>
      <c r="D45" s="128">
        <v>0.2</v>
      </c>
      <c r="E45" s="3"/>
      <c r="F45" s="252"/>
      <c r="H45" s="2" t="s">
        <v>25</v>
      </c>
      <c r="I45" s="4" t="s">
        <v>26</v>
      </c>
    </row>
    <row r="46" spans="1:9">
      <c r="A46" s="3">
        <f t="shared" si="0"/>
        <v>2019</v>
      </c>
      <c r="B46" s="250"/>
      <c r="C46" s="252"/>
      <c r="D46" s="128">
        <v>0.2</v>
      </c>
      <c r="E46" s="3"/>
      <c r="F46" s="252"/>
      <c r="H46" s="2" t="s">
        <v>25</v>
      </c>
      <c r="I46" s="4" t="s">
        <v>27</v>
      </c>
    </row>
    <row r="47" spans="1:9">
      <c r="A47" s="3">
        <f t="shared" si="0"/>
        <v>2020</v>
      </c>
      <c r="B47" s="250"/>
      <c r="C47" s="252"/>
      <c r="D47" s="128">
        <v>0.15</v>
      </c>
      <c r="E47" s="3"/>
      <c r="F47" s="252"/>
      <c r="H47" s="2" t="s">
        <v>25</v>
      </c>
      <c r="I47" s="4" t="s">
        <v>28</v>
      </c>
    </row>
    <row r="48" spans="1:9">
      <c r="A48" s="3">
        <f t="shared" si="0"/>
        <v>2021</v>
      </c>
      <c r="B48" s="250"/>
      <c r="C48" s="252"/>
      <c r="D48" s="128">
        <v>0.1</v>
      </c>
      <c r="E48" s="3"/>
      <c r="F48" s="252"/>
      <c r="H48" s="2" t="s">
        <v>62</v>
      </c>
      <c r="I48" s="4" t="s">
        <v>371</v>
      </c>
    </row>
    <row r="49" spans="1:6">
      <c r="A49" s="3">
        <f t="shared" si="0"/>
        <v>2022</v>
      </c>
      <c r="B49" s="250"/>
      <c r="C49" s="252"/>
      <c r="D49" s="128">
        <v>0.09</v>
      </c>
      <c r="E49" s="3"/>
      <c r="F49" s="252"/>
    </row>
    <row r="50" spans="1:6">
      <c r="A50" s="3">
        <f t="shared" si="0"/>
        <v>2023</v>
      </c>
      <c r="B50" s="250"/>
      <c r="C50" s="252"/>
      <c r="D50" s="128">
        <v>0.08</v>
      </c>
      <c r="E50" s="3"/>
      <c r="F50" s="252"/>
    </row>
    <row r="51" spans="1:6">
      <c r="A51" s="3">
        <f t="shared" si="0"/>
        <v>2024</v>
      </c>
      <c r="B51" s="250"/>
      <c r="C51" s="252"/>
      <c r="D51" s="128">
        <v>7.0000000000000007E-2</v>
      </c>
      <c r="E51" s="3"/>
      <c r="F51" s="252"/>
    </row>
    <row r="52" spans="1:6">
      <c r="A52" s="3">
        <f t="shared" si="0"/>
        <v>2025</v>
      </c>
      <c r="B52" s="250"/>
      <c r="C52" s="252"/>
      <c r="D52" s="128">
        <v>0.06</v>
      </c>
      <c r="E52" s="3"/>
      <c r="F52" s="252"/>
    </row>
    <row r="53" spans="1:6">
      <c r="A53" s="3">
        <f t="shared" si="0"/>
        <v>2026</v>
      </c>
      <c r="B53" s="250"/>
      <c r="C53" s="252"/>
      <c r="D53" s="128">
        <v>0.05</v>
      </c>
      <c r="E53" s="3"/>
      <c r="F53" s="252"/>
    </row>
    <row r="54" spans="1:6">
      <c r="A54" s="3">
        <f t="shared" si="0"/>
        <v>2027</v>
      </c>
      <c r="B54" s="250"/>
      <c r="C54" s="252"/>
      <c r="D54" s="128">
        <v>0.04</v>
      </c>
      <c r="E54" s="3"/>
      <c r="F54" s="252"/>
    </row>
    <row r="55" spans="1:6">
      <c r="A55" s="3">
        <f t="shared" si="0"/>
        <v>2028</v>
      </c>
      <c r="B55" s="250"/>
      <c r="C55" s="252"/>
      <c r="D55" s="128">
        <v>0.03</v>
      </c>
      <c r="E55" s="3"/>
      <c r="F55" s="252"/>
    </row>
    <row r="56" spans="1:6">
      <c r="A56" s="3">
        <f t="shared" si="0"/>
        <v>2029</v>
      </c>
      <c r="B56" s="250"/>
      <c r="C56" s="252"/>
      <c r="D56" s="128">
        <v>0.03</v>
      </c>
      <c r="E56" s="3"/>
      <c r="F56" s="252"/>
    </row>
    <row r="57" spans="1:6">
      <c r="A57" s="3">
        <f t="shared" si="0"/>
        <v>2030</v>
      </c>
      <c r="B57" s="250"/>
      <c r="C57" s="252"/>
      <c r="D57" s="128">
        <v>0.03</v>
      </c>
      <c r="E57" s="3"/>
      <c r="F57" s="252"/>
    </row>
    <row r="58" spans="1:6">
      <c r="A58" s="3">
        <f t="shared" si="0"/>
        <v>2031</v>
      </c>
      <c r="B58" s="250"/>
      <c r="C58" s="252"/>
      <c r="D58" s="128">
        <v>0.03</v>
      </c>
      <c r="E58" s="3"/>
      <c r="F58" s="252"/>
    </row>
    <row r="59" spans="1:6">
      <c r="A59" s="3">
        <f t="shared" si="0"/>
        <v>2032</v>
      </c>
      <c r="B59" s="250"/>
      <c r="C59" s="252"/>
      <c r="D59" s="128">
        <v>0.03</v>
      </c>
      <c r="E59" s="3"/>
      <c r="F59" s="252"/>
    </row>
    <row r="60" spans="1:6">
      <c r="A60" s="3">
        <f t="shared" si="0"/>
        <v>2033</v>
      </c>
      <c r="B60" s="250"/>
      <c r="C60" s="252"/>
      <c r="D60" s="128">
        <v>0.03</v>
      </c>
      <c r="E60" s="3"/>
      <c r="F60" s="252"/>
    </row>
    <row r="61" spans="1:6">
      <c r="A61" s="3">
        <f t="shared" si="0"/>
        <v>2034</v>
      </c>
      <c r="B61" s="250"/>
      <c r="C61" s="252"/>
      <c r="D61" s="128">
        <v>0.03</v>
      </c>
      <c r="E61" s="3"/>
      <c r="F61" s="252"/>
    </row>
    <row r="62" spans="1:6">
      <c r="A62" s="3">
        <f t="shared" si="0"/>
        <v>2035</v>
      </c>
      <c r="B62" s="235"/>
      <c r="C62" s="253"/>
      <c r="D62" s="128">
        <v>0.03</v>
      </c>
      <c r="E62" s="3"/>
      <c r="F62" s="253"/>
    </row>
    <row r="65" spans="1:6">
      <c r="A65" s="249" t="s">
        <v>262</v>
      </c>
      <c r="B65" s="249"/>
      <c r="C65" s="249"/>
      <c r="D65" s="249"/>
      <c r="E65" s="249"/>
      <c r="F65" s="249"/>
    </row>
    <row r="66" spans="1:6">
      <c r="A66" s="22">
        <v>2015</v>
      </c>
      <c r="B66" s="234" t="s">
        <v>59</v>
      </c>
      <c r="C66" s="251" t="s">
        <v>46</v>
      </c>
      <c r="D66" s="126">
        <v>5</v>
      </c>
      <c r="E66" s="3"/>
      <c r="F66" s="251" t="s">
        <v>83</v>
      </c>
    </row>
    <row r="67" spans="1:6">
      <c r="A67" s="3">
        <f>A66+1</f>
        <v>2016</v>
      </c>
      <c r="B67" s="250"/>
      <c r="C67" s="252"/>
      <c r="D67" s="126">
        <v>4</v>
      </c>
      <c r="E67" s="3"/>
      <c r="F67" s="252"/>
    </row>
    <row r="68" spans="1:6">
      <c r="A68" s="3">
        <f t="shared" ref="A68:A86" si="1">A67+1</f>
        <v>2017</v>
      </c>
      <c r="B68" s="250"/>
      <c r="C68" s="252"/>
      <c r="D68" s="126">
        <v>3</v>
      </c>
      <c r="E68" s="3"/>
      <c r="F68" s="252"/>
    </row>
    <row r="69" spans="1:6">
      <c r="A69" s="3">
        <f t="shared" si="1"/>
        <v>2018</v>
      </c>
      <c r="B69" s="250"/>
      <c r="C69" s="252"/>
      <c r="D69" s="126">
        <v>2</v>
      </c>
      <c r="E69" s="3"/>
      <c r="F69" s="252"/>
    </row>
    <row r="70" spans="1:6">
      <c r="A70" s="3">
        <f t="shared" si="1"/>
        <v>2019</v>
      </c>
      <c r="B70" s="250"/>
      <c r="C70" s="252"/>
      <c r="D70" s="126">
        <v>1.5</v>
      </c>
      <c r="E70" s="3"/>
      <c r="F70" s="252"/>
    </row>
    <row r="71" spans="1:6">
      <c r="A71" s="3">
        <f t="shared" si="1"/>
        <v>2020</v>
      </c>
      <c r="B71" s="250"/>
      <c r="C71" s="252"/>
      <c r="D71" s="126">
        <v>1</v>
      </c>
      <c r="E71" s="3"/>
      <c r="F71" s="252"/>
    </row>
    <row r="72" spans="1:6">
      <c r="A72" s="3">
        <f t="shared" si="1"/>
        <v>2021</v>
      </c>
      <c r="B72" s="250"/>
      <c r="C72" s="252"/>
      <c r="D72" s="126">
        <v>0.5</v>
      </c>
      <c r="E72" s="3"/>
      <c r="F72" s="252"/>
    </row>
    <row r="73" spans="1:6">
      <c r="A73" s="3">
        <f t="shared" si="1"/>
        <v>2022</v>
      </c>
      <c r="B73" s="250"/>
      <c r="C73" s="252"/>
      <c r="D73" s="126">
        <v>0.5</v>
      </c>
      <c r="E73" s="3"/>
      <c r="F73" s="252"/>
    </row>
    <row r="74" spans="1:6">
      <c r="A74" s="3">
        <f t="shared" si="1"/>
        <v>2023</v>
      </c>
      <c r="B74" s="250"/>
      <c r="C74" s="252"/>
      <c r="D74" s="126">
        <v>0.5</v>
      </c>
      <c r="E74" s="3"/>
      <c r="F74" s="252"/>
    </row>
    <row r="75" spans="1:6">
      <c r="A75" s="3">
        <f t="shared" si="1"/>
        <v>2024</v>
      </c>
      <c r="B75" s="250"/>
      <c r="C75" s="252"/>
      <c r="D75" s="126">
        <v>0.5</v>
      </c>
      <c r="E75" s="3"/>
      <c r="F75" s="252"/>
    </row>
    <row r="76" spans="1:6">
      <c r="A76" s="3">
        <f t="shared" si="1"/>
        <v>2025</v>
      </c>
      <c r="B76" s="250"/>
      <c r="C76" s="252"/>
      <c r="D76" s="126">
        <v>0.5</v>
      </c>
      <c r="E76" s="3"/>
      <c r="F76" s="252"/>
    </row>
    <row r="77" spans="1:6">
      <c r="A77" s="3">
        <f t="shared" si="1"/>
        <v>2026</v>
      </c>
      <c r="B77" s="250"/>
      <c r="C77" s="252"/>
      <c r="D77" s="126">
        <v>0.5</v>
      </c>
      <c r="E77" s="3"/>
      <c r="F77" s="252"/>
    </row>
    <row r="78" spans="1:6">
      <c r="A78" s="3">
        <f t="shared" si="1"/>
        <v>2027</v>
      </c>
      <c r="B78" s="250"/>
      <c r="C78" s="252"/>
      <c r="D78" s="126">
        <v>0.5</v>
      </c>
      <c r="E78" s="3"/>
      <c r="F78" s="252"/>
    </row>
    <row r="79" spans="1:6">
      <c r="A79" s="3">
        <f t="shared" si="1"/>
        <v>2028</v>
      </c>
      <c r="B79" s="250"/>
      <c r="C79" s="252"/>
      <c r="D79" s="126">
        <v>0.5</v>
      </c>
      <c r="E79" s="3"/>
      <c r="F79" s="252"/>
    </row>
    <row r="80" spans="1:6">
      <c r="A80" s="3">
        <f t="shared" si="1"/>
        <v>2029</v>
      </c>
      <c r="B80" s="250"/>
      <c r="C80" s="252"/>
      <c r="D80" s="126">
        <v>0.5</v>
      </c>
      <c r="E80" s="3"/>
      <c r="F80" s="252"/>
    </row>
    <row r="81" spans="1:6">
      <c r="A81" s="3">
        <f t="shared" si="1"/>
        <v>2030</v>
      </c>
      <c r="B81" s="250"/>
      <c r="C81" s="252"/>
      <c r="D81" s="126">
        <v>0.5</v>
      </c>
      <c r="E81" s="3"/>
      <c r="F81" s="252"/>
    </row>
    <row r="82" spans="1:6">
      <c r="A82" s="3">
        <f t="shared" si="1"/>
        <v>2031</v>
      </c>
      <c r="B82" s="250"/>
      <c r="C82" s="252"/>
      <c r="D82" s="126">
        <v>0.5</v>
      </c>
      <c r="E82" s="3"/>
      <c r="F82" s="252"/>
    </row>
    <row r="83" spans="1:6">
      <c r="A83" s="3">
        <f t="shared" si="1"/>
        <v>2032</v>
      </c>
      <c r="B83" s="250"/>
      <c r="C83" s="252"/>
      <c r="D83" s="126">
        <v>0.5</v>
      </c>
      <c r="E83" s="3"/>
      <c r="F83" s="252"/>
    </row>
    <row r="84" spans="1:6">
      <c r="A84" s="3">
        <f t="shared" si="1"/>
        <v>2033</v>
      </c>
      <c r="B84" s="250"/>
      <c r="C84" s="252"/>
      <c r="D84" s="126">
        <v>0.5</v>
      </c>
      <c r="E84" s="3"/>
      <c r="F84" s="252"/>
    </row>
    <row r="85" spans="1:6">
      <c r="A85" s="3">
        <f t="shared" si="1"/>
        <v>2034</v>
      </c>
      <c r="B85" s="250"/>
      <c r="C85" s="252"/>
      <c r="D85" s="126">
        <v>0.5</v>
      </c>
      <c r="E85" s="3"/>
      <c r="F85" s="252"/>
    </row>
    <row r="86" spans="1:6">
      <c r="A86" s="3">
        <f t="shared" si="1"/>
        <v>2035</v>
      </c>
      <c r="B86" s="235"/>
      <c r="C86" s="253"/>
      <c r="D86" s="126">
        <v>0.5</v>
      </c>
      <c r="E86" s="3"/>
      <c r="F86" s="253"/>
    </row>
    <row r="89" spans="1:6">
      <c r="A89" s="86" t="s">
        <v>238</v>
      </c>
      <c r="B89" s="70" t="s">
        <v>239</v>
      </c>
    </row>
    <row r="90" spans="1:6">
      <c r="A90" s="3" t="s">
        <v>240</v>
      </c>
      <c r="B90" s="132">
        <v>34170</v>
      </c>
    </row>
    <row r="91" spans="1:6">
      <c r="A91" s="3" t="s">
        <v>241</v>
      </c>
      <c r="B91" s="132">
        <v>54324</v>
      </c>
    </row>
    <row r="92" spans="1:6">
      <c r="A92" s="3" t="s">
        <v>242</v>
      </c>
      <c r="B92" s="132">
        <v>34170</v>
      </c>
    </row>
    <row r="93" spans="1:6">
      <c r="A93" s="3" t="s">
        <v>243</v>
      </c>
      <c r="B93" s="132">
        <v>61452</v>
      </c>
    </row>
    <row r="94" spans="1:6">
      <c r="A94" s="3" t="s">
        <v>244</v>
      </c>
      <c r="B94" s="132">
        <v>29700</v>
      </c>
    </row>
    <row r="95" spans="1:6">
      <c r="A95" s="3" t="s">
        <v>245</v>
      </c>
      <c r="B95" s="132">
        <v>54324</v>
      </c>
    </row>
    <row r="96" spans="1:6">
      <c r="A96" s="3" t="s">
        <v>246</v>
      </c>
      <c r="B96" s="132">
        <v>44562</v>
      </c>
    </row>
    <row r="97" spans="1:2">
      <c r="A97" s="3" t="s">
        <v>247</v>
      </c>
      <c r="B97" s="132">
        <v>61452</v>
      </c>
    </row>
    <row r="98" spans="1:2">
      <c r="A98" s="3" t="s">
        <v>248</v>
      </c>
      <c r="B98" s="132">
        <v>33366</v>
      </c>
    </row>
    <row r="99" spans="1:2">
      <c r="A99" s="3" t="s">
        <v>249</v>
      </c>
      <c r="B99" s="132">
        <v>46836</v>
      </c>
    </row>
    <row r="100" spans="1:2">
      <c r="A100" s="87" t="s">
        <v>250</v>
      </c>
      <c r="B100" s="132">
        <v>37638</v>
      </c>
    </row>
    <row r="101" spans="1:2">
      <c r="A101" s="87" t="s">
        <v>251</v>
      </c>
      <c r="B101" s="132">
        <v>58494</v>
      </c>
    </row>
    <row r="102" spans="1:2">
      <c r="A102" s="3" t="s">
        <v>252</v>
      </c>
      <c r="B102" s="132">
        <v>44562</v>
      </c>
    </row>
    <row r="103" spans="1:2">
      <c r="A103" s="3" t="s">
        <v>253</v>
      </c>
      <c r="B103" s="132">
        <v>76758</v>
      </c>
    </row>
    <row r="104" spans="1:2">
      <c r="A104" s="3" t="s">
        <v>254</v>
      </c>
      <c r="B104" s="132">
        <v>25866</v>
      </c>
    </row>
    <row r="105" spans="1:2">
      <c r="A105" s="3" t="s">
        <v>255</v>
      </c>
      <c r="B105" s="132">
        <v>39486</v>
      </c>
    </row>
    <row r="108" spans="1:2">
      <c r="A108" s="254" t="s">
        <v>263</v>
      </c>
      <c r="B108" s="254"/>
    </row>
    <row r="109" spans="1:2">
      <c r="A109" s="3" t="s">
        <v>264</v>
      </c>
    </row>
    <row r="110" spans="1:2">
      <c r="A110" s="255" t="s">
        <v>265</v>
      </c>
      <c r="B110" s="256"/>
    </row>
    <row r="111" spans="1:2">
      <c r="A111" s="22">
        <v>2015</v>
      </c>
      <c r="B111" s="126">
        <v>50</v>
      </c>
    </row>
    <row r="112" spans="1:2">
      <c r="A112" s="3">
        <f>A111+1</f>
        <v>2016</v>
      </c>
      <c r="B112" s="126">
        <v>47.5</v>
      </c>
    </row>
    <row r="113" spans="1:2">
      <c r="A113" s="3">
        <f t="shared" ref="A113:A131" si="2">A112+1</f>
        <v>2017</v>
      </c>
      <c r="B113" s="126">
        <v>45</v>
      </c>
    </row>
    <row r="114" spans="1:2">
      <c r="A114" s="3">
        <f t="shared" si="2"/>
        <v>2018</v>
      </c>
      <c r="B114" s="126">
        <v>42.5</v>
      </c>
    </row>
    <row r="115" spans="1:2">
      <c r="A115" s="3">
        <f t="shared" si="2"/>
        <v>2019</v>
      </c>
      <c r="B115" s="126">
        <v>40</v>
      </c>
    </row>
    <row r="116" spans="1:2">
      <c r="A116" s="3">
        <f t="shared" si="2"/>
        <v>2020</v>
      </c>
      <c r="B116" s="126">
        <v>38</v>
      </c>
    </row>
    <row r="117" spans="1:2">
      <c r="A117" s="3">
        <f t="shared" si="2"/>
        <v>2021</v>
      </c>
      <c r="B117" s="126">
        <v>36.1</v>
      </c>
    </row>
    <row r="118" spans="1:2">
      <c r="A118" s="3">
        <f t="shared" si="2"/>
        <v>2022</v>
      </c>
      <c r="B118" s="126">
        <v>34.295000000000002</v>
      </c>
    </row>
    <row r="119" spans="1:2">
      <c r="A119" s="3">
        <f t="shared" si="2"/>
        <v>2023</v>
      </c>
      <c r="B119" s="126">
        <v>32.580249999999999</v>
      </c>
    </row>
    <row r="120" spans="1:2">
      <c r="A120" s="3">
        <f t="shared" si="2"/>
        <v>2024</v>
      </c>
      <c r="B120" s="126">
        <v>30.951237499999998</v>
      </c>
    </row>
    <row r="121" spans="1:2">
      <c r="A121" s="3">
        <f t="shared" si="2"/>
        <v>2025</v>
      </c>
      <c r="B121" s="126">
        <v>29.403675624999998</v>
      </c>
    </row>
    <row r="122" spans="1:2">
      <c r="A122" s="3">
        <f t="shared" si="2"/>
        <v>2026</v>
      </c>
      <c r="B122" s="126">
        <v>27.933491843749998</v>
      </c>
    </row>
    <row r="123" spans="1:2">
      <c r="A123" s="3">
        <f t="shared" si="2"/>
        <v>2027</v>
      </c>
      <c r="B123" s="126">
        <v>26.536817251562496</v>
      </c>
    </row>
    <row r="124" spans="1:2">
      <c r="A124" s="3">
        <f t="shared" si="2"/>
        <v>2028</v>
      </c>
      <c r="B124" s="126">
        <v>25.209976388984369</v>
      </c>
    </row>
    <row r="125" spans="1:2">
      <c r="A125" s="3">
        <f t="shared" si="2"/>
        <v>2029</v>
      </c>
      <c r="B125" s="126">
        <v>23.949477569535151</v>
      </c>
    </row>
    <row r="126" spans="1:2">
      <c r="A126" s="3">
        <f t="shared" si="2"/>
        <v>2030</v>
      </c>
      <c r="B126" s="126">
        <v>22.752003691058391</v>
      </c>
    </row>
    <row r="127" spans="1:2">
      <c r="A127" s="3">
        <f t="shared" si="2"/>
        <v>2031</v>
      </c>
      <c r="B127" s="126">
        <v>21.614403506505472</v>
      </c>
    </row>
    <row r="128" spans="1:2">
      <c r="A128" s="3">
        <f t="shared" si="2"/>
        <v>2032</v>
      </c>
      <c r="B128" s="126">
        <v>20.533683331180196</v>
      </c>
    </row>
    <row r="129" spans="1:2">
      <c r="A129" s="3">
        <f t="shared" si="2"/>
        <v>2033</v>
      </c>
      <c r="B129" s="126">
        <v>20</v>
      </c>
    </row>
    <row r="130" spans="1:2">
      <c r="A130" s="3">
        <f t="shared" si="2"/>
        <v>2034</v>
      </c>
      <c r="B130" s="126">
        <v>20</v>
      </c>
    </row>
    <row r="131" spans="1:2">
      <c r="A131" s="3">
        <f t="shared" si="2"/>
        <v>2035</v>
      </c>
      <c r="B131" s="126">
        <v>20</v>
      </c>
    </row>
    <row r="133" spans="1:2">
      <c r="A133" s="254" t="s">
        <v>280</v>
      </c>
      <c r="B133" s="254"/>
    </row>
    <row r="134" spans="1:2">
      <c r="A134" s="3" t="s">
        <v>191</v>
      </c>
      <c r="B134" s="5">
        <v>1</v>
      </c>
    </row>
    <row r="135" spans="1:2">
      <c r="A135" s="3" t="s">
        <v>268</v>
      </c>
      <c r="B135" s="5">
        <v>2</v>
      </c>
    </row>
    <row r="136" spans="1:2">
      <c r="A136" s="3" t="s">
        <v>269</v>
      </c>
      <c r="B136" s="5">
        <v>2</v>
      </c>
    </row>
    <row r="138" spans="1:2">
      <c r="A138" s="254" t="s">
        <v>270</v>
      </c>
      <c r="B138" s="254"/>
    </row>
    <row r="139" spans="1:2">
      <c r="A139" s="3" t="s">
        <v>191</v>
      </c>
      <c r="B139" s="14">
        <v>1.5</v>
      </c>
    </row>
    <row r="140" spans="1:2">
      <c r="A140" s="3" t="s">
        <v>268</v>
      </c>
      <c r="B140" s="14">
        <v>1.5</v>
      </c>
    </row>
    <row r="141" spans="1:2">
      <c r="A141" s="3" t="s">
        <v>269</v>
      </c>
      <c r="B141" s="14">
        <v>1.5</v>
      </c>
    </row>
    <row r="143" spans="1:2">
      <c r="A143" s="254" t="s">
        <v>271</v>
      </c>
      <c r="B143" s="254"/>
    </row>
    <row r="144" spans="1:2">
      <c r="A144" s="3" t="s">
        <v>191</v>
      </c>
      <c r="B144" s="53">
        <v>0.01</v>
      </c>
    </row>
    <row r="145" spans="1:2">
      <c r="A145" s="3" t="s">
        <v>268</v>
      </c>
      <c r="B145" s="53">
        <v>0.02</v>
      </c>
    </row>
    <row r="146" spans="1:2">
      <c r="A146" s="3" t="s">
        <v>269</v>
      </c>
      <c r="B146" s="53">
        <v>0.01</v>
      </c>
    </row>
    <row r="149" spans="1:2">
      <c r="A149" s="21" t="s">
        <v>316</v>
      </c>
      <c r="B149" s="93" t="s">
        <v>317</v>
      </c>
    </row>
    <row r="150" spans="1:2">
      <c r="A150" s="3">
        <v>2015</v>
      </c>
      <c r="B150" s="65">
        <v>0.01</v>
      </c>
    </row>
    <row r="151" spans="1:2">
      <c r="A151" s="3">
        <f>A150+1</f>
        <v>2016</v>
      </c>
      <c r="B151" s="65">
        <v>0.02</v>
      </c>
    </row>
    <row r="152" spans="1:2">
      <c r="A152" s="3">
        <f t="shared" ref="A152:A170" si="3">A151+1</f>
        <v>2017</v>
      </c>
      <c r="B152" s="65">
        <v>0.05</v>
      </c>
    </row>
    <row r="153" spans="1:2">
      <c r="A153" s="3">
        <f t="shared" si="3"/>
        <v>2018</v>
      </c>
      <c r="B153" s="65">
        <v>0.1</v>
      </c>
    </row>
    <row r="154" spans="1:2">
      <c r="A154" s="3">
        <f t="shared" si="3"/>
        <v>2019</v>
      </c>
      <c r="B154" s="65">
        <v>0.2</v>
      </c>
    </row>
    <row r="155" spans="1:2">
      <c r="A155" s="3">
        <f t="shared" si="3"/>
        <v>2020</v>
      </c>
      <c r="B155" s="65">
        <v>0.3</v>
      </c>
    </row>
    <row r="156" spans="1:2">
      <c r="A156" s="3">
        <f t="shared" si="3"/>
        <v>2021</v>
      </c>
      <c r="B156" s="65">
        <v>0.4</v>
      </c>
    </row>
    <row r="157" spans="1:2">
      <c r="A157" s="3">
        <f t="shared" si="3"/>
        <v>2022</v>
      </c>
      <c r="B157" s="65">
        <v>0.5</v>
      </c>
    </row>
    <row r="158" spans="1:2">
      <c r="A158" s="3">
        <f t="shared" si="3"/>
        <v>2023</v>
      </c>
      <c r="B158" s="65">
        <v>0.6</v>
      </c>
    </row>
    <row r="159" spans="1:2">
      <c r="A159" s="3">
        <f t="shared" si="3"/>
        <v>2024</v>
      </c>
      <c r="B159" s="65">
        <v>0.65</v>
      </c>
    </row>
    <row r="160" spans="1:2">
      <c r="A160" s="3">
        <f t="shared" si="3"/>
        <v>2025</v>
      </c>
      <c r="B160" s="65">
        <v>0.7</v>
      </c>
    </row>
    <row r="161" spans="1:2">
      <c r="A161" s="3">
        <f t="shared" si="3"/>
        <v>2026</v>
      </c>
      <c r="B161" s="65">
        <v>0.75</v>
      </c>
    </row>
    <row r="162" spans="1:2">
      <c r="A162" s="3">
        <f t="shared" si="3"/>
        <v>2027</v>
      </c>
      <c r="B162" s="65">
        <v>0.8</v>
      </c>
    </row>
    <row r="163" spans="1:2">
      <c r="A163" s="3">
        <f t="shared" si="3"/>
        <v>2028</v>
      </c>
      <c r="B163" s="65">
        <v>0.82</v>
      </c>
    </row>
    <row r="164" spans="1:2">
      <c r="A164" s="3">
        <f t="shared" si="3"/>
        <v>2029</v>
      </c>
      <c r="B164" s="65">
        <v>0.84</v>
      </c>
    </row>
    <row r="165" spans="1:2">
      <c r="A165" s="3">
        <f t="shared" si="3"/>
        <v>2030</v>
      </c>
      <c r="B165" s="65">
        <v>0.86</v>
      </c>
    </row>
    <row r="166" spans="1:2">
      <c r="A166" s="3">
        <f t="shared" si="3"/>
        <v>2031</v>
      </c>
      <c r="B166" s="65">
        <v>0.88</v>
      </c>
    </row>
    <row r="167" spans="1:2">
      <c r="A167" s="3">
        <f t="shared" si="3"/>
        <v>2032</v>
      </c>
      <c r="B167" s="65">
        <v>0.9</v>
      </c>
    </row>
    <row r="168" spans="1:2">
      <c r="A168" s="3">
        <f t="shared" si="3"/>
        <v>2033</v>
      </c>
      <c r="B168" s="65">
        <v>0.9</v>
      </c>
    </row>
    <row r="169" spans="1:2">
      <c r="A169" s="3">
        <f t="shared" si="3"/>
        <v>2034</v>
      </c>
      <c r="B169" s="65">
        <v>0.9</v>
      </c>
    </row>
    <row r="170" spans="1:2">
      <c r="A170" s="3">
        <f t="shared" si="3"/>
        <v>2035</v>
      </c>
      <c r="B170" s="65">
        <v>0.9</v>
      </c>
    </row>
  </sheetData>
  <sheetProtection selectLockedCells="1"/>
  <mergeCells count="16">
    <mergeCell ref="H21:H23"/>
    <mergeCell ref="H26:H27"/>
    <mergeCell ref="A143:B143"/>
    <mergeCell ref="A65:F65"/>
    <mergeCell ref="B66:B86"/>
    <mergeCell ref="C66:C86"/>
    <mergeCell ref="F66:F86"/>
    <mergeCell ref="A108:B108"/>
    <mergeCell ref="A110:B110"/>
    <mergeCell ref="A133:B133"/>
    <mergeCell ref="A138:B138"/>
    <mergeCell ref="A17:A20"/>
    <mergeCell ref="A41:F41"/>
    <mergeCell ref="B42:B62"/>
    <mergeCell ref="C42:C62"/>
    <mergeCell ref="F42:F62"/>
  </mergeCells>
  <phoneticPr fontId="12" type="noConversion"/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AC29"/>
  <sheetViews>
    <sheetView workbookViewId="0">
      <selection sqref="A1:AC1"/>
    </sheetView>
  </sheetViews>
  <sheetFormatPr defaultColWidth="11" defaultRowHeight="15.75"/>
  <sheetData>
    <row r="1" spans="1:29">
      <c r="A1" s="258" t="s">
        <v>95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</row>
    <row r="2" spans="1:29" ht="31.5">
      <c r="A2" s="15" t="s">
        <v>91</v>
      </c>
      <c r="B2" s="257" t="s">
        <v>44</v>
      </c>
      <c r="C2" s="257"/>
      <c r="D2" s="257"/>
      <c r="E2" s="24" t="s">
        <v>1</v>
      </c>
      <c r="F2" s="24" t="s">
        <v>31</v>
      </c>
      <c r="G2" s="24" t="s">
        <v>11</v>
      </c>
      <c r="H2" s="58" t="s">
        <v>11</v>
      </c>
      <c r="I2" s="24" t="s">
        <v>23</v>
      </c>
      <c r="J2" s="24" t="s">
        <v>34</v>
      </c>
      <c r="K2" s="24" t="s">
        <v>29</v>
      </c>
      <c r="L2" s="24" t="s">
        <v>32</v>
      </c>
      <c r="M2" s="24" t="s">
        <v>36</v>
      </c>
      <c r="N2" s="24" t="s">
        <v>15</v>
      </c>
      <c r="O2" s="24" t="s">
        <v>17</v>
      </c>
      <c r="P2" s="24" t="s">
        <v>59</v>
      </c>
      <c r="Q2" s="24" t="s">
        <v>3</v>
      </c>
      <c r="R2" s="24" t="s">
        <v>4</v>
      </c>
      <c r="S2" s="24" t="s">
        <v>58</v>
      </c>
      <c r="T2" s="24" t="s">
        <v>21</v>
      </c>
      <c r="U2" s="24" t="s">
        <v>5</v>
      </c>
      <c r="V2" s="24" t="s">
        <v>7</v>
      </c>
      <c r="W2" s="24" t="s">
        <v>9</v>
      </c>
      <c r="X2" s="24" t="s">
        <v>13</v>
      </c>
      <c r="Y2" s="24" t="s">
        <v>19</v>
      </c>
      <c r="Z2" s="24" t="s">
        <v>25</v>
      </c>
      <c r="AA2" s="24" t="s">
        <v>25</v>
      </c>
      <c r="AB2" s="24" t="s">
        <v>25</v>
      </c>
      <c r="AC2" s="24" t="s">
        <v>62</v>
      </c>
    </row>
    <row r="3" spans="1:29" ht="78.75">
      <c r="A3" s="15" t="s">
        <v>86</v>
      </c>
      <c r="B3" s="15" t="s">
        <v>40</v>
      </c>
      <c r="C3" s="15" t="s">
        <v>41</v>
      </c>
      <c r="D3" s="15" t="s">
        <v>42</v>
      </c>
      <c r="E3" s="15" t="s">
        <v>2</v>
      </c>
      <c r="F3" s="24" t="s">
        <v>53</v>
      </c>
      <c r="G3" s="16" t="s">
        <v>12</v>
      </c>
      <c r="H3" s="56" t="s">
        <v>157</v>
      </c>
      <c r="I3" s="24" t="s">
        <v>24</v>
      </c>
      <c r="J3" s="24" t="s">
        <v>35</v>
      </c>
      <c r="K3" s="24" t="s">
        <v>30</v>
      </c>
      <c r="L3" s="24" t="s">
        <v>33</v>
      </c>
      <c r="M3" s="24" t="s">
        <v>37</v>
      </c>
      <c r="N3" s="24" t="s">
        <v>16</v>
      </c>
      <c r="O3" s="24" t="s">
        <v>18</v>
      </c>
      <c r="P3" s="15" t="s">
        <v>46</v>
      </c>
      <c r="Q3" s="15" t="s">
        <v>49</v>
      </c>
      <c r="R3" s="15" t="s">
        <v>50</v>
      </c>
      <c r="S3" s="24" t="s">
        <v>51</v>
      </c>
      <c r="T3" s="24" t="s">
        <v>22</v>
      </c>
      <c r="U3" s="24" t="s">
        <v>6</v>
      </c>
      <c r="V3" s="24" t="s">
        <v>8</v>
      </c>
      <c r="W3" s="24" t="s">
        <v>10</v>
      </c>
      <c r="X3" s="24" t="s">
        <v>14</v>
      </c>
      <c r="Y3" s="24" t="s">
        <v>20</v>
      </c>
      <c r="Z3" s="24" t="s">
        <v>385</v>
      </c>
      <c r="AA3" s="24" t="s">
        <v>27</v>
      </c>
      <c r="AB3" s="24" t="s">
        <v>28</v>
      </c>
      <c r="AC3" s="24" t="s">
        <v>371</v>
      </c>
    </row>
    <row r="4" spans="1:29">
      <c r="A4" s="3">
        <f>EconomicInputs!A36</f>
        <v>2010</v>
      </c>
      <c r="B4" s="133">
        <v>0.02</v>
      </c>
      <c r="C4" s="133">
        <v>0.05</v>
      </c>
      <c r="D4" s="133">
        <v>0.05</v>
      </c>
      <c r="E4" s="133">
        <v>0.01</v>
      </c>
      <c r="F4" s="133">
        <v>0.05</v>
      </c>
      <c r="G4" s="133">
        <v>0.05</v>
      </c>
      <c r="H4" s="133">
        <v>0</v>
      </c>
      <c r="I4" s="133">
        <v>0.05</v>
      </c>
      <c r="J4" s="133">
        <v>0.05</v>
      </c>
      <c r="K4" s="133">
        <v>0.01</v>
      </c>
      <c r="L4" s="133">
        <v>0.01</v>
      </c>
      <c r="M4" s="133">
        <v>0.05</v>
      </c>
      <c r="N4" s="133">
        <v>0.01</v>
      </c>
      <c r="O4" s="133">
        <v>0.01</v>
      </c>
      <c r="P4" s="133">
        <v>0.05</v>
      </c>
      <c r="Q4" s="133">
        <v>0.1</v>
      </c>
      <c r="R4" s="133">
        <v>0.1</v>
      </c>
      <c r="S4" s="133">
        <v>0.1</v>
      </c>
      <c r="T4" s="133">
        <v>0.7</v>
      </c>
      <c r="U4" s="133">
        <v>0</v>
      </c>
      <c r="V4" s="133">
        <v>0</v>
      </c>
      <c r="W4" s="133">
        <v>0</v>
      </c>
      <c r="X4" s="133">
        <v>0.01</v>
      </c>
      <c r="Y4" s="133">
        <v>0</v>
      </c>
      <c r="Z4" s="133">
        <v>0</v>
      </c>
      <c r="AA4" s="133">
        <v>0</v>
      </c>
      <c r="AB4" s="133">
        <v>0</v>
      </c>
      <c r="AC4" s="133">
        <v>0</v>
      </c>
    </row>
    <row r="5" spans="1:29">
      <c r="A5" s="3">
        <f>EconomicInputs!A37</f>
        <v>2011</v>
      </c>
      <c r="B5" s="133">
        <v>0.02</v>
      </c>
      <c r="C5" s="133">
        <v>0.05</v>
      </c>
      <c r="D5" s="133">
        <v>0.05</v>
      </c>
      <c r="E5" s="133">
        <v>0.01</v>
      </c>
      <c r="F5" s="133">
        <v>0.05</v>
      </c>
      <c r="G5" s="133">
        <v>0.05</v>
      </c>
      <c r="H5" s="133">
        <v>0</v>
      </c>
      <c r="I5" s="133">
        <v>0.05</v>
      </c>
      <c r="J5" s="133">
        <v>0.05</v>
      </c>
      <c r="K5" s="133">
        <v>0.01</v>
      </c>
      <c r="L5" s="133">
        <v>0.01</v>
      </c>
      <c r="M5" s="133">
        <v>0.05</v>
      </c>
      <c r="N5" s="133">
        <v>0.01</v>
      </c>
      <c r="O5" s="133">
        <v>0.01</v>
      </c>
      <c r="P5" s="133">
        <v>0.05</v>
      </c>
      <c r="Q5" s="133">
        <v>0.1</v>
      </c>
      <c r="R5" s="133">
        <v>0.1</v>
      </c>
      <c r="S5" s="133">
        <v>0.1</v>
      </c>
      <c r="T5" s="133">
        <v>0.7</v>
      </c>
      <c r="U5" s="133">
        <v>0</v>
      </c>
      <c r="V5" s="133">
        <v>0</v>
      </c>
      <c r="W5" s="133">
        <v>0</v>
      </c>
      <c r="X5" s="133">
        <v>0.01</v>
      </c>
      <c r="Y5" s="133">
        <v>0</v>
      </c>
      <c r="Z5" s="133">
        <v>0</v>
      </c>
      <c r="AA5" s="133">
        <v>0</v>
      </c>
      <c r="AB5" s="133">
        <v>0</v>
      </c>
      <c r="AC5" s="133">
        <v>0</v>
      </c>
    </row>
    <row r="6" spans="1:29">
      <c r="A6" s="3">
        <f>EconomicInputs!A38</f>
        <v>2012</v>
      </c>
      <c r="B6" s="133">
        <v>0.02</v>
      </c>
      <c r="C6" s="133">
        <v>0.05</v>
      </c>
      <c r="D6" s="133">
        <v>0.05</v>
      </c>
      <c r="E6" s="133">
        <v>0.01</v>
      </c>
      <c r="F6" s="133">
        <v>0.05</v>
      </c>
      <c r="G6" s="133">
        <v>0.05</v>
      </c>
      <c r="H6" s="133">
        <v>0</v>
      </c>
      <c r="I6" s="133">
        <v>0.05</v>
      </c>
      <c r="J6" s="133">
        <v>0.05</v>
      </c>
      <c r="K6" s="133">
        <v>0.01</v>
      </c>
      <c r="L6" s="133">
        <v>0.01</v>
      </c>
      <c r="M6" s="133">
        <v>0.05</v>
      </c>
      <c r="N6" s="133">
        <v>0.01</v>
      </c>
      <c r="O6" s="133">
        <v>0.01</v>
      </c>
      <c r="P6" s="133">
        <v>0.05</v>
      </c>
      <c r="Q6" s="133">
        <v>0.1</v>
      </c>
      <c r="R6" s="133">
        <v>0.1</v>
      </c>
      <c r="S6" s="133">
        <v>0.1</v>
      </c>
      <c r="T6" s="133">
        <v>0.7</v>
      </c>
      <c r="U6" s="133">
        <v>0</v>
      </c>
      <c r="V6" s="133">
        <v>0</v>
      </c>
      <c r="W6" s="133">
        <v>0</v>
      </c>
      <c r="X6" s="133">
        <v>0.01</v>
      </c>
      <c r="Y6" s="133">
        <v>0</v>
      </c>
      <c r="Z6" s="133">
        <v>0</v>
      </c>
      <c r="AA6" s="133">
        <v>0</v>
      </c>
      <c r="AB6" s="133">
        <v>0</v>
      </c>
      <c r="AC6" s="133">
        <v>0</v>
      </c>
    </row>
    <row r="7" spans="1:29">
      <c r="A7" s="3">
        <f>EconomicInputs!A39</f>
        <v>2013</v>
      </c>
      <c r="B7" s="133">
        <v>0.02</v>
      </c>
      <c r="C7" s="133">
        <v>0.05</v>
      </c>
      <c r="D7" s="133">
        <v>0.05</v>
      </c>
      <c r="E7" s="133">
        <v>0.01</v>
      </c>
      <c r="F7" s="133">
        <v>0.05</v>
      </c>
      <c r="G7" s="133">
        <v>0.05</v>
      </c>
      <c r="H7" s="133">
        <v>0</v>
      </c>
      <c r="I7" s="133">
        <v>0.05</v>
      </c>
      <c r="J7" s="133">
        <v>0.05</v>
      </c>
      <c r="K7" s="133">
        <v>0.01</v>
      </c>
      <c r="L7" s="133">
        <v>0.01</v>
      </c>
      <c r="M7" s="133">
        <v>0.05</v>
      </c>
      <c r="N7" s="133">
        <v>0.01</v>
      </c>
      <c r="O7" s="133">
        <v>0.01</v>
      </c>
      <c r="P7" s="133">
        <v>0.05</v>
      </c>
      <c r="Q7" s="133">
        <v>0.1</v>
      </c>
      <c r="R7" s="133">
        <v>0.1</v>
      </c>
      <c r="S7" s="133">
        <v>0.1</v>
      </c>
      <c r="T7" s="133">
        <v>0.7</v>
      </c>
      <c r="U7" s="133">
        <v>0</v>
      </c>
      <c r="V7" s="133">
        <v>0</v>
      </c>
      <c r="W7" s="133">
        <v>0</v>
      </c>
      <c r="X7" s="133">
        <v>0.01</v>
      </c>
      <c r="Y7" s="133">
        <v>0</v>
      </c>
      <c r="Z7" s="133">
        <v>0</v>
      </c>
      <c r="AA7" s="133">
        <v>0</v>
      </c>
      <c r="AB7" s="133">
        <v>0</v>
      </c>
      <c r="AC7" s="133">
        <v>0</v>
      </c>
    </row>
    <row r="8" spans="1:29">
      <c r="A8" s="3">
        <f>EconomicInputs!A40</f>
        <v>2014</v>
      </c>
      <c r="B8" s="133">
        <v>0.02</v>
      </c>
      <c r="C8" s="133">
        <v>0.05</v>
      </c>
      <c r="D8" s="133">
        <v>0.05</v>
      </c>
      <c r="E8" s="133">
        <v>0.01</v>
      </c>
      <c r="F8" s="133">
        <v>0.05</v>
      </c>
      <c r="G8" s="133">
        <v>0.05</v>
      </c>
      <c r="H8" s="133">
        <v>0</v>
      </c>
      <c r="I8" s="133">
        <v>0.05</v>
      </c>
      <c r="J8" s="133">
        <v>0.05</v>
      </c>
      <c r="K8" s="133">
        <v>0.01</v>
      </c>
      <c r="L8" s="133">
        <v>0.01</v>
      </c>
      <c r="M8" s="133">
        <v>0.05</v>
      </c>
      <c r="N8" s="133">
        <v>0.01</v>
      </c>
      <c r="O8" s="133">
        <v>0.01</v>
      </c>
      <c r="P8" s="133">
        <v>0.05</v>
      </c>
      <c r="Q8" s="133">
        <v>0.1</v>
      </c>
      <c r="R8" s="133">
        <v>0.1</v>
      </c>
      <c r="S8" s="133">
        <v>0.1</v>
      </c>
      <c r="T8" s="133">
        <v>0.7</v>
      </c>
      <c r="U8" s="133">
        <v>0</v>
      </c>
      <c r="V8" s="133">
        <v>0</v>
      </c>
      <c r="W8" s="133">
        <v>0</v>
      </c>
      <c r="X8" s="133">
        <v>0.01</v>
      </c>
      <c r="Y8" s="133">
        <v>0</v>
      </c>
      <c r="Z8" s="133">
        <v>0</v>
      </c>
      <c r="AA8" s="133">
        <v>0</v>
      </c>
      <c r="AB8" s="133">
        <v>0</v>
      </c>
      <c r="AC8" s="133">
        <v>0</v>
      </c>
    </row>
    <row r="9" spans="1:29">
      <c r="A9" s="3">
        <f>EconomicInputs!A41</f>
        <v>2015</v>
      </c>
      <c r="B9" s="133">
        <v>0.02</v>
      </c>
      <c r="C9" s="133">
        <v>0.05</v>
      </c>
      <c r="D9" s="133">
        <v>0.05</v>
      </c>
      <c r="E9" s="133">
        <v>0.01</v>
      </c>
      <c r="F9" s="133">
        <v>0.05</v>
      </c>
      <c r="G9" s="133">
        <v>0.05</v>
      </c>
      <c r="H9" s="133">
        <v>0</v>
      </c>
      <c r="I9" s="133">
        <v>0.05</v>
      </c>
      <c r="J9" s="133">
        <v>0.05</v>
      </c>
      <c r="K9" s="133">
        <v>0.01</v>
      </c>
      <c r="L9" s="133">
        <v>0.01</v>
      </c>
      <c r="M9" s="133">
        <v>0.05</v>
      </c>
      <c r="N9" s="133">
        <v>0.01</v>
      </c>
      <c r="O9" s="133">
        <v>0.01</v>
      </c>
      <c r="P9" s="133">
        <v>0.05</v>
      </c>
      <c r="Q9" s="133">
        <v>0.1</v>
      </c>
      <c r="R9" s="133">
        <v>0.1</v>
      </c>
      <c r="S9" s="133">
        <v>0.1</v>
      </c>
      <c r="T9" s="133">
        <v>0.7</v>
      </c>
      <c r="U9" s="133">
        <v>0</v>
      </c>
      <c r="V9" s="133">
        <v>0</v>
      </c>
      <c r="W9" s="133">
        <v>0</v>
      </c>
      <c r="X9" s="133">
        <v>0.01</v>
      </c>
      <c r="Y9" s="133">
        <v>0</v>
      </c>
      <c r="Z9" s="133">
        <v>0</v>
      </c>
      <c r="AA9" s="133">
        <v>0</v>
      </c>
      <c r="AB9" s="133">
        <v>0</v>
      </c>
      <c r="AC9" s="133">
        <v>0</v>
      </c>
    </row>
    <row r="10" spans="1:29">
      <c r="A10" s="3">
        <f>EconomicInputs!A42</f>
        <v>2016</v>
      </c>
      <c r="B10" s="133">
        <v>0.02</v>
      </c>
      <c r="C10" s="133">
        <v>0.05</v>
      </c>
      <c r="D10" s="133">
        <v>0.05</v>
      </c>
      <c r="E10" s="133">
        <v>0.01</v>
      </c>
      <c r="F10" s="133">
        <v>0.05</v>
      </c>
      <c r="G10" s="133">
        <v>0.05</v>
      </c>
      <c r="H10" s="133">
        <v>0</v>
      </c>
      <c r="I10" s="133">
        <v>0.05</v>
      </c>
      <c r="J10" s="133">
        <v>0.05</v>
      </c>
      <c r="K10" s="133">
        <v>0.01</v>
      </c>
      <c r="L10" s="133">
        <v>0.01</v>
      </c>
      <c r="M10" s="133">
        <v>0.05</v>
      </c>
      <c r="N10" s="133">
        <v>0.01</v>
      </c>
      <c r="O10" s="133">
        <v>0.01</v>
      </c>
      <c r="P10" s="133">
        <v>0.05</v>
      </c>
      <c r="Q10" s="133">
        <v>0.1</v>
      </c>
      <c r="R10" s="133">
        <v>0.1</v>
      </c>
      <c r="S10" s="133">
        <v>0.1</v>
      </c>
      <c r="T10" s="133">
        <v>0.7</v>
      </c>
      <c r="U10" s="133">
        <v>0</v>
      </c>
      <c r="V10" s="133">
        <v>0</v>
      </c>
      <c r="W10" s="133">
        <v>0</v>
      </c>
      <c r="X10" s="133">
        <v>0.01</v>
      </c>
      <c r="Y10" s="133">
        <v>0</v>
      </c>
      <c r="Z10" s="133">
        <v>0</v>
      </c>
      <c r="AA10" s="133">
        <v>0</v>
      </c>
      <c r="AB10" s="133">
        <v>0</v>
      </c>
      <c r="AC10" s="133">
        <v>0</v>
      </c>
    </row>
    <row r="11" spans="1:29">
      <c r="A11" s="3">
        <f>EconomicInputs!A43</f>
        <v>2017</v>
      </c>
      <c r="B11" s="133">
        <v>0.02</v>
      </c>
      <c r="C11" s="133">
        <v>0.05</v>
      </c>
      <c r="D11" s="133">
        <v>0.05</v>
      </c>
      <c r="E11" s="133">
        <v>0.01</v>
      </c>
      <c r="F11" s="133">
        <v>0.05</v>
      </c>
      <c r="G11" s="133">
        <v>0.05</v>
      </c>
      <c r="H11" s="133">
        <v>0</v>
      </c>
      <c r="I11" s="133">
        <v>0.05</v>
      </c>
      <c r="J11" s="133">
        <v>0.05</v>
      </c>
      <c r="K11" s="133">
        <v>0.01</v>
      </c>
      <c r="L11" s="133">
        <v>0.01</v>
      </c>
      <c r="M11" s="133">
        <v>0.05</v>
      </c>
      <c r="N11" s="133">
        <v>0.01</v>
      </c>
      <c r="O11" s="133">
        <v>0.01</v>
      </c>
      <c r="P11" s="133">
        <v>0.05</v>
      </c>
      <c r="Q11" s="133">
        <v>0.1</v>
      </c>
      <c r="R11" s="133">
        <v>0.1</v>
      </c>
      <c r="S11" s="133">
        <v>0.1</v>
      </c>
      <c r="T11" s="133">
        <v>0.7</v>
      </c>
      <c r="U11" s="133">
        <v>0</v>
      </c>
      <c r="V11" s="133">
        <v>0</v>
      </c>
      <c r="W11" s="133">
        <v>0</v>
      </c>
      <c r="X11" s="133">
        <v>0.01</v>
      </c>
      <c r="Y11" s="133">
        <v>0</v>
      </c>
      <c r="Z11" s="133">
        <v>0</v>
      </c>
      <c r="AA11" s="133">
        <v>0</v>
      </c>
      <c r="AB11" s="133">
        <v>0</v>
      </c>
      <c r="AC11" s="133">
        <v>0</v>
      </c>
    </row>
    <row r="12" spans="1:29">
      <c r="A12" s="3">
        <f>EconomicInputs!A44</f>
        <v>2018</v>
      </c>
      <c r="B12" s="133">
        <v>0.02</v>
      </c>
      <c r="C12" s="133">
        <v>0.05</v>
      </c>
      <c r="D12" s="133">
        <v>0.05</v>
      </c>
      <c r="E12" s="133">
        <v>0.01</v>
      </c>
      <c r="F12" s="133">
        <v>0.05</v>
      </c>
      <c r="G12" s="133">
        <v>0.05</v>
      </c>
      <c r="H12" s="133">
        <v>0</v>
      </c>
      <c r="I12" s="133">
        <v>0.05</v>
      </c>
      <c r="J12" s="133">
        <v>0.05</v>
      </c>
      <c r="K12" s="133">
        <v>0.01</v>
      </c>
      <c r="L12" s="133">
        <v>0.01</v>
      </c>
      <c r="M12" s="133">
        <v>0.05</v>
      </c>
      <c r="N12" s="133">
        <v>0.01</v>
      </c>
      <c r="O12" s="133">
        <v>0.01</v>
      </c>
      <c r="P12" s="133">
        <v>0.05</v>
      </c>
      <c r="Q12" s="133">
        <v>0.1</v>
      </c>
      <c r="R12" s="133">
        <v>0.1</v>
      </c>
      <c r="S12" s="133">
        <v>0.1</v>
      </c>
      <c r="T12" s="133">
        <v>0.7</v>
      </c>
      <c r="U12" s="133">
        <v>0</v>
      </c>
      <c r="V12" s="133">
        <v>0</v>
      </c>
      <c r="W12" s="133">
        <v>0</v>
      </c>
      <c r="X12" s="133">
        <v>0.01</v>
      </c>
      <c r="Y12" s="133">
        <v>0</v>
      </c>
      <c r="Z12" s="133">
        <v>0</v>
      </c>
      <c r="AA12" s="133">
        <v>0</v>
      </c>
      <c r="AB12" s="133">
        <v>0</v>
      </c>
      <c r="AC12" s="133">
        <v>0</v>
      </c>
    </row>
    <row r="13" spans="1:29">
      <c r="A13" s="3">
        <f>EconomicInputs!A45</f>
        <v>2019</v>
      </c>
      <c r="B13" s="133">
        <v>0.02</v>
      </c>
      <c r="C13" s="133">
        <v>0.05</v>
      </c>
      <c r="D13" s="133">
        <v>0.05</v>
      </c>
      <c r="E13" s="133">
        <v>0.01</v>
      </c>
      <c r="F13" s="133">
        <v>0.05</v>
      </c>
      <c r="G13" s="133">
        <v>0.05</v>
      </c>
      <c r="H13" s="133">
        <v>0</v>
      </c>
      <c r="I13" s="133">
        <v>0.05</v>
      </c>
      <c r="J13" s="133">
        <v>0.05</v>
      </c>
      <c r="K13" s="133">
        <v>0.01</v>
      </c>
      <c r="L13" s="133">
        <v>0.01</v>
      </c>
      <c r="M13" s="133">
        <v>0.05</v>
      </c>
      <c r="N13" s="133">
        <v>0.01</v>
      </c>
      <c r="O13" s="133">
        <v>0.01</v>
      </c>
      <c r="P13" s="133">
        <v>0.05</v>
      </c>
      <c r="Q13" s="133">
        <v>0.1</v>
      </c>
      <c r="R13" s="133">
        <v>0.1</v>
      </c>
      <c r="S13" s="133">
        <v>0.1</v>
      </c>
      <c r="T13" s="133">
        <v>0.7</v>
      </c>
      <c r="U13" s="133">
        <v>0</v>
      </c>
      <c r="V13" s="133">
        <v>0</v>
      </c>
      <c r="W13" s="133">
        <v>0</v>
      </c>
      <c r="X13" s="133">
        <v>0.01</v>
      </c>
      <c r="Y13" s="133">
        <v>0</v>
      </c>
      <c r="Z13" s="133">
        <v>0</v>
      </c>
      <c r="AA13" s="133">
        <v>0</v>
      </c>
      <c r="AB13" s="133">
        <v>0</v>
      </c>
      <c r="AC13" s="133">
        <v>0</v>
      </c>
    </row>
    <row r="14" spans="1:29">
      <c r="A14" s="3">
        <f>EconomicInputs!A46</f>
        <v>2020</v>
      </c>
      <c r="B14" s="133">
        <v>0.02</v>
      </c>
      <c r="C14" s="133">
        <v>0.05</v>
      </c>
      <c r="D14" s="133">
        <v>0.05</v>
      </c>
      <c r="E14" s="133">
        <v>0.01</v>
      </c>
      <c r="F14" s="133">
        <v>0.05</v>
      </c>
      <c r="G14" s="133">
        <v>0.05</v>
      </c>
      <c r="H14" s="133">
        <v>0</v>
      </c>
      <c r="I14" s="133">
        <v>0.05</v>
      </c>
      <c r="J14" s="133">
        <v>0.05</v>
      </c>
      <c r="K14" s="133">
        <v>0.01</v>
      </c>
      <c r="L14" s="133">
        <v>0.01</v>
      </c>
      <c r="M14" s="133">
        <v>0.05</v>
      </c>
      <c r="N14" s="133">
        <v>0.01</v>
      </c>
      <c r="O14" s="133">
        <v>0.01</v>
      </c>
      <c r="P14" s="133">
        <v>0.05</v>
      </c>
      <c r="Q14" s="133">
        <v>0.1</v>
      </c>
      <c r="R14" s="133">
        <v>0.1</v>
      </c>
      <c r="S14" s="133">
        <v>0.1</v>
      </c>
      <c r="T14" s="133">
        <v>0.7</v>
      </c>
      <c r="U14" s="133">
        <v>0</v>
      </c>
      <c r="V14" s="133">
        <v>0</v>
      </c>
      <c r="W14" s="133">
        <v>0</v>
      </c>
      <c r="X14" s="133">
        <v>0.01</v>
      </c>
      <c r="Y14" s="133">
        <v>0</v>
      </c>
      <c r="Z14" s="133">
        <v>0</v>
      </c>
      <c r="AA14" s="133">
        <v>0</v>
      </c>
      <c r="AB14" s="133">
        <v>0</v>
      </c>
      <c r="AC14" s="133">
        <v>0</v>
      </c>
    </row>
    <row r="15" spans="1:29">
      <c r="A15" s="3">
        <f>EconomicInputs!A47</f>
        <v>2021</v>
      </c>
      <c r="B15" s="133">
        <v>0.02</v>
      </c>
      <c r="C15" s="133">
        <v>0.05</v>
      </c>
      <c r="D15" s="133">
        <v>0.05</v>
      </c>
      <c r="E15" s="133">
        <v>0.01</v>
      </c>
      <c r="F15" s="133">
        <v>0.05</v>
      </c>
      <c r="G15" s="133">
        <v>0.05</v>
      </c>
      <c r="H15" s="133">
        <v>0</v>
      </c>
      <c r="I15" s="133">
        <v>0.05</v>
      </c>
      <c r="J15" s="133">
        <v>0.05</v>
      </c>
      <c r="K15" s="133">
        <v>0.01</v>
      </c>
      <c r="L15" s="133">
        <v>0.01</v>
      </c>
      <c r="M15" s="133">
        <v>0.05</v>
      </c>
      <c r="N15" s="133">
        <v>0.01</v>
      </c>
      <c r="O15" s="133">
        <v>0.01</v>
      </c>
      <c r="P15" s="133">
        <v>0.05</v>
      </c>
      <c r="Q15" s="133">
        <v>0.1</v>
      </c>
      <c r="R15" s="133">
        <v>0.1</v>
      </c>
      <c r="S15" s="133">
        <v>0.1</v>
      </c>
      <c r="T15" s="133">
        <v>0.7</v>
      </c>
      <c r="U15" s="133">
        <v>0</v>
      </c>
      <c r="V15" s="133">
        <v>0</v>
      </c>
      <c r="W15" s="133">
        <v>0</v>
      </c>
      <c r="X15" s="133">
        <v>0.01</v>
      </c>
      <c r="Y15" s="133">
        <v>0</v>
      </c>
      <c r="Z15" s="133">
        <v>0</v>
      </c>
      <c r="AA15" s="133">
        <v>0</v>
      </c>
      <c r="AB15" s="133">
        <v>0</v>
      </c>
      <c r="AC15" s="133">
        <v>0</v>
      </c>
    </row>
    <row r="16" spans="1:29">
      <c r="A16" s="3">
        <f>EconomicInputs!A48</f>
        <v>2022</v>
      </c>
      <c r="B16" s="133">
        <v>0.02</v>
      </c>
      <c r="C16" s="133">
        <v>0.05</v>
      </c>
      <c r="D16" s="133">
        <v>0.05</v>
      </c>
      <c r="E16" s="133">
        <v>0.01</v>
      </c>
      <c r="F16" s="133">
        <v>0.05</v>
      </c>
      <c r="G16" s="133">
        <v>0.05</v>
      </c>
      <c r="H16" s="133">
        <v>0</v>
      </c>
      <c r="I16" s="133">
        <v>0.05</v>
      </c>
      <c r="J16" s="133">
        <v>0.05</v>
      </c>
      <c r="K16" s="133">
        <v>0.01</v>
      </c>
      <c r="L16" s="133">
        <v>0.01</v>
      </c>
      <c r="M16" s="133">
        <v>0.05</v>
      </c>
      <c r="N16" s="133">
        <v>0.01</v>
      </c>
      <c r="O16" s="133">
        <v>0.01</v>
      </c>
      <c r="P16" s="133">
        <v>0.05</v>
      </c>
      <c r="Q16" s="133">
        <v>0.1</v>
      </c>
      <c r="R16" s="133">
        <v>0.1</v>
      </c>
      <c r="S16" s="133">
        <v>0.1</v>
      </c>
      <c r="T16" s="133">
        <v>0.7</v>
      </c>
      <c r="U16" s="133">
        <v>0</v>
      </c>
      <c r="V16" s="133">
        <v>0</v>
      </c>
      <c r="W16" s="133">
        <v>0</v>
      </c>
      <c r="X16" s="133">
        <v>0.01</v>
      </c>
      <c r="Y16" s="133">
        <v>0</v>
      </c>
      <c r="Z16" s="133">
        <v>0</v>
      </c>
      <c r="AA16" s="133">
        <v>0</v>
      </c>
      <c r="AB16" s="133">
        <v>0</v>
      </c>
      <c r="AC16" s="133">
        <v>0</v>
      </c>
    </row>
    <row r="17" spans="1:29">
      <c r="A17" s="3">
        <f>EconomicInputs!A49</f>
        <v>2023</v>
      </c>
      <c r="B17" s="133">
        <v>0.02</v>
      </c>
      <c r="C17" s="133">
        <v>0.05</v>
      </c>
      <c r="D17" s="133">
        <v>0.05</v>
      </c>
      <c r="E17" s="133">
        <v>0.01</v>
      </c>
      <c r="F17" s="133">
        <v>0.05</v>
      </c>
      <c r="G17" s="133">
        <v>0.05</v>
      </c>
      <c r="H17" s="133">
        <v>0</v>
      </c>
      <c r="I17" s="133">
        <v>0.05</v>
      </c>
      <c r="J17" s="133">
        <v>0.05</v>
      </c>
      <c r="K17" s="133">
        <v>0.01</v>
      </c>
      <c r="L17" s="133">
        <v>0.01</v>
      </c>
      <c r="M17" s="133">
        <v>0.05</v>
      </c>
      <c r="N17" s="133">
        <v>0.01</v>
      </c>
      <c r="O17" s="133">
        <v>0.01</v>
      </c>
      <c r="P17" s="133">
        <v>0.05</v>
      </c>
      <c r="Q17" s="133">
        <v>0.1</v>
      </c>
      <c r="R17" s="133">
        <v>0.1</v>
      </c>
      <c r="S17" s="133">
        <v>0.1</v>
      </c>
      <c r="T17" s="133">
        <v>0.7</v>
      </c>
      <c r="U17" s="133">
        <v>0</v>
      </c>
      <c r="V17" s="133">
        <v>0</v>
      </c>
      <c r="W17" s="133">
        <v>0</v>
      </c>
      <c r="X17" s="133">
        <v>0.01</v>
      </c>
      <c r="Y17" s="133">
        <v>0</v>
      </c>
      <c r="Z17" s="133">
        <v>0</v>
      </c>
      <c r="AA17" s="133">
        <v>0</v>
      </c>
      <c r="AB17" s="133">
        <v>0</v>
      </c>
      <c r="AC17" s="133">
        <v>0</v>
      </c>
    </row>
    <row r="18" spans="1:29">
      <c r="A18" s="3">
        <f>EconomicInputs!A50</f>
        <v>2024</v>
      </c>
      <c r="B18" s="133">
        <v>0.02</v>
      </c>
      <c r="C18" s="133">
        <v>0.05</v>
      </c>
      <c r="D18" s="133">
        <v>0.05</v>
      </c>
      <c r="E18" s="133">
        <v>0.01</v>
      </c>
      <c r="F18" s="133">
        <v>0.05</v>
      </c>
      <c r="G18" s="133">
        <v>0.05</v>
      </c>
      <c r="H18" s="133">
        <v>0</v>
      </c>
      <c r="I18" s="133">
        <v>0.05</v>
      </c>
      <c r="J18" s="133">
        <v>0.05</v>
      </c>
      <c r="K18" s="133">
        <v>0.01</v>
      </c>
      <c r="L18" s="133">
        <v>0.01</v>
      </c>
      <c r="M18" s="133">
        <v>0.05</v>
      </c>
      <c r="N18" s="133">
        <v>0.01</v>
      </c>
      <c r="O18" s="133">
        <v>0.01</v>
      </c>
      <c r="P18" s="133">
        <v>0.05</v>
      </c>
      <c r="Q18" s="133">
        <v>0.1</v>
      </c>
      <c r="R18" s="133">
        <v>0.1</v>
      </c>
      <c r="S18" s="133">
        <v>0.1</v>
      </c>
      <c r="T18" s="133">
        <v>0.7</v>
      </c>
      <c r="U18" s="133">
        <v>0</v>
      </c>
      <c r="V18" s="133">
        <v>0</v>
      </c>
      <c r="W18" s="133">
        <v>0</v>
      </c>
      <c r="X18" s="133">
        <v>0.01</v>
      </c>
      <c r="Y18" s="133">
        <v>0</v>
      </c>
      <c r="Z18" s="133">
        <v>0</v>
      </c>
      <c r="AA18" s="133">
        <v>0</v>
      </c>
      <c r="AB18" s="133">
        <v>0</v>
      </c>
      <c r="AC18" s="133">
        <v>0</v>
      </c>
    </row>
    <row r="19" spans="1:29">
      <c r="A19" s="3">
        <f>EconomicInputs!A51</f>
        <v>2025</v>
      </c>
      <c r="B19" s="133">
        <v>0.02</v>
      </c>
      <c r="C19" s="133">
        <v>0.05</v>
      </c>
      <c r="D19" s="133">
        <v>0.05</v>
      </c>
      <c r="E19" s="133">
        <v>0.01</v>
      </c>
      <c r="F19" s="133">
        <v>0.05</v>
      </c>
      <c r="G19" s="133">
        <v>0.05</v>
      </c>
      <c r="H19" s="133">
        <v>0</v>
      </c>
      <c r="I19" s="133">
        <v>0.05</v>
      </c>
      <c r="J19" s="133">
        <v>0.05</v>
      </c>
      <c r="K19" s="133">
        <v>0.01</v>
      </c>
      <c r="L19" s="133">
        <v>0.01</v>
      </c>
      <c r="M19" s="133">
        <v>0.05</v>
      </c>
      <c r="N19" s="133">
        <v>0.01</v>
      </c>
      <c r="O19" s="133">
        <v>0.01</v>
      </c>
      <c r="P19" s="133">
        <v>0.05</v>
      </c>
      <c r="Q19" s="133">
        <v>0.1</v>
      </c>
      <c r="R19" s="133">
        <v>0.1</v>
      </c>
      <c r="S19" s="133">
        <v>0.1</v>
      </c>
      <c r="T19" s="133">
        <v>0.7</v>
      </c>
      <c r="U19" s="133">
        <v>0</v>
      </c>
      <c r="V19" s="133">
        <v>0</v>
      </c>
      <c r="W19" s="133">
        <v>0</v>
      </c>
      <c r="X19" s="133">
        <v>0.01</v>
      </c>
      <c r="Y19" s="133">
        <v>0</v>
      </c>
      <c r="Z19" s="133">
        <v>0</v>
      </c>
      <c r="AA19" s="133">
        <v>0</v>
      </c>
      <c r="AB19" s="133">
        <v>0</v>
      </c>
      <c r="AC19" s="133">
        <v>0</v>
      </c>
    </row>
    <row r="20" spans="1:29">
      <c r="A20" s="3">
        <f>EconomicInputs!A52</f>
        <v>2026</v>
      </c>
      <c r="B20" s="133">
        <v>0.02</v>
      </c>
      <c r="C20" s="133">
        <v>0.05</v>
      </c>
      <c r="D20" s="133">
        <v>0.05</v>
      </c>
      <c r="E20" s="133">
        <v>0.01</v>
      </c>
      <c r="F20" s="133">
        <v>0.05</v>
      </c>
      <c r="G20" s="133">
        <v>0.05</v>
      </c>
      <c r="H20" s="133">
        <v>0</v>
      </c>
      <c r="I20" s="133">
        <v>0.05</v>
      </c>
      <c r="J20" s="133">
        <v>0.05</v>
      </c>
      <c r="K20" s="133">
        <v>0.01</v>
      </c>
      <c r="L20" s="133">
        <v>0.01</v>
      </c>
      <c r="M20" s="133">
        <v>0.05</v>
      </c>
      <c r="N20" s="133">
        <v>0.01</v>
      </c>
      <c r="O20" s="133">
        <v>0.01</v>
      </c>
      <c r="P20" s="133">
        <v>0.05</v>
      </c>
      <c r="Q20" s="133">
        <v>0.1</v>
      </c>
      <c r="R20" s="133">
        <v>0.1</v>
      </c>
      <c r="S20" s="133">
        <v>0.1</v>
      </c>
      <c r="T20" s="133">
        <v>0.7</v>
      </c>
      <c r="U20" s="133">
        <v>0</v>
      </c>
      <c r="V20" s="133">
        <v>0</v>
      </c>
      <c r="W20" s="133">
        <v>0</v>
      </c>
      <c r="X20" s="133">
        <v>0.01</v>
      </c>
      <c r="Y20" s="133">
        <v>0</v>
      </c>
      <c r="Z20" s="133">
        <v>0</v>
      </c>
      <c r="AA20" s="133">
        <v>0</v>
      </c>
      <c r="AB20" s="133">
        <v>0</v>
      </c>
      <c r="AC20" s="133">
        <v>0</v>
      </c>
    </row>
    <row r="21" spans="1:29">
      <c r="A21" s="3">
        <f>EconomicInputs!A53</f>
        <v>2027</v>
      </c>
      <c r="B21" s="133">
        <v>0.02</v>
      </c>
      <c r="C21" s="133">
        <v>0.05</v>
      </c>
      <c r="D21" s="133">
        <v>0.05</v>
      </c>
      <c r="E21" s="133">
        <v>0.01</v>
      </c>
      <c r="F21" s="133">
        <v>0.05</v>
      </c>
      <c r="G21" s="133">
        <v>0.05</v>
      </c>
      <c r="H21" s="133">
        <v>0</v>
      </c>
      <c r="I21" s="133">
        <v>0.05</v>
      </c>
      <c r="J21" s="133">
        <v>0.05</v>
      </c>
      <c r="K21" s="133">
        <v>0.01</v>
      </c>
      <c r="L21" s="133">
        <v>0.01</v>
      </c>
      <c r="M21" s="133">
        <v>0.05</v>
      </c>
      <c r="N21" s="133">
        <v>0.01</v>
      </c>
      <c r="O21" s="133">
        <v>0.01</v>
      </c>
      <c r="P21" s="133">
        <v>0.05</v>
      </c>
      <c r="Q21" s="133">
        <v>0.1</v>
      </c>
      <c r="R21" s="133">
        <v>0.1</v>
      </c>
      <c r="S21" s="133">
        <v>0.1</v>
      </c>
      <c r="T21" s="133">
        <v>0.7</v>
      </c>
      <c r="U21" s="133">
        <v>0</v>
      </c>
      <c r="V21" s="133">
        <v>0</v>
      </c>
      <c r="W21" s="133">
        <v>0</v>
      </c>
      <c r="X21" s="133">
        <v>0.01</v>
      </c>
      <c r="Y21" s="133">
        <v>0</v>
      </c>
      <c r="Z21" s="133">
        <v>0</v>
      </c>
      <c r="AA21" s="133">
        <v>0</v>
      </c>
      <c r="AB21" s="133">
        <v>0</v>
      </c>
      <c r="AC21" s="133">
        <v>0</v>
      </c>
    </row>
    <row r="22" spans="1:29">
      <c r="A22" s="3">
        <f>EconomicInputs!A54</f>
        <v>2028</v>
      </c>
      <c r="B22" s="133">
        <v>0.02</v>
      </c>
      <c r="C22" s="133">
        <v>0.05</v>
      </c>
      <c r="D22" s="133">
        <v>0.05</v>
      </c>
      <c r="E22" s="133">
        <v>0.01</v>
      </c>
      <c r="F22" s="133">
        <v>0.05</v>
      </c>
      <c r="G22" s="133">
        <v>0.05</v>
      </c>
      <c r="H22" s="133">
        <v>0</v>
      </c>
      <c r="I22" s="133">
        <v>0.05</v>
      </c>
      <c r="J22" s="133">
        <v>0.05</v>
      </c>
      <c r="K22" s="133">
        <v>0.01</v>
      </c>
      <c r="L22" s="133">
        <v>0.01</v>
      </c>
      <c r="M22" s="133">
        <v>0.05</v>
      </c>
      <c r="N22" s="133">
        <v>0.01</v>
      </c>
      <c r="O22" s="133">
        <v>0.01</v>
      </c>
      <c r="P22" s="133">
        <v>0.05</v>
      </c>
      <c r="Q22" s="133">
        <v>0.1</v>
      </c>
      <c r="R22" s="133">
        <v>0.1</v>
      </c>
      <c r="S22" s="133">
        <v>0.1</v>
      </c>
      <c r="T22" s="133">
        <v>0.7</v>
      </c>
      <c r="U22" s="133">
        <v>0</v>
      </c>
      <c r="V22" s="133">
        <v>0</v>
      </c>
      <c r="W22" s="133">
        <v>0</v>
      </c>
      <c r="X22" s="133">
        <v>0.01</v>
      </c>
      <c r="Y22" s="133">
        <v>0</v>
      </c>
      <c r="Z22" s="133">
        <v>0</v>
      </c>
      <c r="AA22" s="133">
        <v>0</v>
      </c>
      <c r="AB22" s="133">
        <v>0</v>
      </c>
      <c r="AC22" s="133">
        <v>0</v>
      </c>
    </row>
    <row r="23" spans="1:29">
      <c r="A23" s="3">
        <f>EconomicInputs!A55</f>
        <v>2029</v>
      </c>
      <c r="B23" s="133">
        <v>0.02</v>
      </c>
      <c r="C23" s="133">
        <v>0.05</v>
      </c>
      <c r="D23" s="133">
        <v>0.05</v>
      </c>
      <c r="E23" s="133">
        <v>0.01</v>
      </c>
      <c r="F23" s="133">
        <v>0.05</v>
      </c>
      <c r="G23" s="133">
        <v>0.05</v>
      </c>
      <c r="H23" s="133">
        <v>0</v>
      </c>
      <c r="I23" s="133">
        <v>0.05</v>
      </c>
      <c r="J23" s="133">
        <v>0.05</v>
      </c>
      <c r="K23" s="133">
        <v>0.01</v>
      </c>
      <c r="L23" s="133">
        <v>0.01</v>
      </c>
      <c r="M23" s="133">
        <v>0.05</v>
      </c>
      <c r="N23" s="133">
        <v>0.01</v>
      </c>
      <c r="O23" s="133">
        <v>0.01</v>
      </c>
      <c r="P23" s="133">
        <v>0.05</v>
      </c>
      <c r="Q23" s="133">
        <v>0.1</v>
      </c>
      <c r="R23" s="133">
        <v>0.1</v>
      </c>
      <c r="S23" s="133">
        <v>0.1</v>
      </c>
      <c r="T23" s="133">
        <v>0.7</v>
      </c>
      <c r="U23" s="133">
        <v>0</v>
      </c>
      <c r="V23" s="133">
        <v>0</v>
      </c>
      <c r="W23" s="133">
        <v>0</v>
      </c>
      <c r="X23" s="133">
        <v>0.01</v>
      </c>
      <c r="Y23" s="133">
        <v>0</v>
      </c>
      <c r="Z23" s="133">
        <v>0</v>
      </c>
      <c r="AA23" s="133">
        <v>0</v>
      </c>
      <c r="AB23" s="133">
        <v>0</v>
      </c>
      <c r="AC23" s="133">
        <v>0</v>
      </c>
    </row>
    <row r="24" spans="1:29">
      <c r="A24" s="3">
        <f>EconomicInputs!A56</f>
        <v>2030</v>
      </c>
      <c r="B24" s="133">
        <v>0.02</v>
      </c>
      <c r="C24" s="133">
        <v>0.05</v>
      </c>
      <c r="D24" s="133">
        <v>0.05</v>
      </c>
      <c r="E24" s="133">
        <v>0.01</v>
      </c>
      <c r="F24" s="133">
        <v>0.05</v>
      </c>
      <c r="G24" s="133">
        <v>0.05</v>
      </c>
      <c r="H24" s="133">
        <v>0</v>
      </c>
      <c r="I24" s="133">
        <v>0.05</v>
      </c>
      <c r="J24" s="133">
        <v>0.05</v>
      </c>
      <c r="K24" s="133">
        <v>0.01</v>
      </c>
      <c r="L24" s="133">
        <v>0.01</v>
      </c>
      <c r="M24" s="133">
        <v>0.05</v>
      </c>
      <c r="N24" s="133">
        <v>0.01</v>
      </c>
      <c r="O24" s="133">
        <v>0.01</v>
      </c>
      <c r="P24" s="133">
        <v>0.05</v>
      </c>
      <c r="Q24" s="133">
        <v>0.1</v>
      </c>
      <c r="R24" s="133">
        <v>0.1</v>
      </c>
      <c r="S24" s="133">
        <v>0.1</v>
      </c>
      <c r="T24" s="133">
        <v>0.7</v>
      </c>
      <c r="U24" s="133">
        <v>0</v>
      </c>
      <c r="V24" s="133">
        <v>0</v>
      </c>
      <c r="W24" s="133">
        <v>0</v>
      </c>
      <c r="X24" s="133">
        <v>0.01</v>
      </c>
      <c r="Y24" s="133">
        <v>0</v>
      </c>
      <c r="Z24" s="133">
        <v>0</v>
      </c>
      <c r="AA24" s="133">
        <v>0</v>
      </c>
      <c r="AB24" s="133">
        <v>0</v>
      </c>
      <c r="AC24" s="133">
        <v>0</v>
      </c>
    </row>
    <row r="25" spans="1:29">
      <c r="A25" s="3">
        <f>EconomicInputs!A57</f>
        <v>2031</v>
      </c>
      <c r="B25" s="133">
        <v>0.02</v>
      </c>
      <c r="C25" s="133">
        <v>0.05</v>
      </c>
      <c r="D25" s="133">
        <v>0.05</v>
      </c>
      <c r="E25" s="133">
        <v>0.01</v>
      </c>
      <c r="F25" s="133">
        <v>0.05</v>
      </c>
      <c r="G25" s="133">
        <v>0.05</v>
      </c>
      <c r="H25" s="133">
        <v>0</v>
      </c>
      <c r="I25" s="133">
        <v>0.05</v>
      </c>
      <c r="J25" s="133">
        <v>0.05</v>
      </c>
      <c r="K25" s="133">
        <v>0.01</v>
      </c>
      <c r="L25" s="133">
        <v>0.01</v>
      </c>
      <c r="M25" s="133">
        <v>0.05</v>
      </c>
      <c r="N25" s="133">
        <v>0.01</v>
      </c>
      <c r="O25" s="133">
        <v>0.01</v>
      </c>
      <c r="P25" s="133">
        <v>0.05</v>
      </c>
      <c r="Q25" s="133">
        <v>0.1</v>
      </c>
      <c r="R25" s="133">
        <v>0.1</v>
      </c>
      <c r="S25" s="133">
        <v>0.1</v>
      </c>
      <c r="T25" s="133">
        <v>0.7</v>
      </c>
      <c r="U25" s="133">
        <v>0</v>
      </c>
      <c r="V25" s="133">
        <v>0</v>
      </c>
      <c r="W25" s="133">
        <v>0</v>
      </c>
      <c r="X25" s="133">
        <v>0.01</v>
      </c>
      <c r="Y25" s="133">
        <v>0</v>
      </c>
      <c r="Z25" s="133">
        <v>0</v>
      </c>
      <c r="AA25" s="133">
        <v>0</v>
      </c>
      <c r="AB25" s="133">
        <v>0</v>
      </c>
      <c r="AC25" s="133">
        <v>0</v>
      </c>
    </row>
    <row r="26" spans="1:29">
      <c r="A26" s="3">
        <f>EconomicInputs!A58</f>
        <v>2032</v>
      </c>
      <c r="B26" s="133">
        <v>0.02</v>
      </c>
      <c r="C26" s="133">
        <v>0.05</v>
      </c>
      <c r="D26" s="133">
        <v>0.05</v>
      </c>
      <c r="E26" s="133">
        <v>0.01</v>
      </c>
      <c r="F26" s="133">
        <v>0.05</v>
      </c>
      <c r="G26" s="133">
        <v>0.05</v>
      </c>
      <c r="H26" s="133">
        <v>0</v>
      </c>
      <c r="I26" s="133">
        <v>0.05</v>
      </c>
      <c r="J26" s="133">
        <v>0.05</v>
      </c>
      <c r="K26" s="133">
        <v>0.01</v>
      </c>
      <c r="L26" s="133">
        <v>0.01</v>
      </c>
      <c r="M26" s="133">
        <v>0.05</v>
      </c>
      <c r="N26" s="133">
        <v>0.01</v>
      </c>
      <c r="O26" s="133">
        <v>0.01</v>
      </c>
      <c r="P26" s="133">
        <v>0.05</v>
      </c>
      <c r="Q26" s="133">
        <v>0.1</v>
      </c>
      <c r="R26" s="133">
        <v>0.1</v>
      </c>
      <c r="S26" s="133">
        <v>0.1</v>
      </c>
      <c r="T26" s="133">
        <v>0.7</v>
      </c>
      <c r="U26" s="133">
        <v>0</v>
      </c>
      <c r="V26" s="133">
        <v>0</v>
      </c>
      <c r="W26" s="133">
        <v>0</v>
      </c>
      <c r="X26" s="133">
        <v>0.01</v>
      </c>
      <c r="Y26" s="133">
        <v>0</v>
      </c>
      <c r="Z26" s="133">
        <v>0</v>
      </c>
      <c r="AA26" s="133">
        <v>0</v>
      </c>
      <c r="AB26" s="133">
        <v>0</v>
      </c>
      <c r="AC26" s="133">
        <v>0</v>
      </c>
    </row>
    <row r="27" spans="1:29">
      <c r="A27" s="3">
        <f>EconomicInputs!A59</f>
        <v>2033</v>
      </c>
      <c r="B27" s="133">
        <v>0.02</v>
      </c>
      <c r="C27" s="133">
        <v>0.05</v>
      </c>
      <c r="D27" s="133">
        <v>0.05</v>
      </c>
      <c r="E27" s="133">
        <v>0.01</v>
      </c>
      <c r="F27" s="133">
        <v>0.05</v>
      </c>
      <c r="G27" s="133">
        <v>0.05</v>
      </c>
      <c r="H27" s="133">
        <v>0</v>
      </c>
      <c r="I27" s="133">
        <v>0.05</v>
      </c>
      <c r="J27" s="133">
        <v>0.05</v>
      </c>
      <c r="K27" s="133">
        <v>0.01</v>
      </c>
      <c r="L27" s="133">
        <v>0.01</v>
      </c>
      <c r="M27" s="133">
        <v>0.05</v>
      </c>
      <c r="N27" s="133">
        <v>0.01</v>
      </c>
      <c r="O27" s="133">
        <v>0.01</v>
      </c>
      <c r="P27" s="133">
        <v>0.05</v>
      </c>
      <c r="Q27" s="133">
        <v>0.1</v>
      </c>
      <c r="R27" s="133">
        <v>0.1</v>
      </c>
      <c r="S27" s="133">
        <v>0.1</v>
      </c>
      <c r="T27" s="133">
        <v>0.7</v>
      </c>
      <c r="U27" s="133">
        <v>0</v>
      </c>
      <c r="V27" s="133">
        <v>0</v>
      </c>
      <c r="W27" s="133">
        <v>0</v>
      </c>
      <c r="X27" s="133">
        <v>0.01</v>
      </c>
      <c r="Y27" s="133">
        <v>0</v>
      </c>
      <c r="Z27" s="133">
        <v>0</v>
      </c>
      <c r="AA27" s="133">
        <v>0</v>
      </c>
      <c r="AB27" s="133">
        <v>0</v>
      </c>
      <c r="AC27" s="133">
        <v>0</v>
      </c>
    </row>
    <row r="28" spans="1:29">
      <c r="A28" s="3">
        <f>EconomicInputs!A60</f>
        <v>2034</v>
      </c>
      <c r="B28" s="133">
        <v>0.02</v>
      </c>
      <c r="C28" s="133">
        <v>0.05</v>
      </c>
      <c r="D28" s="133">
        <v>0.05</v>
      </c>
      <c r="E28" s="133">
        <v>0.01</v>
      </c>
      <c r="F28" s="133">
        <v>0.05</v>
      </c>
      <c r="G28" s="133">
        <v>0.05</v>
      </c>
      <c r="H28" s="133">
        <v>0</v>
      </c>
      <c r="I28" s="133">
        <v>0.05</v>
      </c>
      <c r="J28" s="133">
        <v>0.05</v>
      </c>
      <c r="K28" s="133">
        <v>0.01</v>
      </c>
      <c r="L28" s="133">
        <v>0.01</v>
      </c>
      <c r="M28" s="133">
        <v>0.05</v>
      </c>
      <c r="N28" s="133">
        <v>0.01</v>
      </c>
      <c r="O28" s="133">
        <v>0.01</v>
      </c>
      <c r="P28" s="133">
        <v>0.05</v>
      </c>
      <c r="Q28" s="133">
        <v>0.1</v>
      </c>
      <c r="R28" s="133">
        <v>0.1</v>
      </c>
      <c r="S28" s="133">
        <v>0.1</v>
      </c>
      <c r="T28" s="133">
        <v>0.7</v>
      </c>
      <c r="U28" s="133">
        <v>0</v>
      </c>
      <c r="V28" s="133">
        <v>0</v>
      </c>
      <c r="W28" s="133">
        <v>0</v>
      </c>
      <c r="X28" s="133">
        <v>0.01</v>
      </c>
      <c r="Y28" s="133">
        <v>0</v>
      </c>
      <c r="Z28" s="133">
        <v>0</v>
      </c>
      <c r="AA28" s="133">
        <v>0</v>
      </c>
      <c r="AB28" s="133">
        <v>0</v>
      </c>
      <c r="AC28" s="133">
        <v>0</v>
      </c>
    </row>
    <row r="29" spans="1:29">
      <c r="A29" s="3">
        <f>EconomicInputs!A61</f>
        <v>2035</v>
      </c>
      <c r="B29" s="133">
        <v>0.02</v>
      </c>
      <c r="C29" s="133">
        <v>0.05</v>
      </c>
      <c r="D29" s="133">
        <v>0.05</v>
      </c>
      <c r="E29" s="133">
        <v>0.01</v>
      </c>
      <c r="F29" s="133">
        <v>0.05</v>
      </c>
      <c r="G29" s="133">
        <v>0.05</v>
      </c>
      <c r="H29" s="133">
        <v>0</v>
      </c>
      <c r="I29" s="133">
        <v>0.05</v>
      </c>
      <c r="J29" s="133">
        <v>0.05</v>
      </c>
      <c r="K29" s="133">
        <v>0.01</v>
      </c>
      <c r="L29" s="133">
        <v>0.01</v>
      </c>
      <c r="M29" s="133">
        <v>0.05</v>
      </c>
      <c r="N29" s="133">
        <v>0.01</v>
      </c>
      <c r="O29" s="133">
        <v>0.01</v>
      </c>
      <c r="P29" s="133">
        <v>0.05</v>
      </c>
      <c r="Q29" s="133">
        <v>0.1</v>
      </c>
      <c r="R29" s="133">
        <v>0.1</v>
      </c>
      <c r="S29" s="133">
        <v>0.1</v>
      </c>
      <c r="T29" s="133">
        <v>0.7</v>
      </c>
      <c r="U29" s="133">
        <v>0</v>
      </c>
      <c r="V29" s="133">
        <v>0</v>
      </c>
      <c r="W29" s="133">
        <v>0</v>
      </c>
      <c r="X29" s="133">
        <v>0.01</v>
      </c>
      <c r="Y29" s="133">
        <v>0</v>
      </c>
      <c r="Z29" s="133">
        <v>0</v>
      </c>
      <c r="AA29" s="133">
        <v>0</v>
      </c>
      <c r="AB29" s="133">
        <v>0</v>
      </c>
      <c r="AC29" s="133">
        <v>0</v>
      </c>
    </row>
  </sheetData>
  <sheetProtection selectLockedCells="1"/>
  <mergeCells count="2">
    <mergeCell ref="B2:D2"/>
    <mergeCell ref="A1:A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EC72"/>
  <sheetViews>
    <sheetView workbookViewId="0"/>
  </sheetViews>
  <sheetFormatPr defaultColWidth="11" defaultRowHeight="15.75"/>
  <cols>
    <col min="1" max="1" width="18.625" customWidth="1"/>
    <col min="2" max="2" width="15.875" bestFit="1" customWidth="1"/>
    <col min="3" max="9" width="13.875" customWidth="1"/>
    <col min="10" max="10" width="27.5" bestFit="1" customWidth="1"/>
    <col min="11" max="11" width="31.375" customWidth="1"/>
    <col min="12" max="12" width="23.125" bestFit="1" customWidth="1"/>
    <col min="13" max="13" width="22.375" bestFit="1" customWidth="1"/>
    <col min="14" max="14" width="22.625" bestFit="1" customWidth="1"/>
    <col min="15" max="15" width="20.5" bestFit="1" customWidth="1"/>
    <col min="16" max="36" width="17.625" bestFit="1" customWidth="1"/>
    <col min="56" max="76" width="14.125" bestFit="1" customWidth="1"/>
    <col min="77" max="81" width="5.125" bestFit="1" customWidth="1"/>
    <col min="82" max="97" width="11.5" bestFit="1" customWidth="1"/>
    <col min="98" max="102" width="11" bestFit="1" customWidth="1"/>
    <col min="103" max="118" width="15.125" bestFit="1" customWidth="1"/>
    <col min="122" max="122" width="5.125" bestFit="1" customWidth="1"/>
    <col min="123" max="123" width="13.125" bestFit="1" customWidth="1"/>
    <col min="124" max="124" width="17.125" bestFit="1" customWidth="1"/>
    <col min="125" max="125" width="11.5" bestFit="1" customWidth="1"/>
    <col min="126" max="126" width="17.125" bestFit="1" customWidth="1"/>
    <col min="127" max="127" width="13.375" bestFit="1" customWidth="1"/>
    <col min="131" max="131" width="11.5" bestFit="1" customWidth="1"/>
    <col min="132" max="132" width="13" bestFit="1" customWidth="1"/>
    <col min="133" max="133" width="11.5" bestFit="1" customWidth="1"/>
  </cols>
  <sheetData>
    <row r="1" spans="1:36">
      <c r="A1" s="67" t="s">
        <v>190</v>
      </c>
      <c r="B1" s="67" t="s">
        <v>193</v>
      </c>
      <c r="J1" s="72" t="s">
        <v>71</v>
      </c>
      <c r="K1" s="72">
        <v>2010</v>
      </c>
      <c r="L1" s="80">
        <v>2011</v>
      </c>
      <c r="M1" s="72">
        <v>2012</v>
      </c>
      <c r="N1" s="80">
        <v>2013</v>
      </c>
      <c r="O1" s="72">
        <v>2014</v>
      </c>
      <c r="P1" s="80">
        <v>2015</v>
      </c>
      <c r="Q1" s="72">
        <v>2016</v>
      </c>
      <c r="R1" s="80">
        <v>2017</v>
      </c>
      <c r="S1" s="72">
        <v>2018</v>
      </c>
      <c r="T1" s="80">
        <v>2019</v>
      </c>
      <c r="U1" s="72">
        <v>2020</v>
      </c>
      <c r="V1" s="80">
        <v>2021</v>
      </c>
      <c r="W1" s="72">
        <v>2022</v>
      </c>
      <c r="X1" s="80">
        <v>2023</v>
      </c>
      <c r="Y1" s="72">
        <v>2024</v>
      </c>
      <c r="Z1" s="80">
        <v>2025</v>
      </c>
      <c r="AA1" s="72">
        <v>2026</v>
      </c>
      <c r="AB1" s="80">
        <v>2027</v>
      </c>
      <c r="AC1" s="72">
        <v>2028</v>
      </c>
      <c r="AD1" s="80">
        <v>2029</v>
      </c>
      <c r="AE1" s="72">
        <v>2030</v>
      </c>
      <c r="AF1" s="80">
        <v>2031</v>
      </c>
      <c r="AG1" s="72">
        <v>2032</v>
      </c>
      <c r="AH1" s="80">
        <v>2033</v>
      </c>
      <c r="AI1" s="72">
        <v>2034</v>
      </c>
      <c r="AJ1" s="80">
        <v>2035</v>
      </c>
    </row>
    <row r="2" spans="1:36">
      <c r="A2" s="3" t="s">
        <v>208</v>
      </c>
      <c r="B2" s="76">
        <f>1-B3-B4</f>
        <v>0.65</v>
      </c>
      <c r="D2" t="s">
        <v>355</v>
      </c>
      <c r="J2" s="102" t="s">
        <v>219</v>
      </c>
      <c r="K2" s="83">
        <f t="array" ref="K2:AJ2">TRANSPOSE(EconomicInputs!Q4:Q29)</f>
        <v>66209988933.066185</v>
      </c>
      <c r="L2" s="83">
        <v>66109268229.478111</v>
      </c>
      <c r="M2" s="83">
        <v>65968340774.852097</v>
      </c>
      <c r="N2" s="83">
        <v>66749279898.031837</v>
      </c>
      <c r="O2" s="83">
        <v>67412696719.832497</v>
      </c>
      <c r="P2" s="83">
        <v>68081332643.13353</v>
      </c>
      <c r="Q2" s="83">
        <v>68757585054.718536</v>
      </c>
      <c r="R2" s="83">
        <v>69440917035.607681</v>
      </c>
      <c r="S2" s="83">
        <v>70130258368.714554</v>
      </c>
      <c r="T2" s="28">
        <v>70827006510.862503</v>
      </c>
      <c r="U2" s="28">
        <v>71530999954.900726</v>
      </c>
      <c r="V2" s="28">
        <v>72242071147.749344</v>
      </c>
      <c r="W2" s="28">
        <v>72959920809.170441</v>
      </c>
      <c r="X2" s="28">
        <v>73684669811.7659</v>
      </c>
      <c r="Y2" s="28">
        <v>74416004823.697586</v>
      </c>
      <c r="Z2" s="28">
        <v>75153591041.150787</v>
      </c>
      <c r="AA2" s="28">
        <v>75897276221.724915</v>
      </c>
      <c r="AB2" s="28">
        <v>76647276502.84198</v>
      </c>
      <c r="AC2" s="28">
        <v>77403482415.146515</v>
      </c>
      <c r="AD2" s="28">
        <v>78166292662.038422</v>
      </c>
      <c r="AE2" s="28">
        <v>78936080247.277924</v>
      </c>
      <c r="AF2" s="28">
        <v>79712641423.232285</v>
      </c>
      <c r="AG2" s="28">
        <v>80496583606.737366</v>
      </c>
      <c r="AH2" s="28">
        <v>81287869690.516708</v>
      </c>
      <c r="AI2" s="28">
        <v>82087192457.309357</v>
      </c>
      <c r="AJ2" s="28">
        <v>82894747784.794876</v>
      </c>
    </row>
    <row r="3" spans="1:36">
      <c r="A3" s="3" t="s">
        <v>207</v>
      </c>
      <c r="B3" s="133">
        <v>0.1</v>
      </c>
      <c r="D3" t="s">
        <v>356</v>
      </c>
      <c r="J3" s="102" t="s">
        <v>220</v>
      </c>
      <c r="K3" s="83">
        <f t="array" ref="K3:AJ3">TRANSPOSE(EconomicInputs!R4:R29)</f>
        <v>0</v>
      </c>
      <c r="L3" s="83">
        <v>2520205.0543314051</v>
      </c>
      <c r="M3" s="83">
        <v>5229883.1696011899</v>
      </c>
      <c r="N3" s="83">
        <v>8428057.4681599848</v>
      </c>
      <c r="O3" s="83">
        <v>12588315.222503254</v>
      </c>
      <c r="P3" s="83">
        <v>18205242.272026967</v>
      </c>
      <c r="Q3" s="83">
        <v>22948209.541066907</v>
      </c>
      <c r="R3" s="83">
        <v>27421561.294511199</v>
      </c>
      <c r="S3" s="83">
        <v>32763614.156670153</v>
      </c>
      <c r="T3" s="28">
        <v>37645691.837436289</v>
      </c>
      <c r="U3" s="28">
        <v>42298769.826199226</v>
      </c>
      <c r="V3" s="28">
        <v>46960564.22485505</v>
      </c>
      <c r="W3" s="28">
        <v>52001219.923528433</v>
      </c>
      <c r="X3" s="28">
        <v>57371437.618988097</v>
      </c>
      <c r="Y3" s="28">
        <v>63456838.181170359</v>
      </c>
      <c r="Z3" s="28">
        <v>70665237.346762091</v>
      </c>
      <c r="AA3" s="28">
        <v>79222619.557594091</v>
      </c>
      <c r="AB3" s="28">
        <v>88987326.853359729</v>
      </c>
      <c r="AC3" s="28">
        <v>100144052.84577212</v>
      </c>
      <c r="AD3" s="28">
        <v>112370070.63378054</v>
      </c>
      <c r="AE3" s="28">
        <v>125369112.72102611</v>
      </c>
      <c r="AF3" s="28">
        <v>139422430.3666583</v>
      </c>
      <c r="AG3" s="28">
        <v>154000885.39755991</v>
      </c>
      <c r="AH3" s="28">
        <v>169220646.53956065</v>
      </c>
      <c r="AI3" s="28">
        <v>184468783.11746246</v>
      </c>
      <c r="AJ3" s="28">
        <v>199630068.03622723</v>
      </c>
    </row>
    <row r="4" spans="1:36">
      <c r="A4" s="3" t="s">
        <v>191</v>
      </c>
      <c r="B4" s="133">
        <v>0.25</v>
      </c>
      <c r="D4" t="s">
        <v>357</v>
      </c>
      <c r="J4" s="102" t="s">
        <v>221</v>
      </c>
      <c r="K4" s="83">
        <f>(K2+K3)*IF(PolicyInputs!$K$20&gt;TransactionCosts!K$1,0,(TransactionCosts!K$1-PolicyInputs!$K$20)/(PolicyInputs!$L$20-PolicyInputs!$K$20))</f>
        <v>0</v>
      </c>
      <c r="L4" s="83">
        <f>(L2+L3)*IF(PolicyInputs!$K$20&gt;TransactionCosts!L$1,0,(TransactionCosts!L$1-PolicyInputs!$K$20)/(PolicyInputs!$L$20-PolicyInputs!$K$20))</f>
        <v>0</v>
      </c>
      <c r="M4" s="83">
        <f>(M2+M3)*IF(PolicyInputs!$K$20&gt;TransactionCosts!M$1,0,(TransactionCosts!M$1-PolicyInputs!$K$20)/(PolicyInputs!$L$20-PolicyInputs!$K$20))</f>
        <v>0</v>
      </c>
      <c r="N4" s="83">
        <f>(N2+N3)*IF(PolicyInputs!$K$20&gt;TransactionCosts!N$1,0,(TransactionCosts!N$1-PolicyInputs!$K$20)/(PolicyInputs!$L$20-PolicyInputs!$K$20))</f>
        <v>0</v>
      </c>
      <c r="O4" s="83">
        <f>(O2+O3)*IF(PolicyInputs!$K$20&gt;TransactionCosts!O$1,0,(TransactionCosts!O$1-PolicyInputs!$K$20)/(PolicyInputs!$L$20-PolicyInputs!$K$20))</f>
        <v>0</v>
      </c>
      <c r="P4" s="83">
        <f>(P2+P3)*IF(PolicyInputs!$K$20&gt;TransactionCosts!P$1,0,(TransactionCosts!P$1-PolicyInputs!$K$20)/(PolicyInputs!$L$20-PolicyInputs!$K$20))</f>
        <v>0</v>
      </c>
      <c r="Q4" s="83">
        <f>(Q2+Q3)*IF(PolicyInputs!$K$20&gt;TransactionCosts!Q$1,0,(TransactionCosts!Q$1-PolicyInputs!$K$20)/(PolicyInputs!$L$20-PolicyInputs!$K$20))</f>
        <v>0</v>
      </c>
      <c r="R4" s="83">
        <f>(R2+R3)*IF(PolicyInputs!$K$20&gt;TransactionCosts!R$1,0,(TransactionCosts!R$1-PolicyInputs!$K$20)/(PolicyInputs!$L$20-PolicyInputs!$K$20))</f>
        <v>0</v>
      </c>
      <c r="S4" s="83">
        <f>(S2+S3)*IF(PolicyInputs!$K$20&gt;TransactionCosts!S$1,0,(TransactionCosts!S$1-PolicyInputs!$K$20)/(PolicyInputs!$L$20-PolicyInputs!$K$20))</f>
        <v>0</v>
      </c>
      <c r="T4" s="83">
        <f>(T2+T3)*IF(PolicyInputs!$K$20&gt;TransactionCosts!T$1,0,(TransactionCosts!T$1-PolicyInputs!$K$20)/(PolicyInputs!$L$20-PolicyInputs!$K$20))</f>
        <v>0</v>
      </c>
      <c r="U4" s="83">
        <f>(U2+U3)*IF(PolicyInputs!$K$20&gt;TransactionCosts!U$1,0,(TransactionCosts!U$1-PolicyInputs!$K$20)/(PolicyInputs!$L$20-PolicyInputs!$K$20))</f>
        <v>0</v>
      </c>
      <c r="V4" s="83">
        <f>(V2+V3)*IF(PolicyInputs!$K$20&gt;TransactionCosts!V$1,0,(TransactionCosts!V$1-PolicyInputs!$K$20)/(PolicyInputs!$L$20-PolicyInputs!$K$20))</f>
        <v>0</v>
      </c>
      <c r="W4" s="83">
        <f>(W2+W3)*IF(PolicyInputs!$K$20&gt;TransactionCosts!W$1,0,(TransactionCosts!W$1-PolicyInputs!$K$20)/(PolicyInputs!$L$20-PolicyInputs!$K$20))</f>
        <v>0</v>
      </c>
      <c r="X4" s="83">
        <f>(X2+X3)*IF(PolicyInputs!$K$20&gt;TransactionCosts!X$1,0,(TransactionCosts!X$1-PolicyInputs!$K$20)/(PolicyInputs!$L$20-PolicyInputs!$K$20))</f>
        <v>0</v>
      </c>
      <c r="Y4" s="83">
        <f>(Y2+Y3)*IF(PolicyInputs!$K$20&gt;TransactionCosts!Y$1,0,(TransactionCosts!Y$1-PolicyInputs!$K$20)/(PolicyInputs!$L$20-PolicyInputs!$K$20))</f>
        <v>0</v>
      </c>
      <c r="Z4" s="83">
        <f>(Z2+Z3)*IF(PolicyInputs!$K$20&gt;TransactionCosts!Z$1,0,(TransactionCosts!Z$1-PolicyInputs!$K$20)/(PolicyInputs!$L$20-PolicyInputs!$K$20))</f>
        <v>0</v>
      </c>
      <c r="AA4" s="83">
        <f>(AA2+AA3)*IF(PolicyInputs!$K$20&gt;TransactionCosts!AA$1,0,(TransactionCosts!AA$1-PolicyInputs!$K$20)/(PolicyInputs!$L$20-PolicyInputs!$K$20))</f>
        <v>0</v>
      </c>
      <c r="AB4" s="83">
        <f>(AB2+AB3)*IF(PolicyInputs!$K$20&gt;TransactionCosts!AB$1,0,(TransactionCosts!AB$1-PolicyInputs!$K$20)/(PolicyInputs!$L$20-PolicyInputs!$K$20))</f>
        <v>0</v>
      </c>
      <c r="AC4" s="83">
        <f>(AC2+AC3)*IF(PolicyInputs!$K$20&gt;TransactionCosts!AC$1,0,(TransactionCosts!AC$1-PolicyInputs!$K$20)/(PolicyInputs!$L$20-PolicyInputs!$K$20))</f>
        <v>0</v>
      </c>
      <c r="AD4" s="83">
        <f>(AD2+AD3)*IF(PolicyInputs!$K$20&gt;TransactionCosts!AD$1,0,(TransactionCosts!AD$1-PolicyInputs!$K$20)/(PolicyInputs!$L$20-PolicyInputs!$K$20))</f>
        <v>0</v>
      </c>
      <c r="AE4" s="83">
        <f>(AE2+AE3)*IF(PolicyInputs!$K$20&gt;TransactionCosts!AE$1,0,(TransactionCosts!AE$1-PolicyInputs!$K$20)/(PolicyInputs!$L$20-PolicyInputs!$K$20))</f>
        <v>0</v>
      </c>
      <c r="AF4" s="83">
        <f>(AF2+AF3)*IF(PolicyInputs!$K$20&gt;TransactionCosts!AF$1,0,(TransactionCosts!AF$1-PolicyInputs!$K$20)/(PolicyInputs!$L$20-PolicyInputs!$K$20))</f>
        <v>0</v>
      </c>
      <c r="AG4" s="83">
        <f>(AG2+AG3)*IF(PolicyInputs!$K$20&gt;TransactionCosts!AG$1,0,(TransactionCosts!AG$1-PolicyInputs!$K$20)/(PolicyInputs!$L$20-PolicyInputs!$K$20))</f>
        <v>0</v>
      </c>
      <c r="AH4" s="83">
        <f>(AH2+AH3)*IF(PolicyInputs!$K$20&gt;TransactionCosts!AH$1,0,(TransactionCosts!AH$1-PolicyInputs!$K$20)/(PolicyInputs!$L$20-PolicyInputs!$K$20))</f>
        <v>0</v>
      </c>
      <c r="AI4" s="83">
        <f>(AI2+AI3)*IF(PolicyInputs!$K$20&gt;TransactionCosts!AI$1,0,(TransactionCosts!AI$1-PolicyInputs!$K$20)/(PolicyInputs!$L$20-PolicyInputs!$K$20))</f>
        <v>0</v>
      </c>
      <c r="AJ4" s="83">
        <f>(AJ2+AJ3)*IF(PolicyInputs!$K$20&gt;TransactionCosts!AJ$1,0,(TransactionCosts!AJ$1-PolicyInputs!$K$20)/(PolicyInputs!$L$20-PolicyInputs!$K$20))</f>
        <v>0</v>
      </c>
    </row>
    <row r="5" spans="1:36">
      <c r="J5" s="102" t="s">
        <v>222</v>
      </c>
      <c r="K5" s="83">
        <f t="array" ref="K5:AJ5">TRANSPOSE(EconomicInputs!E4:E29)</f>
        <v>4914668.5854779789</v>
      </c>
      <c r="L5" s="83">
        <v>4963815.2713327594</v>
      </c>
      <c r="M5" s="83">
        <v>5010399.6578110112</v>
      </c>
      <c r="N5" s="83">
        <v>5069713.2174608633</v>
      </c>
      <c r="O5" s="83">
        <v>5120100.772731971</v>
      </c>
      <c r="P5" s="83">
        <v>5170884.7270039385</v>
      </c>
      <c r="Q5" s="83">
        <v>5222247.1655888865</v>
      </c>
      <c r="R5" s="83">
        <v>5274147.3086424097</v>
      </c>
      <c r="S5" s="83">
        <v>5326503.8714867225</v>
      </c>
      <c r="T5" s="28">
        <v>5379422.9931743992</v>
      </c>
      <c r="U5" s="28">
        <v>5432892.4069822878</v>
      </c>
      <c r="V5" s="28">
        <v>5486899.3869893709</v>
      </c>
      <c r="W5" s="28">
        <v>5541421.2023889655</v>
      </c>
      <c r="X5" s="28">
        <v>5596467.0336460629</v>
      </c>
      <c r="Y5" s="28">
        <v>5652013.0827127481</v>
      </c>
      <c r="Z5" s="28">
        <v>5708033.9207105776</v>
      </c>
      <c r="AA5" s="28">
        <v>5764517.9845888112</v>
      </c>
      <c r="AB5" s="28">
        <v>5821481.690325967</v>
      </c>
      <c r="AC5" s="28">
        <v>5878916.7235516282</v>
      </c>
      <c r="AD5" s="28">
        <v>5936853.3664186401</v>
      </c>
      <c r="AE5" s="28">
        <v>5995319.9491516333</v>
      </c>
      <c r="AF5" s="28">
        <v>6054300.9967961451</v>
      </c>
      <c r="AG5" s="28">
        <v>6113842.643620084</v>
      </c>
      <c r="AH5" s="28">
        <v>6173942.0712672025</v>
      </c>
      <c r="AI5" s="28">
        <v>6234651.8976805601</v>
      </c>
      <c r="AJ5" s="28">
        <v>6295987.0000792453</v>
      </c>
    </row>
    <row r="6" spans="1:36">
      <c r="A6" s="67" t="s">
        <v>190</v>
      </c>
      <c r="B6" s="67" t="s">
        <v>206</v>
      </c>
      <c r="C6" s="67" t="s">
        <v>193</v>
      </c>
      <c r="J6" s="102" t="s">
        <v>223</v>
      </c>
      <c r="K6" s="83">
        <f t="array" ref="K6:AJ6">TRANSPOSE(EconomicInputs!F4:F29)</f>
        <v>106</v>
      </c>
      <c r="L6" s="83">
        <v>114</v>
      </c>
      <c r="M6" s="83">
        <v>181</v>
      </c>
      <c r="N6" s="83">
        <v>379</v>
      </c>
      <c r="O6" s="83">
        <v>582</v>
      </c>
      <c r="P6" s="83">
        <v>1382.7168999351561</v>
      </c>
      <c r="Q6" s="83">
        <v>1742.9527540253475</v>
      </c>
      <c r="R6" s="83">
        <v>2082.7108839321882</v>
      </c>
      <c r="S6" s="83">
        <v>2488.4482348822057</v>
      </c>
      <c r="T6" s="28">
        <v>2859.2497444218025</v>
      </c>
      <c r="U6" s="28">
        <v>3212.658365720883</v>
      </c>
      <c r="V6" s="28">
        <v>3566.7290121177211</v>
      </c>
      <c r="W6" s="28">
        <v>3949.5747725386173</v>
      </c>
      <c r="X6" s="28">
        <v>4357.4512870563194</v>
      </c>
      <c r="Y6" s="28">
        <v>4819.6470697028562</v>
      </c>
      <c r="Z6" s="28">
        <v>5367.1363696977496</v>
      </c>
      <c r="AA6" s="28">
        <v>6017.0830622669309</v>
      </c>
      <c r="AB6" s="28">
        <v>6758.7280016224831</v>
      </c>
      <c r="AC6" s="28">
        <v>7606.0989592382684</v>
      </c>
      <c r="AD6" s="28">
        <v>8534.6843173345551</v>
      </c>
      <c r="AE6" s="28">
        <v>9521.9820917015895</v>
      </c>
      <c r="AF6" s="28">
        <v>10589.353759623133</v>
      </c>
      <c r="AG6" s="28">
        <v>11696.610441242345</v>
      </c>
      <c r="AH6" s="28">
        <v>12852.575334737077</v>
      </c>
      <c r="AI6" s="28">
        <v>14010.695387397893</v>
      </c>
      <c r="AJ6" s="28">
        <v>15162.218919392675</v>
      </c>
    </row>
    <row r="7" spans="1:36">
      <c r="A7" s="3" t="s">
        <v>191</v>
      </c>
      <c r="B7" s="3" t="s">
        <v>197</v>
      </c>
      <c r="C7" s="133">
        <v>0.3</v>
      </c>
      <c r="J7" s="102" t="s">
        <v>224</v>
      </c>
      <c r="K7" s="83">
        <f>MIN((K5+K6)*IF(PolicyInputs!$K$20&gt;TransactionCosts!K$1,0,(TransactionCosts!K$1-PolicyInputs!$K$20)/(PolicyInputs!$L$20-PolicyInputs!$K$20)),K5+K6)</f>
        <v>0</v>
      </c>
      <c r="L7" s="83">
        <f>MIN((L5+L6)*IF(PolicyInputs!$K$20&gt;TransactionCosts!L$1,0,(TransactionCosts!L$1-PolicyInputs!$K$20)/(PolicyInputs!$L$20-PolicyInputs!$K$20)),L5+L6)</f>
        <v>0</v>
      </c>
      <c r="M7" s="83">
        <f>MIN((M5+M6)*IF(PolicyInputs!$K$20&gt;TransactionCosts!M$1,0,(TransactionCosts!M$1-PolicyInputs!$K$20)/(PolicyInputs!$L$20-PolicyInputs!$K$20)),M5+M6)</f>
        <v>0</v>
      </c>
      <c r="N7" s="83">
        <f>MIN((N5+N6)*IF(PolicyInputs!$K$20&gt;TransactionCosts!N$1,0,(TransactionCosts!N$1-PolicyInputs!$K$20)/(PolicyInputs!$L$20-PolicyInputs!$K$20)),N5+N6)</f>
        <v>0</v>
      </c>
      <c r="O7" s="83">
        <f>MIN((O5+O6)*IF(PolicyInputs!$K$20&gt;TransactionCosts!O$1,0,(TransactionCosts!O$1-PolicyInputs!$K$20)/(PolicyInputs!$L$20-PolicyInputs!$K$20)),O5+O6)</f>
        <v>0</v>
      </c>
      <c r="P7" s="83">
        <f>MIN((P5+P6)*IF(PolicyInputs!$K$20&gt;TransactionCosts!P$1,0,(TransactionCosts!P$1-PolicyInputs!$K$20)/(PolicyInputs!$L$20-PolicyInputs!$K$20)),P5+P6)</f>
        <v>0</v>
      </c>
      <c r="Q7" s="83">
        <f>MIN((Q5+Q6)*IF(PolicyInputs!$K$20&gt;TransactionCosts!Q$1,0,(TransactionCosts!Q$1-PolicyInputs!$K$20)/(PolicyInputs!$L$20-PolicyInputs!$K$20)),Q5+Q6)</f>
        <v>0</v>
      </c>
      <c r="R7" s="83">
        <f>MIN((R5+R6)*IF(PolicyInputs!$K$20&gt;TransactionCosts!R$1,0,(TransactionCosts!R$1-PolicyInputs!$K$20)/(PolicyInputs!$L$20-PolicyInputs!$K$20)),R5+R6)</f>
        <v>0</v>
      </c>
      <c r="S7" s="83">
        <f>MIN((S5+S6)*IF(PolicyInputs!$K$20&gt;TransactionCosts!S$1,0,(TransactionCosts!S$1-PolicyInputs!$K$20)/(PolicyInputs!$L$20-PolicyInputs!$K$20)),S5+S6)</f>
        <v>0</v>
      </c>
      <c r="T7" s="83">
        <f>MIN((T5+T6)*IF(PolicyInputs!$K$20&gt;TransactionCosts!T$1,0,(TransactionCosts!T$1-PolicyInputs!$K$20)/(PolicyInputs!$L$20-PolicyInputs!$K$20)),T5+T6)</f>
        <v>0</v>
      </c>
      <c r="U7" s="83">
        <f>MIN((U5+U6)*IF(PolicyInputs!$K$20&gt;TransactionCosts!U$1,0,(TransactionCosts!U$1-PolicyInputs!$K$20)/(PolicyInputs!$L$20-PolicyInputs!$K$20)),U5+U6)</f>
        <v>0</v>
      </c>
      <c r="V7" s="83">
        <f>MIN((V5+V6)*IF(PolicyInputs!$K$20&gt;TransactionCosts!V$1,0,(TransactionCosts!V$1-PolicyInputs!$K$20)/(PolicyInputs!$L$20-PolicyInputs!$K$20)),V5+V6)</f>
        <v>0</v>
      </c>
      <c r="W7" s="83">
        <f>MIN((W5+W6)*IF(PolicyInputs!$K$20&gt;TransactionCosts!W$1,0,(TransactionCosts!W$1-PolicyInputs!$K$20)/(PolicyInputs!$L$20-PolicyInputs!$K$20)),W5+W6)</f>
        <v>0</v>
      </c>
      <c r="X7" s="83">
        <f>MIN((X5+X6)*IF(PolicyInputs!$K$20&gt;TransactionCosts!X$1,0,(TransactionCosts!X$1-PolicyInputs!$K$20)/(PolicyInputs!$L$20-PolicyInputs!$K$20)),X5+X6)</f>
        <v>0</v>
      </c>
      <c r="Y7" s="83">
        <f>MIN((Y5+Y6)*IF(PolicyInputs!$K$20&gt;TransactionCosts!Y$1,0,(TransactionCosts!Y$1-PolicyInputs!$K$20)/(PolicyInputs!$L$20-PolicyInputs!$K$20)),Y5+Y6)</f>
        <v>0</v>
      </c>
      <c r="Z7" s="83">
        <f>MIN((Z5+Z6)*IF(PolicyInputs!$K$20&gt;TransactionCosts!Z$1,0,(TransactionCosts!Z$1-PolicyInputs!$K$20)/(PolicyInputs!$L$20-PolicyInputs!$K$20)),Z5+Z6)</f>
        <v>0</v>
      </c>
      <c r="AA7" s="83">
        <f>MIN((AA5+AA6)*IF(PolicyInputs!$K$20&gt;TransactionCosts!AA$1,0,(TransactionCosts!AA$1-PolicyInputs!$K$20)/(PolicyInputs!$L$20-PolicyInputs!$K$20)),AA5+AA6)</f>
        <v>0</v>
      </c>
      <c r="AB7" s="83">
        <f>MIN((AB5+AB6)*IF(PolicyInputs!$K$20&gt;TransactionCosts!AB$1,0,(TransactionCosts!AB$1-PolicyInputs!$K$20)/(PolicyInputs!$L$20-PolicyInputs!$K$20)),AB5+AB6)</f>
        <v>0</v>
      </c>
      <c r="AC7" s="83">
        <f>MIN((AC5+AC6)*IF(PolicyInputs!$K$20&gt;TransactionCosts!AC$1,0,(TransactionCosts!AC$1-PolicyInputs!$K$20)/(PolicyInputs!$L$20-PolicyInputs!$K$20)),AC5+AC6)</f>
        <v>0</v>
      </c>
      <c r="AD7" s="83">
        <f>MIN((AD5+AD6)*IF(PolicyInputs!$K$20&gt;TransactionCosts!AD$1,0,(TransactionCosts!AD$1-PolicyInputs!$K$20)/(PolicyInputs!$L$20-PolicyInputs!$K$20)),AD5+AD6)</f>
        <v>0</v>
      </c>
      <c r="AE7" s="83">
        <f>MIN((AE5+AE6)*IF(PolicyInputs!$K$20&gt;TransactionCosts!AE$1,0,(TransactionCosts!AE$1-PolicyInputs!$K$20)/(PolicyInputs!$L$20-PolicyInputs!$K$20)),AE5+AE6)</f>
        <v>0</v>
      </c>
      <c r="AF7" s="83">
        <f>MIN((AF5+AF6)*IF(PolicyInputs!$K$20&gt;TransactionCosts!AF$1,0,(TransactionCosts!AF$1-PolicyInputs!$K$20)/(PolicyInputs!$L$20-PolicyInputs!$K$20)),AF5+AF6)</f>
        <v>0</v>
      </c>
      <c r="AG7" s="83">
        <f>MIN((AG5+AG6)*IF(PolicyInputs!$K$20&gt;TransactionCosts!AG$1,0,(TransactionCosts!AG$1-PolicyInputs!$K$20)/(PolicyInputs!$L$20-PolicyInputs!$K$20)),AG5+AG6)</f>
        <v>0</v>
      </c>
      <c r="AH7" s="83">
        <f>MIN((AH5+AH6)*IF(PolicyInputs!$K$20&gt;TransactionCosts!AH$1,0,(TransactionCosts!AH$1-PolicyInputs!$K$20)/(PolicyInputs!$L$20-PolicyInputs!$K$20)),AH5+AH6)</f>
        <v>0</v>
      </c>
      <c r="AI7" s="83">
        <f>MIN((AI5+AI6)*IF(PolicyInputs!$K$20&gt;TransactionCosts!AI$1,0,(TransactionCosts!AI$1-PolicyInputs!$K$20)/(PolicyInputs!$L$20-PolicyInputs!$K$20)),AI5+AI6)</f>
        <v>0</v>
      </c>
      <c r="AJ7" s="83">
        <f>MIN((AJ5+AJ6)*IF(PolicyInputs!$K$20&gt;TransactionCosts!AJ$1,0,(TransactionCosts!AJ$1-PolicyInputs!$K$20)/(PolicyInputs!$L$20-PolicyInputs!$K$20)),AJ5+AJ6)</f>
        <v>0</v>
      </c>
    </row>
    <row r="8" spans="1:36">
      <c r="A8" s="3" t="s">
        <v>191</v>
      </c>
      <c r="B8" s="3" t="s">
        <v>203</v>
      </c>
      <c r="C8" s="133">
        <v>0.35</v>
      </c>
      <c r="J8" s="102" t="s">
        <v>225</v>
      </c>
      <c r="K8" s="83">
        <f>IF(K7=0,0,K4/K7)</f>
        <v>0</v>
      </c>
      <c r="L8" s="83">
        <f t="shared" ref="L8:AJ8" si="0">IF(L7=0,0,L4/L7)</f>
        <v>0</v>
      </c>
      <c r="M8" s="83">
        <f t="shared" si="0"/>
        <v>0</v>
      </c>
      <c r="N8" s="83">
        <f t="shared" si="0"/>
        <v>0</v>
      </c>
      <c r="O8" s="83">
        <f t="shared" si="0"/>
        <v>0</v>
      </c>
      <c r="P8" s="83">
        <f t="shared" si="0"/>
        <v>0</v>
      </c>
      <c r="Q8" s="83">
        <f t="shared" si="0"/>
        <v>0</v>
      </c>
      <c r="R8" s="83">
        <f t="shared" si="0"/>
        <v>0</v>
      </c>
      <c r="S8" s="83">
        <f t="shared" si="0"/>
        <v>0</v>
      </c>
      <c r="T8" s="83">
        <f t="shared" si="0"/>
        <v>0</v>
      </c>
      <c r="U8" s="83">
        <f t="shared" si="0"/>
        <v>0</v>
      </c>
      <c r="V8" s="83">
        <f t="shared" si="0"/>
        <v>0</v>
      </c>
      <c r="W8" s="83">
        <f t="shared" si="0"/>
        <v>0</v>
      </c>
      <c r="X8" s="83">
        <f t="shared" si="0"/>
        <v>0</v>
      </c>
      <c r="Y8" s="83">
        <f t="shared" si="0"/>
        <v>0</v>
      </c>
      <c r="Z8" s="83">
        <f t="shared" si="0"/>
        <v>0</v>
      </c>
      <c r="AA8" s="83">
        <f t="shared" si="0"/>
        <v>0</v>
      </c>
      <c r="AB8" s="83">
        <f t="shared" si="0"/>
        <v>0</v>
      </c>
      <c r="AC8" s="83">
        <f t="shared" si="0"/>
        <v>0</v>
      </c>
      <c r="AD8" s="83">
        <f t="shared" si="0"/>
        <v>0</v>
      </c>
      <c r="AE8" s="83">
        <f t="shared" si="0"/>
        <v>0</v>
      </c>
      <c r="AF8" s="83">
        <f t="shared" si="0"/>
        <v>0</v>
      </c>
      <c r="AG8" s="83">
        <f t="shared" si="0"/>
        <v>0</v>
      </c>
      <c r="AH8" s="83">
        <f t="shared" si="0"/>
        <v>0</v>
      </c>
      <c r="AI8" s="83">
        <f t="shared" si="0"/>
        <v>0</v>
      </c>
      <c r="AJ8" s="83">
        <f t="shared" si="0"/>
        <v>0</v>
      </c>
    </row>
    <row r="9" spans="1:36">
      <c r="A9" s="3" t="s">
        <v>191</v>
      </c>
      <c r="B9" s="3" t="s">
        <v>204</v>
      </c>
      <c r="C9" s="76">
        <f>1-C8-C7</f>
        <v>0.35000000000000003</v>
      </c>
      <c r="J9" s="102" t="s">
        <v>226</v>
      </c>
      <c r="K9" s="43">
        <v>0</v>
      </c>
      <c r="L9" s="103">
        <v>0</v>
      </c>
      <c r="M9" s="103">
        <v>0</v>
      </c>
      <c r="N9" s="103">
        <v>0</v>
      </c>
      <c r="O9" s="103">
        <v>0</v>
      </c>
      <c r="P9" s="103">
        <f>PolicyInputs!P20</f>
        <v>0</v>
      </c>
      <c r="Q9" s="103">
        <f>PolicyInputs!Q20</f>
        <v>0</v>
      </c>
      <c r="R9" s="103">
        <f>PolicyInputs!R20</f>
        <v>0</v>
      </c>
      <c r="S9" s="103">
        <f>PolicyInputs!S20</f>
        <v>0</v>
      </c>
      <c r="T9" s="103">
        <f>PolicyInputs!T20</f>
        <v>0</v>
      </c>
      <c r="U9" s="103">
        <f>PolicyInputs!U20</f>
        <v>0</v>
      </c>
      <c r="V9" s="103">
        <f>PolicyInputs!V20</f>
        <v>0</v>
      </c>
      <c r="W9" s="103">
        <f>PolicyInputs!W20</f>
        <v>0</v>
      </c>
      <c r="X9" s="103">
        <f>PolicyInputs!X20</f>
        <v>0</v>
      </c>
      <c r="Y9" s="103">
        <f>PolicyInputs!Y20</f>
        <v>0</v>
      </c>
      <c r="Z9" s="103">
        <f>PolicyInputs!Z20</f>
        <v>0</v>
      </c>
      <c r="AA9" s="103">
        <f>PolicyInputs!AA20</f>
        <v>0</v>
      </c>
      <c r="AB9" s="103">
        <f>PolicyInputs!AB20</f>
        <v>0</v>
      </c>
      <c r="AC9" s="103">
        <f>PolicyInputs!AC20</f>
        <v>0</v>
      </c>
      <c r="AD9" s="103">
        <f>PolicyInputs!AD20</f>
        <v>0</v>
      </c>
      <c r="AE9" s="103">
        <f>PolicyInputs!AE20</f>
        <v>0</v>
      </c>
      <c r="AF9" s="103">
        <f>PolicyInputs!AF20</f>
        <v>0</v>
      </c>
      <c r="AG9" s="103">
        <f>PolicyInputs!AG20</f>
        <v>0</v>
      </c>
      <c r="AH9" s="103">
        <f>PolicyInputs!AH20</f>
        <v>0</v>
      </c>
      <c r="AI9" s="103">
        <f>PolicyInputs!AI20</f>
        <v>0</v>
      </c>
      <c r="AJ9" s="103">
        <f>PolicyInputs!AJ20</f>
        <v>0</v>
      </c>
    </row>
    <row r="10" spans="1:36">
      <c r="A10" s="3" t="s">
        <v>207</v>
      </c>
      <c r="B10" s="3" t="s">
        <v>203</v>
      </c>
      <c r="C10" s="133">
        <v>0.25</v>
      </c>
      <c r="J10" s="102" t="s">
        <v>227</v>
      </c>
      <c r="K10" s="104">
        <f>K8*K9</f>
        <v>0</v>
      </c>
      <c r="L10" s="104">
        <f t="shared" ref="L10:AJ10" si="1">L8*L9</f>
        <v>0</v>
      </c>
      <c r="M10" s="104">
        <f t="shared" si="1"/>
        <v>0</v>
      </c>
      <c r="N10" s="104">
        <f t="shared" si="1"/>
        <v>0</v>
      </c>
      <c r="O10" s="104">
        <f t="shared" si="1"/>
        <v>0</v>
      </c>
      <c r="P10" s="104">
        <f t="shared" si="1"/>
        <v>0</v>
      </c>
      <c r="Q10" s="104">
        <f t="shared" si="1"/>
        <v>0</v>
      </c>
      <c r="R10" s="104">
        <f t="shared" si="1"/>
        <v>0</v>
      </c>
      <c r="S10" s="104">
        <f t="shared" si="1"/>
        <v>0</v>
      </c>
      <c r="T10" s="104">
        <f t="shared" si="1"/>
        <v>0</v>
      </c>
      <c r="U10" s="104">
        <f t="shared" si="1"/>
        <v>0</v>
      </c>
      <c r="V10" s="104">
        <f t="shared" si="1"/>
        <v>0</v>
      </c>
      <c r="W10" s="104">
        <f t="shared" si="1"/>
        <v>0</v>
      </c>
      <c r="X10" s="104">
        <f t="shared" si="1"/>
        <v>0</v>
      </c>
      <c r="Y10" s="104">
        <f t="shared" si="1"/>
        <v>0</v>
      </c>
      <c r="Z10" s="104">
        <f t="shared" si="1"/>
        <v>0</v>
      </c>
      <c r="AA10" s="104">
        <f t="shared" si="1"/>
        <v>0</v>
      </c>
      <c r="AB10" s="104">
        <f t="shared" si="1"/>
        <v>0</v>
      </c>
      <c r="AC10" s="104">
        <f t="shared" si="1"/>
        <v>0</v>
      </c>
      <c r="AD10" s="104">
        <f t="shared" si="1"/>
        <v>0</v>
      </c>
      <c r="AE10" s="104">
        <f t="shared" si="1"/>
        <v>0</v>
      </c>
      <c r="AF10" s="104">
        <f t="shared" si="1"/>
        <v>0</v>
      </c>
      <c r="AG10" s="104">
        <f t="shared" si="1"/>
        <v>0</v>
      </c>
      <c r="AH10" s="104">
        <f t="shared" si="1"/>
        <v>0</v>
      </c>
      <c r="AI10" s="104">
        <f t="shared" si="1"/>
        <v>0</v>
      </c>
      <c r="AJ10" s="104">
        <f t="shared" si="1"/>
        <v>0</v>
      </c>
    </row>
    <row r="11" spans="1:36">
      <c r="A11" s="3" t="s">
        <v>207</v>
      </c>
      <c r="B11" s="3" t="s">
        <v>204</v>
      </c>
      <c r="C11" s="76">
        <f>1-C10</f>
        <v>0.75</v>
      </c>
      <c r="J11" s="102" t="s">
        <v>236</v>
      </c>
      <c r="K11" s="83">
        <v>0</v>
      </c>
      <c r="L11" s="83">
        <v>0</v>
      </c>
      <c r="M11" s="83">
        <v>0</v>
      </c>
      <c r="N11" s="83">
        <v>0</v>
      </c>
      <c r="O11" s="83">
        <v>0</v>
      </c>
      <c r="P11" s="105">
        <f t="array" ref="P11:AJ11">TRANSPOSE(TechnicalInputs!D42:D62)</f>
        <v>0.25</v>
      </c>
      <c r="Q11" s="105">
        <v>0.25</v>
      </c>
      <c r="R11" s="105">
        <v>0.25</v>
      </c>
      <c r="S11" s="105">
        <v>0.2</v>
      </c>
      <c r="T11" s="65">
        <v>0.2</v>
      </c>
      <c r="U11" s="65">
        <v>0.15</v>
      </c>
      <c r="V11" s="65">
        <v>0.1</v>
      </c>
      <c r="W11" s="65">
        <v>0.09</v>
      </c>
      <c r="X11" s="65">
        <v>0.08</v>
      </c>
      <c r="Y11" s="65">
        <v>7.0000000000000007E-2</v>
      </c>
      <c r="Z11" s="65">
        <v>0.06</v>
      </c>
      <c r="AA11" s="65">
        <v>0.05</v>
      </c>
      <c r="AB11" s="65">
        <v>0.04</v>
      </c>
      <c r="AC11" s="65">
        <v>0.03</v>
      </c>
      <c r="AD11" s="65">
        <v>0.03</v>
      </c>
      <c r="AE11" s="65">
        <v>0.03</v>
      </c>
      <c r="AF11" s="65">
        <v>0.03</v>
      </c>
      <c r="AG11" s="65">
        <v>0.03</v>
      </c>
      <c r="AH11" s="65">
        <v>0.03</v>
      </c>
      <c r="AI11" s="65">
        <v>0.03</v>
      </c>
      <c r="AJ11" s="65">
        <v>0.03</v>
      </c>
    </row>
    <row r="12" spans="1:36">
      <c r="A12" s="1"/>
      <c r="B12" s="1"/>
      <c r="C12" s="1"/>
      <c r="F12" s="262" t="s">
        <v>361</v>
      </c>
      <c r="J12" s="102" t="s">
        <v>237</v>
      </c>
      <c r="K12" s="106">
        <v>0</v>
      </c>
      <c r="L12" s="106">
        <v>0</v>
      </c>
      <c r="M12" s="106">
        <v>0</v>
      </c>
      <c r="N12" s="106">
        <v>0</v>
      </c>
      <c r="O12" s="106">
        <v>0</v>
      </c>
      <c r="P12" s="106">
        <f t="array" ref="P12:AJ12">TRANSPOSE(TechnicalInputs!D66:D86)</f>
        <v>5</v>
      </c>
      <c r="Q12" s="106">
        <v>4</v>
      </c>
      <c r="R12" s="106">
        <v>3</v>
      </c>
      <c r="S12" s="106">
        <v>2</v>
      </c>
      <c r="T12" s="38">
        <v>1.5</v>
      </c>
      <c r="U12" s="38">
        <v>1</v>
      </c>
      <c r="V12" s="38">
        <v>0.5</v>
      </c>
      <c r="W12" s="38">
        <v>0.5</v>
      </c>
      <c r="X12" s="38">
        <v>0.5</v>
      </c>
      <c r="Y12" s="38">
        <v>0.5</v>
      </c>
      <c r="Z12" s="38">
        <v>0.5</v>
      </c>
      <c r="AA12" s="38">
        <v>0.5</v>
      </c>
      <c r="AB12" s="38">
        <v>0.5</v>
      </c>
      <c r="AC12" s="38">
        <v>0.5</v>
      </c>
      <c r="AD12" s="38">
        <v>0.5</v>
      </c>
      <c r="AE12" s="38">
        <v>0.5</v>
      </c>
      <c r="AF12" s="38">
        <v>0.5</v>
      </c>
      <c r="AG12" s="38">
        <v>0.5</v>
      </c>
      <c r="AH12" s="38">
        <v>0.5</v>
      </c>
      <c r="AI12" s="38">
        <v>0.5</v>
      </c>
      <c r="AJ12" s="38">
        <v>0.5</v>
      </c>
    </row>
    <row r="13" spans="1:36">
      <c r="A13" s="67" t="s">
        <v>190</v>
      </c>
      <c r="B13" s="67" t="s">
        <v>206</v>
      </c>
      <c r="C13" s="67" t="s">
        <v>205</v>
      </c>
      <c r="D13" s="72" t="s">
        <v>193</v>
      </c>
      <c r="F13" s="262"/>
      <c r="J13" s="74"/>
      <c r="K13" s="75"/>
      <c r="L13" s="75"/>
      <c r="M13" s="75"/>
      <c r="N13" s="8"/>
      <c r="O13" s="74"/>
      <c r="P13" s="75"/>
      <c r="Q13" s="75"/>
      <c r="R13" s="75"/>
      <c r="S13" s="8"/>
    </row>
    <row r="14" spans="1:36">
      <c r="A14" s="3" t="s">
        <v>191</v>
      </c>
      <c r="B14" s="3" t="s">
        <v>197</v>
      </c>
      <c r="C14" s="3">
        <v>1</v>
      </c>
      <c r="D14" s="133">
        <v>1</v>
      </c>
      <c r="F14" s="3" t="s">
        <v>358</v>
      </c>
      <c r="J14" s="74"/>
      <c r="K14" s="75"/>
      <c r="L14" s="75"/>
      <c r="M14" s="75"/>
      <c r="N14" s="8"/>
      <c r="O14" s="74"/>
      <c r="P14" s="75"/>
      <c r="Q14" s="75"/>
      <c r="R14" s="75"/>
      <c r="S14" s="8"/>
    </row>
    <row r="15" spans="1:36">
      <c r="A15" s="3" t="s">
        <v>191</v>
      </c>
      <c r="B15" s="3" t="s">
        <v>197</v>
      </c>
      <c r="C15" s="3">
        <v>2</v>
      </c>
      <c r="D15" s="133">
        <v>0</v>
      </c>
      <c r="F15" s="3" t="s">
        <v>359</v>
      </c>
      <c r="J15" s="74"/>
      <c r="K15" s="75"/>
      <c r="L15" s="75"/>
      <c r="M15" s="75"/>
      <c r="N15" s="8"/>
      <c r="O15" s="74"/>
      <c r="P15" s="75"/>
      <c r="Q15" s="75"/>
      <c r="R15" s="75"/>
      <c r="S15" s="8"/>
    </row>
    <row r="16" spans="1:36">
      <c r="A16" s="3" t="s">
        <v>191</v>
      </c>
      <c r="B16" s="3" t="s">
        <v>197</v>
      </c>
      <c r="C16" s="3">
        <v>4</v>
      </c>
      <c r="D16" s="76">
        <f>1-D15-D14</f>
        <v>0</v>
      </c>
      <c r="F16" s="3" t="s">
        <v>360</v>
      </c>
      <c r="J16" s="74"/>
      <c r="K16" s="75"/>
      <c r="L16" s="75"/>
      <c r="M16" s="75"/>
      <c r="N16" s="8"/>
      <c r="O16" s="74"/>
      <c r="P16" s="75"/>
      <c r="Q16" s="75"/>
      <c r="R16" s="75"/>
      <c r="S16" s="8"/>
    </row>
    <row r="17" spans="1:133">
      <c r="A17" s="3" t="s">
        <v>191</v>
      </c>
      <c r="B17" s="3" t="s">
        <v>203</v>
      </c>
      <c r="C17" s="3">
        <v>1</v>
      </c>
      <c r="D17" s="133">
        <v>0.4</v>
      </c>
      <c r="J17" s="74"/>
      <c r="K17" s="75"/>
      <c r="L17" s="75"/>
      <c r="M17" s="75"/>
      <c r="N17" s="8"/>
      <c r="O17" s="74"/>
      <c r="P17" s="75"/>
      <c r="Q17" s="75"/>
      <c r="R17" s="75"/>
      <c r="S17" s="8"/>
    </row>
    <row r="18" spans="1:133">
      <c r="A18" s="3" t="s">
        <v>191</v>
      </c>
      <c r="B18" s="3" t="s">
        <v>203</v>
      </c>
      <c r="C18" s="3">
        <v>2</v>
      </c>
      <c r="D18" s="133">
        <v>0.4</v>
      </c>
      <c r="J18" s="74"/>
      <c r="K18" s="75"/>
      <c r="L18" s="75"/>
      <c r="M18" s="75"/>
      <c r="N18" s="8"/>
      <c r="O18" s="74"/>
      <c r="P18" s="75"/>
      <c r="Q18" s="75"/>
      <c r="R18" s="75"/>
      <c r="S18" s="8"/>
    </row>
    <row r="19" spans="1:133">
      <c r="A19" s="3" t="s">
        <v>191</v>
      </c>
      <c r="B19" s="3" t="s">
        <v>203</v>
      </c>
      <c r="C19" s="3">
        <v>4</v>
      </c>
      <c r="D19" s="76">
        <f>1-D18-D17</f>
        <v>0.19999999999999996</v>
      </c>
      <c r="J19" s="74"/>
      <c r="K19" s="75"/>
      <c r="L19" s="75"/>
      <c r="M19" s="75"/>
      <c r="N19" s="8"/>
      <c r="O19" s="74"/>
      <c r="P19" s="75"/>
      <c r="Q19" s="75"/>
      <c r="R19" s="75"/>
      <c r="S19" s="8"/>
    </row>
    <row r="20" spans="1:133">
      <c r="A20" s="3" t="s">
        <v>191</v>
      </c>
      <c r="B20" s="3" t="s">
        <v>204</v>
      </c>
      <c r="C20" s="3">
        <v>1</v>
      </c>
      <c r="D20" s="133">
        <v>0.4</v>
      </c>
      <c r="J20" s="74"/>
      <c r="K20" s="75"/>
      <c r="L20" s="75"/>
      <c r="M20" s="75"/>
      <c r="N20" s="8"/>
      <c r="O20" s="74"/>
      <c r="P20" s="75"/>
      <c r="Q20" s="75"/>
      <c r="R20" s="75"/>
      <c r="S20" s="8"/>
    </row>
    <row r="21" spans="1:133">
      <c r="A21" s="3" t="s">
        <v>191</v>
      </c>
      <c r="B21" s="3" t="s">
        <v>204</v>
      </c>
      <c r="C21" s="3">
        <v>2</v>
      </c>
      <c r="D21" s="133">
        <v>0.4</v>
      </c>
      <c r="J21" s="74"/>
      <c r="K21" s="75"/>
      <c r="L21" s="75"/>
      <c r="M21" s="75"/>
      <c r="N21" s="8"/>
      <c r="O21" s="74"/>
      <c r="P21" s="75"/>
      <c r="Q21" s="75"/>
      <c r="R21" s="75"/>
      <c r="S21" s="8"/>
    </row>
    <row r="22" spans="1:133">
      <c r="A22" s="3" t="s">
        <v>191</v>
      </c>
      <c r="B22" s="3" t="s">
        <v>204</v>
      </c>
      <c r="C22" s="3">
        <v>4</v>
      </c>
      <c r="D22" s="76">
        <f>1-D21-D20</f>
        <v>0.19999999999999996</v>
      </c>
      <c r="J22" s="74"/>
      <c r="K22" s="75"/>
      <c r="L22" s="75"/>
      <c r="M22" s="75"/>
      <c r="N22" s="8"/>
      <c r="O22" s="74"/>
      <c r="P22" s="75"/>
      <c r="Q22" s="75"/>
      <c r="R22" s="75"/>
      <c r="S22" s="8"/>
    </row>
    <row r="23" spans="1:133">
      <c r="A23" s="3" t="s">
        <v>192</v>
      </c>
      <c r="B23" s="3" t="s">
        <v>203</v>
      </c>
      <c r="C23" s="3">
        <v>1</v>
      </c>
      <c r="D23" s="133">
        <v>0.4</v>
      </c>
      <c r="J23" s="74"/>
      <c r="K23" s="75"/>
      <c r="L23" s="75"/>
      <c r="M23" s="75"/>
      <c r="N23" s="8"/>
      <c r="O23" s="74"/>
      <c r="P23" s="75"/>
      <c r="Q23" s="75"/>
      <c r="R23" s="75"/>
      <c r="S23" s="8"/>
    </row>
    <row r="24" spans="1:133">
      <c r="A24" s="3" t="s">
        <v>192</v>
      </c>
      <c r="B24" s="3" t="s">
        <v>203</v>
      </c>
      <c r="C24" s="3">
        <v>2</v>
      </c>
      <c r="D24" s="133">
        <v>0.4</v>
      </c>
      <c r="J24" s="74"/>
      <c r="K24" s="75"/>
      <c r="L24" s="75"/>
      <c r="M24" s="75"/>
      <c r="N24" s="8"/>
      <c r="O24" s="74"/>
      <c r="P24" s="75"/>
      <c r="Q24" s="75"/>
      <c r="R24" s="75"/>
      <c r="S24" s="8"/>
    </row>
    <row r="25" spans="1:133">
      <c r="A25" s="3" t="s">
        <v>192</v>
      </c>
      <c r="B25" s="3" t="s">
        <v>203</v>
      </c>
      <c r="C25" s="3">
        <v>4</v>
      </c>
      <c r="D25" s="76">
        <f>1-D24-D23</f>
        <v>0.19999999999999996</v>
      </c>
      <c r="J25" s="74"/>
      <c r="K25" s="75"/>
      <c r="L25" s="75"/>
      <c r="M25" s="75"/>
      <c r="N25" s="8"/>
      <c r="O25" s="74"/>
      <c r="P25" s="75"/>
      <c r="Q25" s="75"/>
      <c r="R25" s="75"/>
      <c r="S25" s="8"/>
    </row>
    <row r="26" spans="1:133">
      <c r="A26" s="3" t="s">
        <v>192</v>
      </c>
      <c r="B26" s="3" t="s">
        <v>204</v>
      </c>
      <c r="C26" s="3">
        <v>1</v>
      </c>
      <c r="D26" s="133">
        <v>0.4</v>
      </c>
      <c r="J26" s="74"/>
      <c r="K26" s="75"/>
      <c r="L26" s="75"/>
      <c r="M26" s="75"/>
      <c r="N26" s="8"/>
      <c r="O26" s="74"/>
      <c r="P26" s="75"/>
      <c r="Q26" s="75"/>
      <c r="R26" s="75"/>
      <c r="S26" s="8"/>
    </row>
    <row r="27" spans="1:133">
      <c r="A27" s="3" t="s">
        <v>192</v>
      </c>
      <c r="B27" s="3" t="s">
        <v>204</v>
      </c>
      <c r="C27" s="3">
        <v>2</v>
      </c>
      <c r="D27" s="133">
        <v>0.4</v>
      </c>
      <c r="J27" s="74"/>
      <c r="K27" s="75"/>
      <c r="L27" s="75"/>
      <c r="M27" s="75"/>
      <c r="N27" s="8"/>
      <c r="O27" s="74"/>
      <c r="P27" s="75"/>
      <c r="Q27" s="75"/>
      <c r="R27" s="75"/>
      <c r="S27" s="8"/>
    </row>
    <row r="28" spans="1:133">
      <c r="A28" s="3" t="s">
        <v>192</v>
      </c>
      <c r="B28" s="3" t="s">
        <v>204</v>
      </c>
      <c r="C28" s="3">
        <v>4</v>
      </c>
      <c r="D28" s="76">
        <f>1-D27-D26</f>
        <v>0.19999999999999996</v>
      </c>
      <c r="J28" s="74"/>
      <c r="K28" s="75"/>
      <c r="L28" s="75"/>
      <c r="M28" s="75"/>
      <c r="N28" s="8"/>
      <c r="O28" s="74"/>
      <c r="P28" s="75"/>
      <c r="Q28" s="75"/>
      <c r="R28" s="75"/>
      <c r="S28" s="8"/>
    </row>
    <row r="29" spans="1:133">
      <c r="A29" s="1"/>
      <c r="B29" s="1"/>
      <c r="C29" s="1"/>
      <c r="J29" s="74"/>
      <c r="K29" s="75"/>
      <c r="L29" s="75"/>
      <c r="M29" s="75"/>
      <c r="N29" s="230" t="s">
        <v>228</v>
      </c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30"/>
      <c r="AG29" s="230"/>
      <c r="AH29" s="230"/>
      <c r="AI29" s="230" t="s">
        <v>232</v>
      </c>
      <c r="AJ29" s="230"/>
      <c r="AK29" s="230"/>
      <c r="AL29" s="230"/>
      <c r="AM29" s="230"/>
      <c r="AN29" s="230"/>
      <c r="AO29" s="230"/>
      <c r="AP29" s="230"/>
      <c r="AQ29" s="230"/>
      <c r="AR29" s="230"/>
      <c r="AS29" s="230"/>
      <c r="AT29" s="230"/>
      <c r="AU29" s="230"/>
      <c r="AV29" s="230"/>
      <c r="AW29" s="230"/>
      <c r="AX29" s="230"/>
      <c r="AY29" s="230"/>
      <c r="AZ29" s="230"/>
      <c r="BA29" s="230"/>
      <c r="BB29" s="230"/>
      <c r="BC29" s="230"/>
      <c r="BD29" s="259" t="s">
        <v>233</v>
      </c>
      <c r="BE29" s="260"/>
      <c r="BF29" s="260"/>
      <c r="BG29" s="260"/>
      <c r="BH29" s="260"/>
      <c r="BI29" s="260"/>
      <c r="BJ29" s="260"/>
      <c r="BK29" s="260"/>
      <c r="BL29" s="260"/>
      <c r="BM29" s="260"/>
      <c r="BN29" s="260"/>
      <c r="BO29" s="260"/>
      <c r="BP29" s="260"/>
      <c r="BQ29" s="260"/>
      <c r="BR29" s="260"/>
      <c r="BS29" s="260"/>
      <c r="BT29" s="260"/>
      <c r="BU29" s="260"/>
      <c r="BV29" s="260"/>
      <c r="BW29" s="260"/>
      <c r="BX29" s="261"/>
      <c r="BY29" s="259" t="s">
        <v>234</v>
      </c>
      <c r="BZ29" s="260"/>
      <c r="CA29" s="260"/>
      <c r="CB29" s="260"/>
      <c r="CC29" s="260"/>
      <c r="CD29" s="260"/>
      <c r="CE29" s="260"/>
      <c r="CF29" s="260"/>
      <c r="CG29" s="260"/>
      <c r="CH29" s="260"/>
      <c r="CI29" s="260"/>
      <c r="CJ29" s="260"/>
      <c r="CK29" s="260"/>
      <c r="CL29" s="260"/>
      <c r="CM29" s="260"/>
      <c r="CN29" s="260"/>
      <c r="CO29" s="260"/>
      <c r="CP29" s="260"/>
      <c r="CQ29" s="260"/>
      <c r="CR29" s="260"/>
      <c r="CS29" s="261"/>
      <c r="CT29" s="259" t="s">
        <v>235</v>
      </c>
      <c r="CU29" s="260"/>
      <c r="CV29" s="260"/>
      <c r="CW29" s="260"/>
      <c r="CX29" s="260"/>
      <c r="CY29" s="260"/>
      <c r="CZ29" s="260"/>
      <c r="DA29" s="260"/>
      <c r="DB29" s="260"/>
      <c r="DC29" s="260"/>
      <c r="DD29" s="260"/>
      <c r="DE29" s="260"/>
      <c r="DF29" s="260"/>
      <c r="DG29" s="260"/>
      <c r="DH29" s="260"/>
      <c r="DI29" s="260"/>
      <c r="DJ29" s="260"/>
      <c r="DK29" s="260"/>
      <c r="DL29" s="260"/>
      <c r="DM29" s="260"/>
      <c r="DN29" s="261"/>
    </row>
    <row r="30" spans="1:133">
      <c r="A30" s="67" t="s">
        <v>194</v>
      </c>
      <c r="B30" s="67" t="s">
        <v>209</v>
      </c>
      <c r="C30" s="67" t="s">
        <v>195</v>
      </c>
      <c r="D30" s="67" t="s">
        <v>209</v>
      </c>
      <c r="E30" s="67" t="s">
        <v>205</v>
      </c>
      <c r="F30" s="67" t="s">
        <v>209</v>
      </c>
      <c r="G30" s="67" t="s">
        <v>196</v>
      </c>
      <c r="H30" s="67" t="s">
        <v>209</v>
      </c>
      <c r="I30" s="67" t="s">
        <v>209</v>
      </c>
      <c r="J30" s="72" t="s">
        <v>210</v>
      </c>
      <c r="K30" s="72" t="s">
        <v>211</v>
      </c>
      <c r="L30" s="72" t="s">
        <v>212</v>
      </c>
      <c r="M30" s="73"/>
      <c r="N30" s="80">
        <v>2015</v>
      </c>
      <c r="O30" s="72">
        <v>2016</v>
      </c>
      <c r="P30" s="80">
        <v>2017</v>
      </c>
      <c r="Q30" s="72">
        <v>2018</v>
      </c>
      <c r="R30" s="80">
        <v>2019</v>
      </c>
      <c r="S30" s="72">
        <v>2020</v>
      </c>
      <c r="T30" s="80">
        <v>2021</v>
      </c>
      <c r="U30" s="72">
        <v>2022</v>
      </c>
      <c r="V30" s="80">
        <v>2023</v>
      </c>
      <c r="W30" s="72">
        <v>2024</v>
      </c>
      <c r="X30" s="80">
        <v>2025</v>
      </c>
      <c r="Y30" s="72">
        <v>2026</v>
      </c>
      <c r="Z30" s="80">
        <v>2027</v>
      </c>
      <c r="AA30" s="72">
        <v>2028</v>
      </c>
      <c r="AB30" s="80">
        <v>2029</v>
      </c>
      <c r="AC30" s="72">
        <v>2030</v>
      </c>
      <c r="AD30" s="80">
        <v>2031</v>
      </c>
      <c r="AE30" s="72">
        <v>2032</v>
      </c>
      <c r="AF30" s="80">
        <v>2033</v>
      </c>
      <c r="AG30" s="72">
        <v>2034</v>
      </c>
      <c r="AH30" s="80">
        <v>2035</v>
      </c>
      <c r="AI30" s="80">
        <v>2015</v>
      </c>
      <c r="AJ30" s="72">
        <v>2016</v>
      </c>
      <c r="AK30" s="80">
        <v>2017</v>
      </c>
      <c r="AL30" s="72">
        <v>2018</v>
      </c>
      <c r="AM30" s="80">
        <v>2019</v>
      </c>
      <c r="AN30" s="72">
        <v>2020</v>
      </c>
      <c r="AO30" s="80">
        <v>2021</v>
      </c>
      <c r="AP30" s="72">
        <v>2022</v>
      </c>
      <c r="AQ30" s="80">
        <v>2023</v>
      </c>
      <c r="AR30" s="72">
        <v>2024</v>
      </c>
      <c r="AS30" s="80">
        <v>2025</v>
      </c>
      <c r="AT30" s="72">
        <v>2026</v>
      </c>
      <c r="AU30" s="80">
        <v>2027</v>
      </c>
      <c r="AV30" s="72">
        <v>2028</v>
      </c>
      <c r="AW30" s="80">
        <v>2029</v>
      </c>
      <c r="AX30" s="72">
        <v>2030</v>
      </c>
      <c r="AY30" s="80">
        <v>2031</v>
      </c>
      <c r="AZ30" s="72">
        <v>2032</v>
      </c>
      <c r="BA30" s="80">
        <v>2033</v>
      </c>
      <c r="BB30" s="72">
        <v>2034</v>
      </c>
      <c r="BC30" s="80">
        <v>2035</v>
      </c>
      <c r="BD30" s="80">
        <v>2015</v>
      </c>
      <c r="BE30" s="72">
        <v>2016</v>
      </c>
      <c r="BF30" s="80">
        <v>2017</v>
      </c>
      <c r="BG30" s="72">
        <v>2018</v>
      </c>
      <c r="BH30" s="80">
        <v>2019</v>
      </c>
      <c r="BI30" s="72">
        <v>2020</v>
      </c>
      <c r="BJ30" s="80">
        <v>2021</v>
      </c>
      <c r="BK30" s="72">
        <v>2022</v>
      </c>
      <c r="BL30" s="80">
        <v>2023</v>
      </c>
      <c r="BM30" s="72">
        <v>2024</v>
      </c>
      <c r="BN30" s="80">
        <v>2025</v>
      </c>
      <c r="BO30" s="72">
        <v>2026</v>
      </c>
      <c r="BP30" s="80">
        <v>2027</v>
      </c>
      <c r="BQ30" s="72">
        <v>2028</v>
      </c>
      <c r="BR30" s="80">
        <v>2029</v>
      </c>
      <c r="BS30" s="72">
        <v>2030</v>
      </c>
      <c r="BT30" s="80">
        <v>2031</v>
      </c>
      <c r="BU30" s="72">
        <v>2032</v>
      </c>
      <c r="BV30" s="80">
        <v>2033</v>
      </c>
      <c r="BW30" s="72">
        <v>2034</v>
      </c>
      <c r="BX30" s="80">
        <v>2035</v>
      </c>
      <c r="BY30" s="80">
        <v>2015</v>
      </c>
      <c r="BZ30" s="72">
        <v>2016</v>
      </c>
      <c r="CA30" s="80">
        <v>2017</v>
      </c>
      <c r="CB30" s="72">
        <v>2018</v>
      </c>
      <c r="CC30" s="80">
        <v>2019</v>
      </c>
      <c r="CD30" s="72">
        <v>2020</v>
      </c>
      <c r="CE30" s="80">
        <v>2021</v>
      </c>
      <c r="CF30" s="72">
        <v>2022</v>
      </c>
      <c r="CG30" s="80">
        <v>2023</v>
      </c>
      <c r="CH30" s="72">
        <v>2024</v>
      </c>
      <c r="CI30" s="80">
        <v>2025</v>
      </c>
      <c r="CJ30" s="72">
        <v>2026</v>
      </c>
      <c r="CK30" s="80">
        <v>2027</v>
      </c>
      <c r="CL30" s="72">
        <v>2028</v>
      </c>
      <c r="CM30" s="80">
        <v>2029</v>
      </c>
      <c r="CN30" s="72">
        <v>2030</v>
      </c>
      <c r="CO30" s="80">
        <v>2031</v>
      </c>
      <c r="CP30" s="72">
        <v>2032</v>
      </c>
      <c r="CQ30" s="80">
        <v>2033</v>
      </c>
      <c r="CR30" s="72">
        <v>2034</v>
      </c>
      <c r="CS30" s="80">
        <v>2035</v>
      </c>
      <c r="CT30" s="80">
        <v>2015</v>
      </c>
      <c r="CU30" s="72">
        <v>2016</v>
      </c>
      <c r="CV30" s="80">
        <v>2017</v>
      </c>
      <c r="CW30" s="72">
        <v>2018</v>
      </c>
      <c r="CX30" s="80">
        <v>2019</v>
      </c>
      <c r="CY30" s="72">
        <v>2020</v>
      </c>
      <c r="CZ30" s="80">
        <v>2021</v>
      </c>
      <c r="DA30" s="72">
        <v>2022</v>
      </c>
      <c r="DB30" s="80">
        <v>2023</v>
      </c>
      <c r="DC30" s="72">
        <v>2024</v>
      </c>
      <c r="DD30" s="80">
        <v>2025</v>
      </c>
      <c r="DE30" s="72">
        <v>2026</v>
      </c>
      <c r="DF30" s="80">
        <v>2027</v>
      </c>
      <c r="DG30" s="72">
        <v>2028</v>
      </c>
      <c r="DH30" s="80">
        <v>2029</v>
      </c>
      <c r="DI30" s="72">
        <v>2030</v>
      </c>
      <c r="DJ30" s="80">
        <v>2031</v>
      </c>
      <c r="DK30" s="72">
        <v>2032</v>
      </c>
      <c r="DL30" s="80">
        <v>2033</v>
      </c>
      <c r="DM30" s="72">
        <v>2034</v>
      </c>
      <c r="DN30" s="80">
        <v>2035</v>
      </c>
      <c r="DR30" s="3" t="s">
        <v>71</v>
      </c>
      <c r="DS30" s="3" t="s">
        <v>273</v>
      </c>
      <c r="DT30" s="3" t="s">
        <v>274</v>
      </c>
      <c r="DU30" s="3" t="s">
        <v>266</v>
      </c>
      <c r="DV30" s="3" t="s">
        <v>267</v>
      </c>
      <c r="DW30" s="3" t="s">
        <v>275</v>
      </c>
      <c r="DY30" s="3" t="s">
        <v>276</v>
      </c>
      <c r="DZ30" s="3" t="s">
        <v>277</v>
      </c>
      <c r="EA30" s="3" t="s">
        <v>278</v>
      </c>
      <c r="EB30" s="3" t="s">
        <v>279</v>
      </c>
      <c r="EC30" s="3" t="s">
        <v>260</v>
      </c>
    </row>
    <row r="31" spans="1:133">
      <c r="A31" s="3" t="s">
        <v>191</v>
      </c>
      <c r="B31" s="65">
        <f>LOOKUP(A31,$A$2:$A$4,$B$2:$B$4)</f>
        <v>0.25</v>
      </c>
      <c r="C31" s="3" t="s">
        <v>197</v>
      </c>
      <c r="D31" s="65">
        <f>LOOKUP(C31,$B$7:$B$9,$C$7:$C$9)</f>
        <v>0.3</v>
      </c>
      <c r="E31" s="3">
        <v>1</v>
      </c>
      <c r="F31" s="65">
        <f>LOOKUP(E31,$C$14:$C$16,$D$14:$D$16)</f>
        <v>1</v>
      </c>
      <c r="G31" s="3" t="s">
        <v>198</v>
      </c>
      <c r="H31" s="65">
        <v>0.25</v>
      </c>
      <c r="I31" s="65">
        <f>B31*D31*F31*H31</f>
        <v>1.8749999999999999E-2</v>
      </c>
      <c r="J31" s="3">
        <f>TechnicalInputs!$D$29</f>
        <v>10</v>
      </c>
      <c r="K31" s="3">
        <f>TechnicalInputs!$D$32</f>
        <v>1</v>
      </c>
      <c r="L31" s="3">
        <f>J31+K31</f>
        <v>11</v>
      </c>
      <c r="M31" s="1"/>
      <c r="N31" s="40">
        <f>P$10/$E31</f>
        <v>0</v>
      </c>
      <c r="O31" s="40">
        <f t="shared" ref="O31:AH43" si="2">Q$10/$E31</f>
        <v>0</v>
      </c>
      <c r="P31" s="40">
        <f t="shared" si="2"/>
        <v>0</v>
      </c>
      <c r="Q31" s="40">
        <f t="shared" si="2"/>
        <v>0</v>
      </c>
      <c r="R31" s="40">
        <f t="shared" si="2"/>
        <v>0</v>
      </c>
      <c r="S31" s="40">
        <f t="shared" si="2"/>
        <v>0</v>
      </c>
      <c r="T31" s="40">
        <f t="shared" si="2"/>
        <v>0</v>
      </c>
      <c r="U31" s="40">
        <f t="shared" si="2"/>
        <v>0</v>
      </c>
      <c r="V31" s="40">
        <f t="shared" si="2"/>
        <v>0</v>
      </c>
      <c r="W31" s="40">
        <f t="shared" si="2"/>
        <v>0</v>
      </c>
      <c r="X31" s="40">
        <f t="shared" si="2"/>
        <v>0</v>
      </c>
      <c r="Y31" s="40">
        <f t="shared" si="2"/>
        <v>0</v>
      </c>
      <c r="Z31" s="40">
        <f t="shared" si="2"/>
        <v>0</v>
      </c>
      <c r="AA31" s="40">
        <f t="shared" si="2"/>
        <v>0</v>
      </c>
      <c r="AB31" s="40">
        <f t="shared" si="2"/>
        <v>0</v>
      </c>
      <c r="AC31" s="40">
        <f t="shared" si="2"/>
        <v>0</v>
      </c>
      <c r="AD31" s="40">
        <f t="shared" si="2"/>
        <v>0</v>
      </c>
      <c r="AE31" s="40">
        <f t="shared" si="2"/>
        <v>0</v>
      </c>
      <c r="AF31" s="40">
        <f t="shared" si="2"/>
        <v>0</v>
      </c>
      <c r="AG31" s="40">
        <f t="shared" si="2"/>
        <v>0</v>
      </c>
      <c r="AH31" s="40">
        <f t="shared" si="2"/>
        <v>0</v>
      </c>
      <c r="AI31" s="40">
        <f>(N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J31" s="40">
        <f>(O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K31" s="40">
        <f>(P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L31" s="40">
        <f>(Q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M31" s="40">
        <f>(R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N31" s="40">
        <f>(S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O31" s="40">
        <f>(T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P31" s="40">
        <f>(U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Q31" s="40">
        <f>(V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R31" s="40">
        <f>(W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S31" s="40">
        <f>(X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T31" s="40">
        <f>(Y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U31" s="40">
        <f>(Z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V31" s="40">
        <f>(AA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W31" s="40">
        <f>(AB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X31" s="40">
        <f>(AC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Y31" s="40">
        <f>(AD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AZ31" s="40">
        <f>(AE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BA31" s="40">
        <f>(AF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BB31" s="40">
        <f>(AG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BC31" s="40">
        <f>(AH31*IF($G31="credit",TechnicalInputs!$D$22,IF($G31="Debit",TechnicalInputs!$D$24,IF($G31="EFT",TechnicalInputs!$D$26,0)))+IF($G31="credit",TechnicalInputs!$D$21,IF($G31="debit",TechnicalInputs!$D$23,IF($G31="eft",TechnicalInputs!$D$25)))+IF(TransactionCosts!$C31="online",TechnicalInputs!$D$28,TechnicalInputs!$D$27))*$E31</f>
        <v>1</v>
      </c>
      <c r="BD31" s="28">
        <f>IF(P$9=0,0,P$7*$I31)</f>
        <v>0</v>
      </c>
      <c r="BE31" s="28">
        <f t="shared" ref="BE31:BX31" si="3">IF(Q$9=0,0,Q$7*$I31)</f>
        <v>0</v>
      </c>
      <c r="BF31" s="28">
        <f t="shared" si="3"/>
        <v>0</v>
      </c>
      <c r="BG31" s="28">
        <f t="shared" si="3"/>
        <v>0</v>
      </c>
      <c r="BH31" s="28">
        <f t="shared" si="3"/>
        <v>0</v>
      </c>
      <c r="BI31" s="28">
        <f t="shared" si="3"/>
        <v>0</v>
      </c>
      <c r="BJ31" s="28">
        <f t="shared" si="3"/>
        <v>0</v>
      </c>
      <c r="BK31" s="28">
        <f t="shared" si="3"/>
        <v>0</v>
      </c>
      <c r="BL31" s="28">
        <f t="shared" si="3"/>
        <v>0</v>
      </c>
      <c r="BM31" s="28">
        <f t="shared" si="3"/>
        <v>0</v>
      </c>
      <c r="BN31" s="28">
        <f t="shared" si="3"/>
        <v>0</v>
      </c>
      <c r="BO31" s="28">
        <f t="shared" si="3"/>
        <v>0</v>
      </c>
      <c r="BP31" s="28">
        <f t="shared" si="3"/>
        <v>0</v>
      </c>
      <c r="BQ31" s="28">
        <f t="shared" si="3"/>
        <v>0</v>
      </c>
      <c r="BR31" s="28">
        <f t="shared" si="3"/>
        <v>0</v>
      </c>
      <c r="BS31" s="28">
        <f t="shared" si="3"/>
        <v>0</v>
      </c>
      <c r="BT31" s="28">
        <f t="shared" si="3"/>
        <v>0</v>
      </c>
      <c r="BU31" s="28">
        <f t="shared" si="3"/>
        <v>0</v>
      </c>
      <c r="BV31" s="28">
        <f t="shared" si="3"/>
        <v>0</v>
      </c>
      <c r="BW31" s="28">
        <f t="shared" si="3"/>
        <v>0</v>
      </c>
      <c r="BX31" s="28">
        <f t="shared" si="3"/>
        <v>0</v>
      </c>
      <c r="BY31" s="83">
        <f>AI31*BD31</f>
        <v>0</v>
      </c>
      <c r="BZ31" s="83">
        <f t="shared" ref="BZ31:CS43" si="4">AJ31*BE31</f>
        <v>0</v>
      </c>
      <c r="CA31" s="83">
        <f t="shared" si="4"/>
        <v>0</v>
      </c>
      <c r="CB31" s="83">
        <f t="shared" si="4"/>
        <v>0</v>
      </c>
      <c r="CC31" s="83">
        <f t="shared" si="4"/>
        <v>0</v>
      </c>
      <c r="CD31" s="83">
        <f t="shared" si="4"/>
        <v>0</v>
      </c>
      <c r="CE31" s="83">
        <f t="shared" si="4"/>
        <v>0</v>
      </c>
      <c r="CF31" s="83">
        <f t="shared" si="4"/>
        <v>0</v>
      </c>
      <c r="CG31" s="83">
        <f t="shared" si="4"/>
        <v>0</v>
      </c>
      <c r="CH31" s="83">
        <f t="shared" si="4"/>
        <v>0</v>
      </c>
      <c r="CI31" s="83">
        <f t="shared" si="4"/>
        <v>0</v>
      </c>
      <c r="CJ31" s="83">
        <f t="shared" si="4"/>
        <v>0</v>
      </c>
      <c r="CK31" s="83">
        <f t="shared" si="4"/>
        <v>0</v>
      </c>
      <c r="CL31" s="83">
        <f t="shared" si="4"/>
        <v>0</v>
      </c>
      <c r="CM31" s="83">
        <f t="shared" si="4"/>
        <v>0</v>
      </c>
      <c r="CN31" s="83">
        <f t="shared" si="4"/>
        <v>0</v>
      </c>
      <c r="CO31" s="83">
        <f t="shared" si="4"/>
        <v>0</v>
      </c>
      <c r="CP31" s="83">
        <f t="shared" si="4"/>
        <v>0</v>
      </c>
      <c r="CQ31" s="83">
        <f t="shared" si="4"/>
        <v>0</v>
      </c>
      <c r="CR31" s="83">
        <f t="shared" si="4"/>
        <v>0</v>
      </c>
      <c r="CS31" s="83">
        <f t="shared" si="4"/>
        <v>0</v>
      </c>
      <c r="CT31" s="84">
        <f>BD31*$L31</f>
        <v>0</v>
      </c>
      <c r="CU31" s="84">
        <f t="shared" ref="CU31:DN43" si="5">BE31*$L31</f>
        <v>0</v>
      </c>
      <c r="CV31" s="84">
        <f t="shared" si="5"/>
        <v>0</v>
      </c>
      <c r="CW31" s="84">
        <f t="shared" si="5"/>
        <v>0</v>
      </c>
      <c r="CX31" s="84">
        <f t="shared" si="5"/>
        <v>0</v>
      </c>
      <c r="CY31" s="84">
        <f t="shared" si="5"/>
        <v>0</v>
      </c>
      <c r="CZ31" s="84">
        <f t="shared" si="5"/>
        <v>0</v>
      </c>
      <c r="DA31" s="84">
        <f t="shared" si="5"/>
        <v>0</v>
      </c>
      <c r="DB31" s="84">
        <f t="shared" si="5"/>
        <v>0</v>
      </c>
      <c r="DC31" s="84">
        <f t="shared" si="5"/>
        <v>0</v>
      </c>
      <c r="DD31" s="84">
        <f t="shared" si="5"/>
        <v>0</v>
      </c>
      <c r="DE31" s="84">
        <f t="shared" si="5"/>
        <v>0</v>
      </c>
      <c r="DF31" s="84">
        <f t="shared" si="5"/>
        <v>0</v>
      </c>
      <c r="DG31" s="84">
        <f t="shared" si="5"/>
        <v>0</v>
      </c>
      <c r="DH31" s="84">
        <f t="shared" si="5"/>
        <v>0</v>
      </c>
      <c r="DI31" s="84">
        <f t="shared" si="5"/>
        <v>0</v>
      </c>
      <c r="DJ31" s="84">
        <f t="shared" si="5"/>
        <v>0</v>
      </c>
      <c r="DK31" s="84">
        <f t="shared" si="5"/>
        <v>0</v>
      </c>
      <c r="DL31" s="84">
        <f t="shared" si="5"/>
        <v>0</v>
      </c>
      <c r="DM31" s="84">
        <f t="shared" si="5"/>
        <v>0</v>
      </c>
      <c r="DN31" s="84">
        <f t="shared" si="5"/>
        <v>0</v>
      </c>
      <c r="DR31" s="3">
        <v>2010</v>
      </c>
      <c r="DS31" s="28">
        <v>0</v>
      </c>
      <c r="DT31" s="28">
        <v>0</v>
      </c>
      <c r="DU31" s="28">
        <v>0</v>
      </c>
      <c r="DV31" s="28">
        <f>DU31</f>
        <v>0</v>
      </c>
      <c r="DW31" s="83">
        <v>0</v>
      </c>
      <c r="DY31" s="84">
        <f>DT31*TechnicalInputs!$B$144*TechnicalInputs!$B$134+TechnicalInputs!$B$135*TechnicalInputs!$B$145*TransactionCosts!DU31+TransactionCosts!DW31*TechnicalInputs!$B$136*TechnicalInputs!$B$146</f>
        <v>0</v>
      </c>
      <c r="DZ31" s="89">
        <f>DY31/2000</f>
        <v>0</v>
      </c>
      <c r="EA31" s="39">
        <f>DZ31*TechnicalInputs!$B$90*TechnicalInputs!$D$5</f>
        <v>0</v>
      </c>
      <c r="EB31" s="49">
        <f>DT31*TechnicalInputs!$B$139*TechnicalInputs!$B$144+TechnicalInputs!$B$140*TechnicalInputs!$B$145*TransactionCosts!DU31+TransactionCosts!DW31*TechnicalInputs!$B$141*TechnicalInputs!$B$146</f>
        <v>0</v>
      </c>
      <c r="EC31" s="49">
        <f>EA31+EB31</f>
        <v>0</v>
      </c>
    </row>
    <row r="32" spans="1:133">
      <c r="A32" s="3" t="s">
        <v>191</v>
      </c>
      <c r="B32" s="65">
        <f t="shared" ref="B32:B67" si="6">LOOKUP(A32,$A$2:$A$4,$B$2:$B$4)</f>
        <v>0.25</v>
      </c>
      <c r="C32" s="3" t="s">
        <v>197</v>
      </c>
      <c r="D32" s="65">
        <f t="shared" ref="D32:D54" si="7">LOOKUP(C32,$B$7:$B$9,$C$7:$C$9)</f>
        <v>0.3</v>
      </c>
      <c r="E32" s="3">
        <v>2</v>
      </c>
      <c r="F32" s="65">
        <f t="shared" ref="F32:F42" si="8">LOOKUP(E32,$C$14:$C$16,$D$14:$D$16)</f>
        <v>0</v>
      </c>
      <c r="G32" s="3" t="s">
        <v>198</v>
      </c>
      <c r="H32" s="65">
        <v>0.25</v>
      </c>
      <c r="I32" s="65">
        <f t="shared" ref="I32:I66" si="9">B32*D32*F32*H32</f>
        <v>0</v>
      </c>
      <c r="J32" s="3">
        <f>TechnicalInputs!$D$29</f>
        <v>10</v>
      </c>
      <c r="K32" s="3">
        <f>TechnicalInputs!$D$32</f>
        <v>1</v>
      </c>
      <c r="L32" s="3">
        <f t="shared" ref="L32:L67" si="10">J32+K32</f>
        <v>11</v>
      </c>
      <c r="M32" s="1"/>
      <c r="N32" s="40">
        <f t="shared" ref="N32:N47" si="11">P$10/$E32</f>
        <v>0</v>
      </c>
      <c r="O32" s="40">
        <f t="shared" si="2"/>
        <v>0</v>
      </c>
      <c r="P32" s="40">
        <f t="shared" si="2"/>
        <v>0</v>
      </c>
      <c r="Q32" s="40">
        <f t="shared" si="2"/>
        <v>0</v>
      </c>
      <c r="R32" s="40">
        <f t="shared" si="2"/>
        <v>0</v>
      </c>
      <c r="S32" s="40">
        <f t="shared" si="2"/>
        <v>0</v>
      </c>
      <c r="T32" s="40">
        <f t="shared" si="2"/>
        <v>0</v>
      </c>
      <c r="U32" s="40">
        <f t="shared" si="2"/>
        <v>0</v>
      </c>
      <c r="V32" s="40">
        <f t="shared" si="2"/>
        <v>0</v>
      </c>
      <c r="W32" s="40">
        <f t="shared" si="2"/>
        <v>0</v>
      </c>
      <c r="X32" s="40">
        <f t="shared" si="2"/>
        <v>0</v>
      </c>
      <c r="Y32" s="40">
        <f t="shared" si="2"/>
        <v>0</v>
      </c>
      <c r="Z32" s="40">
        <f t="shared" si="2"/>
        <v>0</v>
      </c>
      <c r="AA32" s="40">
        <f t="shared" si="2"/>
        <v>0</v>
      </c>
      <c r="AB32" s="40">
        <f t="shared" si="2"/>
        <v>0</v>
      </c>
      <c r="AC32" s="40">
        <f t="shared" si="2"/>
        <v>0</v>
      </c>
      <c r="AD32" s="40">
        <f t="shared" si="2"/>
        <v>0</v>
      </c>
      <c r="AE32" s="40">
        <f t="shared" si="2"/>
        <v>0</v>
      </c>
      <c r="AF32" s="40">
        <f t="shared" si="2"/>
        <v>0</v>
      </c>
      <c r="AG32" s="40">
        <f t="shared" si="2"/>
        <v>0</v>
      </c>
      <c r="AH32" s="40">
        <f t="shared" si="2"/>
        <v>0</v>
      </c>
      <c r="AI32" s="40">
        <f>(N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J32" s="40">
        <f>(O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K32" s="40">
        <f>(P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L32" s="40">
        <f>(Q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M32" s="40">
        <f>(R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N32" s="40">
        <f>(S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O32" s="40">
        <f>(T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P32" s="40">
        <f>(U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Q32" s="40">
        <f>(V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R32" s="40">
        <f>(W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S32" s="40">
        <f>(X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T32" s="40">
        <f>(Y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U32" s="40">
        <f>(Z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V32" s="40">
        <f>(AA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W32" s="40">
        <f>(AB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X32" s="40">
        <f>(AC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Y32" s="40">
        <f>(AD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AZ32" s="40">
        <f>(AE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BA32" s="40">
        <f>(AF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BB32" s="40">
        <f>(AG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BC32" s="40">
        <f>(AH32*IF($G32="credit",TechnicalInputs!$D$22,IF($G32="Debit",TechnicalInputs!$D$24,IF($G32="EFT",TechnicalInputs!$D$26,0)))+IF($G32="credit",TechnicalInputs!$D$21,IF($G32="debit",TechnicalInputs!$D$23,IF($G32="eft",TechnicalInputs!$D$25)))+IF(TransactionCosts!$C32="online",TechnicalInputs!$D$28,TechnicalInputs!$D$27))*$E32</f>
        <v>2</v>
      </c>
      <c r="BD32" s="28">
        <f t="shared" ref="BD32:BD67" si="12">IF(P$9=0,0,P$7*$I32)</f>
        <v>0</v>
      </c>
      <c r="BE32" s="28">
        <f t="shared" ref="BE32:BE67" si="13">IF(Q$9=0,0,Q$7*$I32)</f>
        <v>0</v>
      </c>
      <c r="BF32" s="28">
        <f t="shared" ref="BF32:BF67" si="14">IF(R$9=0,0,R$7*$I32)</f>
        <v>0</v>
      </c>
      <c r="BG32" s="28">
        <f t="shared" ref="BG32:BG67" si="15">IF(S$9=0,0,S$7*$I32)</f>
        <v>0</v>
      </c>
      <c r="BH32" s="28">
        <f t="shared" ref="BH32:BH67" si="16">IF(T$9=0,0,T$7*$I32)</f>
        <v>0</v>
      </c>
      <c r="BI32" s="28">
        <f t="shared" ref="BI32:BI67" si="17">IF(U$9=0,0,U$7*$I32)</f>
        <v>0</v>
      </c>
      <c r="BJ32" s="28">
        <f t="shared" ref="BJ32:BJ67" si="18">IF(V$9=0,0,V$7*$I32)</f>
        <v>0</v>
      </c>
      <c r="BK32" s="28">
        <f t="shared" ref="BK32:BK67" si="19">IF(W$9=0,0,W$7*$I32)</f>
        <v>0</v>
      </c>
      <c r="BL32" s="28">
        <f t="shared" ref="BL32:BL67" si="20">IF(X$9=0,0,X$7*$I32)</f>
        <v>0</v>
      </c>
      <c r="BM32" s="28">
        <f t="shared" ref="BM32:BM67" si="21">IF(Y$9=0,0,Y$7*$I32)</f>
        <v>0</v>
      </c>
      <c r="BN32" s="28">
        <f t="shared" ref="BN32:BN67" si="22">IF(Z$9=0,0,Z$7*$I32)</f>
        <v>0</v>
      </c>
      <c r="BO32" s="28">
        <f t="shared" ref="BO32:BO67" si="23">IF(AA$9=0,0,AA$7*$I32)</f>
        <v>0</v>
      </c>
      <c r="BP32" s="28">
        <f t="shared" ref="BP32:BP67" si="24">IF(AB$9=0,0,AB$7*$I32)</f>
        <v>0</v>
      </c>
      <c r="BQ32" s="28">
        <f t="shared" ref="BQ32:BQ67" si="25">IF(AC$9=0,0,AC$7*$I32)</f>
        <v>0</v>
      </c>
      <c r="BR32" s="28">
        <f t="shared" ref="BR32:BR67" si="26">IF(AD$9=0,0,AD$7*$I32)</f>
        <v>0</v>
      </c>
      <c r="BS32" s="28">
        <f t="shared" ref="BS32:BS67" si="27">IF(AE$9=0,0,AE$7*$I32)</f>
        <v>0</v>
      </c>
      <c r="BT32" s="28">
        <f t="shared" ref="BT32:BT67" si="28">IF(AF$9=0,0,AF$7*$I32)</f>
        <v>0</v>
      </c>
      <c r="BU32" s="28">
        <f t="shared" ref="BU32:BU67" si="29">IF(AG$9=0,0,AG$7*$I32)</f>
        <v>0</v>
      </c>
      <c r="BV32" s="28">
        <f t="shared" ref="BV32:BV67" si="30">IF(AH$9=0,0,AH$7*$I32)</f>
        <v>0</v>
      </c>
      <c r="BW32" s="28">
        <f t="shared" ref="BW32:BW67" si="31">IF(AI$9=0,0,AI$7*$I32)</f>
        <v>0</v>
      </c>
      <c r="BX32" s="28">
        <f t="shared" ref="BX32:BX67" si="32">IF(AJ$9=0,0,AJ$7*$I32)</f>
        <v>0</v>
      </c>
      <c r="BY32" s="83">
        <f t="shared" ref="BY32:BY67" si="33">AI32*BD32</f>
        <v>0</v>
      </c>
      <c r="BZ32" s="83">
        <f t="shared" si="4"/>
        <v>0</v>
      </c>
      <c r="CA32" s="83">
        <f t="shared" si="4"/>
        <v>0</v>
      </c>
      <c r="CB32" s="83">
        <f t="shared" si="4"/>
        <v>0</v>
      </c>
      <c r="CC32" s="83">
        <f t="shared" si="4"/>
        <v>0</v>
      </c>
      <c r="CD32" s="83">
        <f t="shared" si="4"/>
        <v>0</v>
      </c>
      <c r="CE32" s="83">
        <f t="shared" si="4"/>
        <v>0</v>
      </c>
      <c r="CF32" s="83">
        <f t="shared" si="4"/>
        <v>0</v>
      </c>
      <c r="CG32" s="83">
        <f t="shared" si="4"/>
        <v>0</v>
      </c>
      <c r="CH32" s="83">
        <f t="shared" si="4"/>
        <v>0</v>
      </c>
      <c r="CI32" s="83">
        <f t="shared" si="4"/>
        <v>0</v>
      </c>
      <c r="CJ32" s="83">
        <f t="shared" si="4"/>
        <v>0</v>
      </c>
      <c r="CK32" s="83">
        <f t="shared" si="4"/>
        <v>0</v>
      </c>
      <c r="CL32" s="83">
        <f t="shared" si="4"/>
        <v>0</v>
      </c>
      <c r="CM32" s="83">
        <f t="shared" si="4"/>
        <v>0</v>
      </c>
      <c r="CN32" s="83">
        <f t="shared" si="4"/>
        <v>0</v>
      </c>
      <c r="CO32" s="83">
        <f t="shared" si="4"/>
        <v>0</v>
      </c>
      <c r="CP32" s="83">
        <f t="shared" si="4"/>
        <v>0</v>
      </c>
      <c r="CQ32" s="83">
        <f t="shared" si="4"/>
        <v>0</v>
      </c>
      <c r="CR32" s="83">
        <f t="shared" si="4"/>
        <v>0</v>
      </c>
      <c r="CS32" s="83">
        <f t="shared" si="4"/>
        <v>0</v>
      </c>
      <c r="CT32" s="84">
        <f t="shared" ref="CT32:CT67" si="34">BD32*$L32</f>
        <v>0</v>
      </c>
      <c r="CU32" s="84">
        <f t="shared" si="5"/>
        <v>0</v>
      </c>
      <c r="CV32" s="84">
        <f t="shared" si="5"/>
        <v>0</v>
      </c>
      <c r="CW32" s="84">
        <f t="shared" si="5"/>
        <v>0</v>
      </c>
      <c r="CX32" s="84">
        <f t="shared" si="5"/>
        <v>0</v>
      </c>
      <c r="CY32" s="84">
        <f t="shared" si="5"/>
        <v>0</v>
      </c>
      <c r="CZ32" s="84">
        <f t="shared" si="5"/>
        <v>0</v>
      </c>
      <c r="DA32" s="84">
        <f t="shared" si="5"/>
        <v>0</v>
      </c>
      <c r="DB32" s="84">
        <f t="shared" si="5"/>
        <v>0</v>
      </c>
      <c r="DC32" s="84">
        <f t="shared" si="5"/>
        <v>0</v>
      </c>
      <c r="DD32" s="84">
        <f t="shared" si="5"/>
        <v>0</v>
      </c>
      <c r="DE32" s="84">
        <f t="shared" si="5"/>
        <v>0</v>
      </c>
      <c r="DF32" s="84">
        <f t="shared" si="5"/>
        <v>0</v>
      </c>
      <c r="DG32" s="84">
        <f t="shared" si="5"/>
        <v>0</v>
      </c>
      <c r="DH32" s="84">
        <f t="shared" si="5"/>
        <v>0</v>
      </c>
      <c r="DI32" s="84">
        <f t="shared" si="5"/>
        <v>0</v>
      </c>
      <c r="DJ32" s="84">
        <f t="shared" si="5"/>
        <v>0</v>
      </c>
      <c r="DK32" s="84">
        <f t="shared" si="5"/>
        <v>0</v>
      </c>
      <c r="DL32" s="84">
        <f t="shared" si="5"/>
        <v>0</v>
      </c>
      <c r="DM32" s="84">
        <f t="shared" si="5"/>
        <v>0</v>
      </c>
      <c r="DN32" s="84">
        <f t="shared" si="5"/>
        <v>0</v>
      </c>
      <c r="DR32" s="3">
        <f>DR31+1</f>
        <v>2011</v>
      </c>
      <c r="DS32" s="28">
        <v>0</v>
      </c>
      <c r="DT32" s="28">
        <v>0</v>
      </c>
      <c r="DU32" s="28">
        <v>0</v>
      </c>
      <c r="DV32" s="28">
        <f>DU32-DU31</f>
        <v>0</v>
      </c>
      <c r="DW32" s="83">
        <v>0</v>
      </c>
      <c r="DY32" s="84">
        <f>DT32*TechnicalInputs!$B$144*TechnicalInputs!$B$134+TechnicalInputs!$B$135*TechnicalInputs!$B$145*TransactionCosts!DU32+TransactionCosts!DW32*TechnicalInputs!$B$136*TechnicalInputs!$B$146</f>
        <v>0</v>
      </c>
      <c r="DZ32" s="89">
        <f t="shared" ref="DZ32:DZ56" si="35">DY32/2000</f>
        <v>0</v>
      </c>
      <c r="EA32" s="39">
        <f>DZ32*TechnicalInputs!$B$90*TechnicalInputs!$D$5</f>
        <v>0</v>
      </c>
      <c r="EB32" s="49">
        <f>DT32*TechnicalInputs!$B$139*TechnicalInputs!$B$144+TechnicalInputs!$B$140*TechnicalInputs!$B$145*TransactionCosts!DU32+TransactionCosts!DW32*TechnicalInputs!$B$141*TechnicalInputs!$B$146</f>
        <v>0</v>
      </c>
      <c r="EC32" s="49">
        <f t="shared" ref="EC32:EC56" si="36">EA32+EB32</f>
        <v>0</v>
      </c>
    </row>
    <row r="33" spans="1:133">
      <c r="A33" s="3" t="s">
        <v>191</v>
      </c>
      <c r="B33" s="65">
        <f t="shared" si="6"/>
        <v>0.25</v>
      </c>
      <c r="C33" s="3" t="s">
        <v>197</v>
      </c>
      <c r="D33" s="65">
        <f t="shared" si="7"/>
        <v>0.3</v>
      </c>
      <c r="E33" s="3">
        <v>4</v>
      </c>
      <c r="F33" s="65">
        <f t="shared" si="8"/>
        <v>0</v>
      </c>
      <c r="G33" s="3" t="s">
        <v>198</v>
      </c>
      <c r="H33" s="65">
        <v>0.25</v>
      </c>
      <c r="I33" s="65">
        <f t="shared" si="9"/>
        <v>0</v>
      </c>
      <c r="J33" s="3">
        <f>TechnicalInputs!$D$29</f>
        <v>10</v>
      </c>
      <c r="K33" s="3">
        <f>TechnicalInputs!$D$32</f>
        <v>1</v>
      </c>
      <c r="L33" s="3">
        <f t="shared" si="10"/>
        <v>11</v>
      </c>
      <c r="M33" s="1"/>
      <c r="N33" s="40">
        <f t="shared" si="11"/>
        <v>0</v>
      </c>
      <c r="O33" s="40">
        <f t="shared" si="2"/>
        <v>0</v>
      </c>
      <c r="P33" s="40">
        <f t="shared" si="2"/>
        <v>0</v>
      </c>
      <c r="Q33" s="40">
        <f t="shared" si="2"/>
        <v>0</v>
      </c>
      <c r="R33" s="40">
        <f t="shared" si="2"/>
        <v>0</v>
      </c>
      <c r="S33" s="40">
        <f t="shared" si="2"/>
        <v>0</v>
      </c>
      <c r="T33" s="40">
        <f t="shared" si="2"/>
        <v>0</v>
      </c>
      <c r="U33" s="40">
        <f t="shared" si="2"/>
        <v>0</v>
      </c>
      <c r="V33" s="40">
        <f t="shared" si="2"/>
        <v>0</v>
      </c>
      <c r="W33" s="40">
        <f t="shared" si="2"/>
        <v>0</v>
      </c>
      <c r="X33" s="40">
        <f t="shared" si="2"/>
        <v>0</v>
      </c>
      <c r="Y33" s="40">
        <f t="shared" si="2"/>
        <v>0</v>
      </c>
      <c r="Z33" s="40">
        <f t="shared" si="2"/>
        <v>0</v>
      </c>
      <c r="AA33" s="40">
        <f t="shared" si="2"/>
        <v>0</v>
      </c>
      <c r="AB33" s="40">
        <f t="shared" si="2"/>
        <v>0</v>
      </c>
      <c r="AC33" s="40">
        <f t="shared" si="2"/>
        <v>0</v>
      </c>
      <c r="AD33" s="40">
        <f t="shared" si="2"/>
        <v>0</v>
      </c>
      <c r="AE33" s="40">
        <f t="shared" si="2"/>
        <v>0</v>
      </c>
      <c r="AF33" s="40">
        <f t="shared" si="2"/>
        <v>0</v>
      </c>
      <c r="AG33" s="40">
        <f t="shared" si="2"/>
        <v>0</v>
      </c>
      <c r="AH33" s="40">
        <f t="shared" si="2"/>
        <v>0</v>
      </c>
      <c r="AI33" s="40">
        <f>(N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J33" s="40">
        <f>(O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K33" s="40">
        <f>(P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L33" s="40">
        <f>(Q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M33" s="40">
        <f>(R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N33" s="40">
        <f>(S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O33" s="40">
        <f>(T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P33" s="40">
        <f>(U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Q33" s="40">
        <f>(V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R33" s="40">
        <f>(W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S33" s="40">
        <f>(X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T33" s="40">
        <f>(Y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U33" s="40">
        <f>(Z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V33" s="40">
        <f>(AA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W33" s="40">
        <f>(AB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X33" s="40">
        <f>(AC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Y33" s="40">
        <f>(AD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AZ33" s="40">
        <f>(AE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BA33" s="40">
        <f>(AF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BB33" s="40">
        <f>(AG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BC33" s="40">
        <f>(AH33*IF($G33="credit",TechnicalInputs!$D$22,IF($G33="Debit",TechnicalInputs!$D$24,IF($G33="EFT",TechnicalInputs!$D$26,0)))+IF($G33="credit",TechnicalInputs!$D$21,IF($G33="debit",TechnicalInputs!$D$23,IF($G33="eft",TechnicalInputs!$D$25)))+IF(TransactionCosts!$C33="online",TechnicalInputs!$D$28,TechnicalInputs!$D$27))*$E33</f>
        <v>4</v>
      </c>
      <c r="BD33" s="28">
        <f t="shared" si="12"/>
        <v>0</v>
      </c>
      <c r="BE33" s="28">
        <f t="shared" si="13"/>
        <v>0</v>
      </c>
      <c r="BF33" s="28">
        <f t="shared" si="14"/>
        <v>0</v>
      </c>
      <c r="BG33" s="28">
        <f t="shared" si="15"/>
        <v>0</v>
      </c>
      <c r="BH33" s="28">
        <f t="shared" si="16"/>
        <v>0</v>
      </c>
      <c r="BI33" s="28">
        <f t="shared" si="17"/>
        <v>0</v>
      </c>
      <c r="BJ33" s="28">
        <f t="shared" si="18"/>
        <v>0</v>
      </c>
      <c r="BK33" s="28">
        <f t="shared" si="19"/>
        <v>0</v>
      </c>
      <c r="BL33" s="28">
        <f t="shared" si="20"/>
        <v>0</v>
      </c>
      <c r="BM33" s="28">
        <f t="shared" si="21"/>
        <v>0</v>
      </c>
      <c r="BN33" s="28">
        <f t="shared" si="22"/>
        <v>0</v>
      </c>
      <c r="BO33" s="28">
        <f t="shared" si="23"/>
        <v>0</v>
      </c>
      <c r="BP33" s="28">
        <f t="shared" si="24"/>
        <v>0</v>
      </c>
      <c r="BQ33" s="28">
        <f t="shared" si="25"/>
        <v>0</v>
      </c>
      <c r="BR33" s="28">
        <f t="shared" si="26"/>
        <v>0</v>
      </c>
      <c r="BS33" s="28">
        <f t="shared" si="27"/>
        <v>0</v>
      </c>
      <c r="BT33" s="28">
        <f t="shared" si="28"/>
        <v>0</v>
      </c>
      <c r="BU33" s="28">
        <f t="shared" si="29"/>
        <v>0</v>
      </c>
      <c r="BV33" s="28">
        <f t="shared" si="30"/>
        <v>0</v>
      </c>
      <c r="BW33" s="28">
        <f t="shared" si="31"/>
        <v>0</v>
      </c>
      <c r="BX33" s="28">
        <f t="shared" si="32"/>
        <v>0</v>
      </c>
      <c r="BY33" s="83">
        <f t="shared" si="33"/>
        <v>0</v>
      </c>
      <c r="BZ33" s="83">
        <f t="shared" si="4"/>
        <v>0</v>
      </c>
      <c r="CA33" s="83">
        <f t="shared" si="4"/>
        <v>0</v>
      </c>
      <c r="CB33" s="83">
        <f t="shared" si="4"/>
        <v>0</v>
      </c>
      <c r="CC33" s="83">
        <f t="shared" si="4"/>
        <v>0</v>
      </c>
      <c r="CD33" s="83">
        <f t="shared" si="4"/>
        <v>0</v>
      </c>
      <c r="CE33" s="83">
        <f t="shared" si="4"/>
        <v>0</v>
      </c>
      <c r="CF33" s="83">
        <f t="shared" si="4"/>
        <v>0</v>
      </c>
      <c r="CG33" s="83">
        <f t="shared" si="4"/>
        <v>0</v>
      </c>
      <c r="CH33" s="83">
        <f t="shared" si="4"/>
        <v>0</v>
      </c>
      <c r="CI33" s="83">
        <f t="shared" si="4"/>
        <v>0</v>
      </c>
      <c r="CJ33" s="83">
        <f t="shared" si="4"/>
        <v>0</v>
      </c>
      <c r="CK33" s="83">
        <f t="shared" si="4"/>
        <v>0</v>
      </c>
      <c r="CL33" s="83">
        <f t="shared" si="4"/>
        <v>0</v>
      </c>
      <c r="CM33" s="83">
        <f t="shared" si="4"/>
        <v>0</v>
      </c>
      <c r="CN33" s="83">
        <f t="shared" si="4"/>
        <v>0</v>
      </c>
      <c r="CO33" s="83">
        <f t="shared" si="4"/>
        <v>0</v>
      </c>
      <c r="CP33" s="83">
        <f t="shared" si="4"/>
        <v>0</v>
      </c>
      <c r="CQ33" s="83">
        <f t="shared" si="4"/>
        <v>0</v>
      </c>
      <c r="CR33" s="83">
        <f t="shared" si="4"/>
        <v>0</v>
      </c>
      <c r="CS33" s="83">
        <f t="shared" si="4"/>
        <v>0</v>
      </c>
      <c r="CT33" s="84">
        <f t="shared" si="34"/>
        <v>0</v>
      </c>
      <c r="CU33" s="84">
        <f t="shared" si="5"/>
        <v>0</v>
      </c>
      <c r="CV33" s="84">
        <f t="shared" si="5"/>
        <v>0</v>
      </c>
      <c r="CW33" s="84">
        <f t="shared" si="5"/>
        <v>0</v>
      </c>
      <c r="CX33" s="84">
        <f t="shared" si="5"/>
        <v>0</v>
      </c>
      <c r="CY33" s="84">
        <f t="shared" si="5"/>
        <v>0</v>
      </c>
      <c r="CZ33" s="84">
        <f t="shared" si="5"/>
        <v>0</v>
      </c>
      <c r="DA33" s="84">
        <f t="shared" si="5"/>
        <v>0</v>
      </c>
      <c r="DB33" s="84">
        <f t="shared" si="5"/>
        <v>0</v>
      </c>
      <c r="DC33" s="84">
        <f t="shared" si="5"/>
        <v>0</v>
      </c>
      <c r="DD33" s="84">
        <f t="shared" si="5"/>
        <v>0</v>
      </c>
      <c r="DE33" s="84">
        <f t="shared" si="5"/>
        <v>0</v>
      </c>
      <c r="DF33" s="84">
        <f t="shared" si="5"/>
        <v>0</v>
      </c>
      <c r="DG33" s="84">
        <f t="shared" si="5"/>
        <v>0</v>
      </c>
      <c r="DH33" s="84">
        <f t="shared" si="5"/>
        <v>0</v>
      </c>
      <c r="DI33" s="84">
        <f t="shared" si="5"/>
        <v>0</v>
      </c>
      <c r="DJ33" s="84">
        <f t="shared" si="5"/>
        <v>0</v>
      </c>
      <c r="DK33" s="84">
        <f t="shared" si="5"/>
        <v>0</v>
      </c>
      <c r="DL33" s="84">
        <f t="shared" si="5"/>
        <v>0</v>
      </c>
      <c r="DM33" s="84">
        <f t="shared" si="5"/>
        <v>0</v>
      </c>
      <c r="DN33" s="84">
        <f t="shared" si="5"/>
        <v>0</v>
      </c>
      <c r="DR33" s="3">
        <f t="shared" ref="DR33:DR56" si="37">DR32+1</f>
        <v>2012</v>
      </c>
      <c r="DS33" s="28">
        <v>0</v>
      </c>
      <c r="DT33" s="28">
        <v>0</v>
      </c>
      <c r="DU33" s="28">
        <v>0</v>
      </c>
      <c r="DV33" s="28">
        <f t="shared" ref="DV33:DV56" si="38">DU33-DU32</f>
        <v>0</v>
      </c>
      <c r="DW33" s="83">
        <v>0</v>
      </c>
      <c r="DY33" s="84">
        <f>DT33*TechnicalInputs!$B$144*TechnicalInputs!$B$134+TechnicalInputs!$B$135*TechnicalInputs!$B$145*TransactionCosts!DU33+TransactionCosts!DW33*TechnicalInputs!$B$136*TechnicalInputs!$B$146</f>
        <v>0</v>
      </c>
      <c r="DZ33" s="89">
        <f t="shared" si="35"/>
        <v>0</v>
      </c>
      <c r="EA33" s="39">
        <f>DZ33*TechnicalInputs!$B$90*TechnicalInputs!$D$5</f>
        <v>0</v>
      </c>
      <c r="EB33" s="49">
        <f>DT33*TechnicalInputs!$B$139*TechnicalInputs!$B$144+TechnicalInputs!$B$140*TechnicalInputs!$B$145*TransactionCosts!DU33+TransactionCosts!DW33*TechnicalInputs!$B$141*TechnicalInputs!$B$146</f>
        <v>0</v>
      </c>
      <c r="EC33" s="49">
        <f t="shared" si="36"/>
        <v>0</v>
      </c>
    </row>
    <row r="34" spans="1:133">
      <c r="A34" s="3" t="s">
        <v>191</v>
      </c>
      <c r="B34" s="65">
        <f t="shared" si="6"/>
        <v>0.25</v>
      </c>
      <c r="C34" s="3" t="s">
        <v>197</v>
      </c>
      <c r="D34" s="65">
        <f t="shared" si="7"/>
        <v>0.3</v>
      </c>
      <c r="E34" s="3">
        <v>1</v>
      </c>
      <c r="F34" s="65">
        <f t="shared" si="8"/>
        <v>1</v>
      </c>
      <c r="G34" s="3" t="s">
        <v>199</v>
      </c>
      <c r="H34" s="65">
        <v>0.25</v>
      </c>
      <c r="I34" s="65">
        <f t="shared" si="9"/>
        <v>1.8749999999999999E-2</v>
      </c>
      <c r="J34" s="3">
        <f>TechnicalInputs!$D$29</f>
        <v>10</v>
      </c>
      <c r="K34" s="3">
        <f>TechnicalInputs!$D$32</f>
        <v>1</v>
      </c>
      <c r="L34" s="3">
        <f t="shared" si="10"/>
        <v>11</v>
      </c>
      <c r="M34" s="1"/>
      <c r="N34" s="40">
        <f t="shared" si="11"/>
        <v>0</v>
      </c>
      <c r="O34" s="40">
        <f t="shared" si="2"/>
        <v>0</v>
      </c>
      <c r="P34" s="40">
        <f t="shared" si="2"/>
        <v>0</v>
      </c>
      <c r="Q34" s="40">
        <f t="shared" si="2"/>
        <v>0</v>
      </c>
      <c r="R34" s="40">
        <f t="shared" si="2"/>
        <v>0</v>
      </c>
      <c r="S34" s="40">
        <f t="shared" si="2"/>
        <v>0</v>
      </c>
      <c r="T34" s="40">
        <f t="shared" si="2"/>
        <v>0</v>
      </c>
      <c r="U34" s="40">
        <f t="shared" si="2"/>
        <v>0</v>
      </c>
      <c r="V34" s="40">
        <f t="shared" si="2"/>
        <v>0</v>
      </c>
      <c r="W34" s="40">
        <f t="shared" si="2"/>
        <v>0</v>
      </c>
      <c r="X34" s="40">
        <f t="shared" si="2"/>
        <v>0</v>
      </c>
      <c r="Y34" s="40">
        <f t="shared" si="2"/>
        <v>0</v>
      </c>
      <c r="Z34" s="40">
        <f t="shared" si="2"/>
        <v>0</v>
      </c>
      <c r="AA34" s="40">
        <f t="shared" si="2"/>
        <v>0</v>
      </c>
      <c r="AB34" s="40">
        <f t="shared" si="2"/>
        <v>0</v>
      </c>
      <c r="AC34" s="40">
        <f t="shared" si="2"/>
        <v>0</v>
      </c>
      <c r="AD34" s="40">
        <f t="shared" si="2"/>
        <v>0</v>
      </c>
      <c r="AE34" s="40">
        <f t="shared" si="2"/>
        <v>0</v>
      </c>
      <c r="AF34" s="40">
        <f t="shared" si="2"/>
        <v>0</v>
      </c>
      <c r="AG34" s="40">
        <f t="shared" si="2"/>
        <v>0</v>
      </c>
      <c r="AH34" s="40">
        <f t="shared" si="2"/>
        <v>0</v>
      </c>
      <c r="AI34" s="40">
        <f>(N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J34" s="40">
        <f>(O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K34" s="40">
        <f>(P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L34" s="40">
        <f>(Q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M34" s="40">
        <f>(R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N34" s="40">
        <f>(S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O34" s="40">
        <f>(T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P34" s="40">
        <f>(U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Q34" s="40">
        <f>(V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R34" s="40">
        <f>(W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S34" s="40">
        <f>(X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T34" s="40">
        <f>(Y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U34" s="40">
        <f>(Z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V34" s="40">
        <f>(AA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W34" s="40">
        <f>(AB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X34" s="40">
        <f>(AC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Y34" s="40">
        <f>(AD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AZ34" s="40">
        <f>(AE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BA34" s="40">
        <f>(AF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BB34" s="40">
        <f>(AG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BC34" s="40">
        <f>(AH34*IF($G34="credit",TechnicalInputs!$D$22,IF($G34="Debit",TechnicalInputs!$D$24,IF($G34="EFT",TechnicalInputs!$D$26,0)))+IF($G34="credit",TechnicalInputs!$D$21,IF($G34="debit",TechnicalInputs!$D$23,IF($G34="eft",TechnicalInputs!$D$25)))+IF(TransactionCosts!$C34="online",TechnicalInputs!$D$28,TechnicalInputs!$D$27))*$E34</f>
        <v>1</v>
      </c>
      <c r="BD34" s="28">
        <f t="shared" si="12"/>
        <v>0</v>
      </c>
      <c r="BE34" s="28">
        <f t="shared" si="13"/>
        <v>0</v>
      </c>
      <c r="BF34" s="28">
        <f t="shared" si="14"/>
        <v>0</v>
      </c>
      <c r="BG34" s="28">
        <f t="shared" si="15"/>
        <v>0</v>
      </c>
      <c r="BH34" s="28">
        <f t="shared" si="16"/>
        <v>0</v>
      </c>
      <c r="BI34" s="28">
        <f t="shared" si="17"/>
        <v>0</v>
      </c>
      <c r="BJ34" s="28">
        <f t="shared" si="18"/>
        <v>0</v>
      </c>
      <c r="BK34" s="28">
        <f t="shared" si="19"/>
        <v>0</v>
      </c>
      <c r="BL34" s="28">
        <f t="shared" si="20"/>
        <v>0</v>
      </c>
      <c r="BM34" s="28">
        <f t="shared" si="21"/>
        <v>0</v>
      </c>
      <c r="BN34" s="28">
        <f t="shared" si="22"/>
        <v>0</v>
      </c>
      <c r="BO34" s="28">
        <f t="shared" si="23"/>
        <v>0</v>
      </c>
      <c r="BP34" s="28">
        <f t="shared" si="24"/>
        <v>0</v>
      </c>
      <c r="BQ34" s="28">
        <f t="shared" si="25"/>
        <v>0</v>
      </c>
      <c r="BR34" s="28">
        <f t="shared" si="26"/>
        <v>0</v>
      </c>
      <c r="BS34" s="28">
        <f t="shared" si="27"/>
        <v>0</v>
      </c>
      <c r="BT34" s="28">
        <f t="shared" si="28"/>
        <v>0</v>
      </c>
      <c r="BU34" s="28">
        <f t="shared" si="29"/>
        <v>0</v>
      </c>
      <c r="BV34" s="28">
        <f t="shared" si="30"/>
        <v>0</v>
      </c>
      <c r="BW34" s="28">
        <f t="shared" si="31"/>
        <v>0</v>
      </c>
      <c r="BX34" s="28">
        <f t="shared" si="32"/>
        <v>0</v>
      </c>
      <c r="BY34" s="83">
        <f t="shared" si="33"/>
        <v>0</v>
      </c>
      <c r="BZ34" s="83">
        <f t="shared" si="4"/>
        <v>0</v>
      </c>
      <c r="CA34" s="83">
        <f t="shared" si="4"/>
        <v>0</v>
      </c>
      <c r="CB34" s="83">
        <f t="shared" si="4"/>
        <v>0</v>
      </c>
      <c r="CC34" s="83">
        <f t="shared" si="4"/>
        <v>0</v>
      </c>
      <c r="CD34" s="83">
        <f t="shared" si="4"/>
        <v>0</v>
      </c>
      <c r="CE34" s="83">
        <f t="shared" si="4"/>
        <v>0</v>
      </c>
      <c r="CF34" s="83">
        <f t="shared" si="4"/>
        <v>0</v>
      </c>
      <c r="CG34" s="83">
        <f t="shared" si="4"/>
        <v>0</v>
      </c>
      <c r="CH34" s="83">
        <f t="shared" si="4"/>
        <v>0</v>
      </c>
      <c r="CI34" s="83">
        <f t="shared" si="4"/>
        <v>0</v>
      </c>
      <c r="CJ34" s="83">
        <f t="shared" si="4"/>
        <v>0</v>
      </c>
      <c r="CK34" s="83">
        <f t="shared" si="4"/>
        <v>0</v>
      </c>
      <c r="CL34" s="83">
        <f t="shared" si="4"/>
        <v>0</v>
      </c>
      <c r="CM34" s="83">
        <f t="shared" si="4"/>
        <v>0</v>
      </c>
      <c r="CN34" s="83">
        <f t="shared" si="4"/>
        <v>0</v>
      </c>
      <c r="CO34" s="83">
        <f t="shared" si="4"/>
        <v>0</v>
      </c>
      <c r="CP34" s="83">
        <f t="shared" si="4"/>
        <v>0</v>
      </c>
      <c r="CQ34" s="83">
        <f t="shared" si="4"/>
        <v>0</v>
      </c>
      <c r="CR34" s="83">
        <f t="shared" si="4"/>
        <v>0</v>
      </c>
      <c r="CS34" s="83">
        <f t="shared" si="4"/>
        <v>0</v>
      </c>
      <c r="CT34" s="84">
        <f t="shared" si="34"/>
        <v>0</v>
      </c>
      <c r="CU34" s="84">
        <f t="shared" si="5"/>
        <v>0</v>
      </c>
      <c r="CV34" s="84">
        <f t="shared" si="5"/>
        <v>0</v>
      </c>
      <c r="CW34" s="84">
        <f t="shared" si="5"/>
        <v>0</v>
      </c>
      <c r="CX34" s="84">
        <f t="shared" si="5"/>
        <v>0</v>
      </c>
      <c r="CY34" s="84">
        <f t="shared" si="5"/>
        <v>0</v>
      </c>
      <c r="CZ34" s="84">
        <f t="shared" si="5"/>
        <v>0</v>
      </c>
      <c r="DA34" s="84">
        <f t="shared" si="5"/>
        <v>0</v>
      </c>
      <c r="DB34" s="84">
        <f t="shared" si="5"/>
        <v>0</v>
      </c>
      <c r="DC34" s="84">
        <f t="shared" si="5"/>
        <v>0</v>
      </c>
      <c r="DD34" s="84">
        <f t="shared" si="5"/>
        <v>0</v>
      </c>
      <c r="DE34" s="84">
        <f t="shared" si="5"/>
        <v>0</v>
      </c>
      <c r="DF34" s="84">
        <f t="shared" si="5"/>
        <v>0</v>
      </c>
      <c r="DG34" s="84">
        <f t="shared" si="5"/>
        <v>0</v>
      </c>
      <c r="DH34" s="84">
        <f t="shared" si="5"/>
        <v>0</v>
      </c>
      <c r="DI34" s="84">
        <f t="shared" si="5"/>
        <v>0</v>
      </c>
      <c r="DJ34" s="84">
        <f t="shared" si="5"/>
        <v>0</v>
      </c>
      <c r="DK34" s="84">
        <f t="shared" si="5"/>
        <v>0</v>
      </c>
      <c r="DL34" s="84">
        <f t="shared" si="5"/>
        <v>0</v>
      </c>
      <c r="DM34" s="84">
        <f t="shared" si="5"/>
        <v>0</v>
      </c>
      <c r="DN34" s="84">
        <f t="shared" si="5"/>
        <v>0</v>
      </c>
      <c r="DR34" s="3">
        <f t="shared" si="37"/>
        <v>2013</v>
      </c>
      <c r="DS34" s="28">
        <v>0</v>
      </c>
      <c r="DT34" s="28">
        <v>0</v>
      </c>
      <c r="DU34" s="28">
        <v>0</v>
      </c>
      <c r="DV34" s="28">
        <f t="shared" si="38"/>
        <v>0</v>
      </c>
      <c r="DW34" s="83">
        <v>0</v>
      </c>
      <c r="DY34" s="84">
        <f>DT34*TechnicalInputs!$B$144*TechnicalInputs!$B$134+TechnicalInputs!$B$135*TechnicalInputs!$B$145*TransactionCosts!DU34+TransactionCosts!DW34*TechnicalInputs!$B$136*TechnicalInputs!$B$146</f>
        <v>0</v>
      </c>
      <c r="DZ34" s="89">
        <f t="shared" si="35"/>
        <v>0</v>
      </c>
      <c r="EA34" s="39">
        <f>DZ34*TechnicalInputs!$B$90*TechnicalInputs!$D$5</f>
        <v>0</v>
      </c>
      <c r="EB34" s="49">
        <f>DT34*TechnicalInputs!$B$139*TechnicalInputs!$B$144+TechnicalInputs!$B$140*TechnicalInputs!$B$145*TransactionCosts!DU34+TransactionCosts!DW34*TechnicalInputs!$B$141*TechnicalInputs!$B$146</f>
        <v>0</v>
      </c>
      <c r="EC34" s="49">
        <f t="shared" si="36"/>
        <v>0</v>
      </c>
    </row>
    <row r="35" spans="1:133">
      <c r="A35" s="3" t="s">
        <v>191</v>
      </c>
      <c r="B35" s="65">
        <f t="shared" si="6"/>
        <v>0.25</v>
      </c>
      <c r="C35" s="3" t="s">
        <v>197</v>
      </c>
      <c r="D35" s="65">
        <f t="shared" si="7"/>
        <v>0.3</v>
      </c>
      <c r="E35" s="3">
        <v>2</v>
      </c>
      <c r="F35" s="65">
        <f t="shared" si="8"/>
        <v>0</v>
      </c>
      <c r="G35" s="3" t="s">
        <v>199</v>
      </c>
      <c r="H35" s="65">
        <v>0.25</v>
      </c>
      <c r="I35" s="65">
        <f t="shared" si="9"/>
        <v>0</v>
      </c>
      <c r="J35" s="3">
        <f>TechnicalInputs!$D$29</f>
        <v>10</v>
      </c>
      <c r="K35" s="3">
        <f>TechnicalInputs!$D$32</f>
        <v>1</v>
      </c>
      <c r="L35" s="3">
        <f t="shared" si="10"/>
        <v>11</v>
      </c>
      <c r="M35" s="1"/>
      <c r="N35" s="40">
        <f t="shared" si="11"/>
        <v>0</v>
      </c>
      <c r="O35" s="40">
        <f t="shared" si="2"/>
        <v>0</v>
      </c>
      <c r="P35" s="40">
        <f t="shared" si="2"/>
        <v>0</v>
      </c>
      <c r="Q35" s="40">
        <f t="shared" si="2"/>
        <v>0</v>
      </c>
      <c r="R35" s="40">
        <f t="shared" si="2"/>
        <v>0</v>
      </c>
      <c r="S35" s="40">
        <f t="shared" si="2"/>
        <v>0</v>
      </c>
      <c r="T35" s="40">
        <f t="shared" si="2"/>
        <v>0</v>
      </c>
      <c r="U35" s="40">
        <f t="shared" si="2"/>
        <v>0</v>
      </c>
      <c r="V35" s="40">
        <f t="shared" si="2"/>
        <v>0</v>
      </c>
      <c r="W35" s="40">
        <f t="shared" si="2"/>
        <v>0</v>
      </c>
      <c r="X35" s="40">
        <f t="shared" si="2"/>
        <v>0</v>
      </c>
      <c r="Y35" s="40">
        <f t="shared" si="2"/>
        <v>0</v>
      </c>
      <c r="Z35" s="40">
        <f t="shared" si="2"/>
        <v>0</v>
      </c>
      <c r="AA35" s="40">
        <f t="shared" si="2"/>
        <v>0</v>
      </c>
      <c r="AB35" s="40">
        <f t="shared" si="2"/>
        <v>0</v>
      </c>
      <c r="AC35" s="40">
        <f t="shared" si="2"/>
        <v>0</v>
      </c>
      <c r="AD35" s="40">
        <f t="shared" si="2"/>
        <v>0</v>
      </c>
      <c r="AE35" s="40">
        <f t="shared" si="2"/>
        <v>0</v>
      </c>
      <c r="AF35" s="40">
        <f t="shared" si="2"/>
        <v>0</v>
      </c>
      <c r="AG35" s="40">
        <f t="shared" si="2"/>
        <v>0</v>
      </c>
      <c r="AH35" s="40">
        <f t="shared" si="2"/>
        <v>0</v>
      </c>
      <c r="AI35" s="40">
        <f>(N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J35" s="40">
        <f>(O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K35" s="40">
        <f>(P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L35" s="40">
        <f>(Q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M35" s="40">
        <f>(R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N35" s="40">
        <f>(S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O35" s="40">
        <f>(T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P35" s="40">
        <f>(U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Q35" s="40">
        <f>(V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R35" s="40">
        <f>(W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S35" s="40">
        <f>(X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T35" s="40">
        <f>(Y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U35" s="40">
        <f>(Z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V35" s="40">
        <f>(AA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W35" s="40">
        <f>(AB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X35" s="40">
        <f>(AC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Y35" s="40">
        <f>(AD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AZ35" s="40">
        <f>(AE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BA35" s="40">
        <f>(AF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BB35" s="40">
        <f>(AG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BC35" s="40">
        <f>(AH35*IF($G35="credit",TechnicalInputs!$D$22,IF($G35="Debit",TechnicalInputs!$D$24,IF($G35="EFT",TechnicalInputs!$D$26,0)))+IF($G35="credit",TechnicalInputs!$D$21,IF($G35="debit",TechnicalInputs!$D$23,IF($G35="eft",TechnicalInputs!$D$25)))+IF(TransactionCosts!$C35="online",TechnicalInputs!$D$28,TechnicalInputs!$D$27))*$E35</f>
        <v>2</v>
      </c>
      <c r="BD35" s="28">
        <f t="shared" si="12"/>
        <v>0</v>
      </c>
      <c r="BE35" s="28">
        <f t="shared" si="13"/>
        <v>0</v>
      </c>
      <c r="BF35" s="28">
        <f t="shared" si="14"/>
        <v>0</v>
      </c>
      <c r="BG35" s="28">
        <f t="shared" si="15"/>
        <v>0</v>
      </c>
      <c r="BH35" s="28">
        <f t="shared" si="16"/>
        <v>0</v>
      </c>
      <c r="BI35" s="28">
        <f t="shared" si="17"/>
        <v>0</v>
      </c>
      <c r="BJ35" s="28">
        <f t="shared" si="18"/>
        <v>0</v>
      </c>
      <c r="BK35" s="28">
        <f t="shared" si="19"/>
        <v>0</v>
      </c>
      <c r="BL35" s="28">
        <f t="shared" si="20"/>
        <v>0</v>
      </c>
      <c r="BM35" s="28">
        <f t="shared" si="21"/>
        <v>0</v>
      </c>
      <c r="BN35" s="28">
        <f t="shared" si="22"/>
        <v>0</v>
      </c>
      <c r="BO35" s="28">
        <f t="shared" si="23"/>
        <v>0</v>
      </c>
      <c r="BP35" s="28">
        <f t="shared" si="24"/>
        <v>0</v>
      </c>
      <c r="BQ35" s="28">
        <f t="shared" si="25"/>
        <v>0</v>
      </c>
      <c r="BR35" s="28">
        <f t="shared" si="26"/>
        <v>0</v>
      </c>
      <c r="BS35" s="28">
        <f t="shared" si="27"/>
        <v>0</v>
      </c>
      <c r="BT35" s="28">
        <f t="shared" si="28"/>
        <v>0</v>
      </c>
      <c r="BU35" s="28">
        <f t="shared" si="29"/>
        <v>0</v>
      </c>
      <c r="BV35" s="28">
        <f t="shared" si="30"/>
        <v>0</v>
      </c>
      <c r="BW35" s="28">
        <f t="shared" si="31"/>
        <v>0</v>
      </c>
      <c r="BX35" s="28">
        <f t="shared" si="32"/>
        <v>0</v>
      </c>
      <c r="BY35" s="83">
        <f t="shared" si="33"/>
        <v>0</v>
      </c>
      <c r="BZ35" s="83">
        <f t="shared" si="4"/>
        <v>0</v>
      </c>
      <c r="CA35" s="83">
        <f t="shared" si="4"/>
        <v>0</v>
      </c>
      <c r="CB35" s="83">
        <f t="shared" si="4"/>
        <v>0</v>
      </c>
      <c r="CC35" s="83">
        <f t="shared" si="4"/>
        <v>0</v>
      </c>
      <c r="CD35" s="83">
        <f t="shared" si="4"/>
        <v>0</v>
      </c>
      <c r="CE35" s="83">
        <f t="shared" si="4"/>
        <v>0</v>
      </c>
      <c r="CF35" s="83">
        <f t="shared" si="4"/>
        <v>0</v>
      </c>
      <c r="CG35" s="83">
        <f t="shared" si="4"/>
        <v>0</v>
      </c>
      <c r="CH35" s="83">
        <f t="shared" si="4"/>
        <v>0</v>
      </c>
      <c r="CI35" s="83">
        <f t="shared" si="4"/>
        <v>0</v>
      </c>
      <c r="CJ35" s="83">
        <f t="shared" si="4"/>
        <v>0</v>
      </c>
      <c r="CK35" s="83">
        <f t="shared" si="4"/>
        <v>0</v>
      </c>
      <c r="CL35" s="83">
        <f t="shared" si="4"/>
        <v>0</v>
      </c>
      <c r="CM35" s="83">
        <f t="shared" si="4"/>
        <v>0</v>
      </c>
      <c r="CN35" s="83">
        <f t="shared" si="4"/>
        <v>0</v>
      </c>
      <c r="CO35" s="83">
        <f t="shared" si="4"/>
        <v>0</v>
      </c>
      <c r="CP35" s="83">
        <f t="shared" si="4"/>
        <v>0</v>
      </c>
      <c r="CQ35" s="83">
        <f t="shared" si="4"/>
        <v>0</v>
      </c>
      <c r="CR35" s="83">
        <f t="shared" si="4"/>
        <v>0</v>
      </c>
      <c r="CS35" s="83">
        <f t="shared" si="4"/>
        <v>0</v>
      </c>
      <c r="CT35" s="84">
        <f t="shared" si="34"/>
        <v>0</v>
      </c>
      <c r="CU35" s="84">
        <f t="shared" si="5"/>
        <v>0</v>
      </c>
      <c r="CV35" s="84">
        <f t="shared" si="5"/>
        <v>0</v>
      </c>
      <c r="CW35" s="84">
        <f t="shared" si="5"/>
        <v>0</v>
      </c>
      <c r="CX35" s="84">
        <f t="shared" si="5"/>
        <v>0</v>
      </c>
      <c r="CY35" s="84">
        <f t="shared" si="5"/>
        <v>0</v>
      </c>
      <c r="CZ35" s="84">
        <f t="shared" si="5"/>
        <v>0</v>
      </c>
      <c r="DA35" s="84">
        <f t="shared" si="5"/>
        <v>0</v>
      </c>
      <c r="DB35" s="84">
        <f t="shared" si="5"/>
        <v>0</v>
      </c>
      <c r="DC35" s="84">
        <f t="shared" si="5"/>
        <v>0</v>
      </c>
      <c r="DD35" s="84">
        <f t="shared" si="5"/>
        <v>0</v>
      </c>
      <c r="DE35" s="84">
        <f t="shared" si="5"/>
        <v>0</v>
      </c>
      <c r="DF35" s="84">
        <f t="shared" si="5"/>
        <v>0</v>
      </c>
      <c r="DG35" s="84">
        <f t="shared" si="5"/>
        <v>0</v>
      </c>
      <c r="DH35" s="84">
        <f t="shared" si="5"/>
        <v>0</v>
      </c>
      <c r="DI35" s="84">
        <f t="shared" si="5"/>
        <v>0</v>
      </c>
      <c r="DJ35" s="84">
        <f t="shared" si="5"/>
        <v>0</v>
      </c>
      <c r="DK35" s="84">
        <f t="shared" si="5"/>
        <v>0</v>
      </c>
      <c r="DL35" s="84">
        <f t="shared" si="5"/>
        <v>0</v>
      </c>
      <c r="DM35" s="84">
        <f t="shared" si="5"/>
        <v>0</v>
      </c>
      <c r="DN35" s="84">
        <f t="shared" si="5"/>
        <v>0</v>
      </c>
      <c r="DR35" s="3">
        <f t="shared" si="37"/>
        <v>2014</v>
      </c>
      <c r="DS35" s="28">
        <v>0</v>
      </c>
      <c r="DT35" s="28">
        <v>0</v>
      </c>
      <c r="DU35" s="28">
        <v>0</v>
      </c>
      <c r="DV35" s="28">
        <f t="shared" si="38"/>
        <v>0</v>
      </c>
      <c r="DW35" s="83">
        <v>0</v>
      </c>
      <c r="DY35" s="84">
        <f>DT35*TechnicalInputs!$B$144*TechnicalInputs!$B$134+TechnicalInputs!$B$135*TechnicalInputs!$B$145*TransactionCosts!DU35+TransactionCosts!DW35*TechnicalInputs!$B$136*TechnicalInputs!$B$146</f>
        <v>0</v>
      </c>
      <c r="DZ35" s="89">
        <f t="shared" si="35"/>
        <v>0</v>
      </c>
      <c r="EA35" s="39">
        <f>DZ35*TechnicalInputs!$B$90*TechnicalInputs!$D$5</f>
        <v>0</v>
      </c>
      <c r="EB35" s="49">
        <f>DT35*TechnicalInputs!$B$139*TechnicalInputs!$B$144+TechnicalInputs!$B$140*TechnicalInputs!$B$145*TransactionCosts!DU35+TransactionCosts!DW35*TechnicalInputs!$B$141*TechnicalInputs!$B$146</f>
        <v>0</v>
      </c>
      <c r="EC35" s="49">
        <f t="shared" si="36"/>
        <v>0</v>
      </c>
    </row>
    <row r="36" spans="1:133">
      <c r="A36" s="3" t="s">
        <v>191</v>
      </c>
      <c r="B36" s="65">
        <f t="shared" si="6"/>
        <v>0.25</v>
      </c>
      <c r="C36" s="3" t="s">
        <v>197</v>
      </c>
      <c r="D36" s="65">
        <f t="shared" si="7"/>
        <v>0.3</v>
      </c>
      <c r="E36" s="3">
        <v>4</v>
      </c>
      <c r="F36" s="65">
        <f t="shared" si="8"/>
        <v>0</v>
      </c>
      <c r="G36" s="3" t="s">
        <v>199</v>
      </c>
      <c r="H36" s="65">
        <v>0.25</v>
      </c>
      <c r="I36" s="65">
        <f t="shared" si="9"/>
        <v>0</v>
      </c>
      <c r="J36" s="3">
        <f>TechnicalInputs!$D$29</f>
        <v>10</v>
      </c>
      <c r="K36" s="3">
        <f>TechnicalInputs!$D$32</f>
        <v>1</v>
      </c>
      <c r="L36" s="3">
        <f t="shared" si="10"/>
        <v>11</v>
      </c>
      <c r="M36" s="1"/>
      <c r="N36" s="40">
        <f t="shared" si="11"/>
        <v>0</v>
      </c>
      <c r="O36" s="40">
        <f t="shared" si="2"/>
        <v>0</v>
      </c>
      <c r="P36" s="40">
        <f t="shared" si="2"/>
        <v>0</v>
      </c>
      <c r="Q36" s="40">
        <f t="shared" si="2"/>
        <v>0</v>
      </c>
      <c r="R36" s="40">
        <f t="shared" si="2"/>
        <v>0</v>
      </c>
      <c r="S36" s="40">
        <f t="shared" si="2"/>
        <v>0</v>
      </c>
      <c r="T36" s="40">
        <f t="shared" si="2"/>
        <v>0</v>
      </c>
      <c r="U36" s="40">
        <f t="shared" si="2"/>
        <v>0</v>
      </c>
      <c r="V36" s="40">
        <f t="shared" si="2"/>
        <v>0</v>
      </c>
      <c r="W36" s="40">
        <f t="shared" si="2"/>
        <v>0</v>
      </c>
      <c r="X36" s="40">
        <f t="shared" si="2"/>
        <v>0</v>
      </c>
      <c r="Y36" s="40">
        <f t="shared" si="2"/>
        <v>0</v>
      </c>
      <c r="Z36" s="40">
        <f t="shared" si="2"/>
        <v>0</v>
      </c>
      <c r="AA36" s="40">
        <f t="shared" si="2"/>
        <v>0</v>
      </c>
      <c r="AB36" s="40">
        <f t="shared" si="2"/>
        <v>0</v>
      </c>
      <c r="AC36" s="40">
        <f t="shared" si="2"/>
        <v>0</v>
      </c>
      <c r="AD36" s="40">
        <f t="shared" si="2"/>
        <v>0</v>
      </c>
      <c r="AE36" s="40">
        <f t="shared" si="2"/>
        <v>0</v>
      </c>
      <c r="AF36" s="40">
        <f t="shared" si="2"/>
        <v>0</v>
      </c>
      <c r="AG36" s="40">
        <f t="shared" si="2"/>
        <v>0</v>
      </c>
      <c r="AH36" s="40">
        <f t="shared" si="2"/>
        <v>0</v>
      </c>
      <c r="AI36" s="40">
        <f>(N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J36" s="40">
        <f>(O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K36" s="40">
        <f>(P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L36" s="40">
        <f>(Q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M36" s="40">
        <f>(R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N36" s="40">
        <f>(S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O36" s="40">
        <f>(T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P36" s="40">
        <f>(U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Q36" s="40">
        <f>(V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R36" s="40">
        <f>(W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S36" s="40">
        <f>(X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T36" s="40">
        <f>(Y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U36" s="40">
        <f>(Z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V36" s="40">
        <f>(AA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W36" s="40">
        <f>(AB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X36" s="40">
        <f>(AC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Y36" s="40">
        <f>(AD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AZ36" s="40">
        <f>(AE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BA36" s="40">
        <f>(AF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BB36" s="40">
        <f>(AG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BC36" s="40">
        <f>(AH36*IF($G36="credit",TechnicalInputs!$D$22,IF($G36="Debit",TechnicalInputs!$D$24,IF($G36="EFT",TechnicalInputs!$D$26,0)))+IF($G36="credit",TechnicalInputs!$D$21,IF($G36="debit",TechnicalInputs!$D$23,IF($G36="eft",TechnicalInputs!$D$25)))+IF(TransactionCosts!$C36="online",TechnicalInputs!$D$28,TechnicalInputs!$D$27))*$E36</f>
        <v>4</v>
      </c>
      <c r="BD36" s="28">
        <f t="shared" si="12"/>
        <v>0</v>
      </c>
      <c r="BE36" s="28">
        <f t="shared" si="13"/>
        <v>0</v>
      </c>
      <c r="BF36" s="28">
        <f t="shared" si="14"/>
        <v>0</v>
      </c>
      <c r="BG36" s="28">
        <f t="shared" si="15"/>
        <v>0</v>
      </c>
      <c r="BH36" s="28">
        <f t="shared" si="16"/>
        <v>0</v>
      </c>
      <c r="BI36" s="28">
        <f t="shared" si="17"/>
        <v>0</v>
      </c>
      <c r="BJ36" s="28">
        <f t="shared" si="18"/>
        <v>0</v>
      </c>
      <c r="BK36" s="28">
        <f t="shared" si="19"/>
        <v>0</v>
      </c>
      <c r="BL36" s="28">
        <f t="shared" si="20"/>
        <v>0</v>
      </c>
      <c r="BM36" s="28">
        <f t="shared" si="21"/>
        <v>0</v>
      </c>
      <c r="BN36" s="28">
        <f t="shared" si="22"/>
        <v>0</v>
      </c>
      <c r="BO36" s="28">
        <f t="shared" si="23"/>
        <v>0</v>
      </c>
      <c r="BP36" s="28">
        <f t="shared" si="24"/>
        <v>0</v>
      </c>
      <c r="BQ36" s="28">
        <f t="shared" si="25"/>
        <v>0</v>
      </c>
      <c r="BR36" s="28">
        <f t="shared" si="26"/>
        <v>0</v>
      </c>
      <c r="BS36" s="28">
        <f t="shared" si="27"/>
        <v>0</v>
      </c>
      <c r="BT36" s="28">
        <f t="shared" si="28"/>
        <v>0</v>
      </c>
      <c r="BU36" s="28">
        <f t="shared" si="29"/>
        <v>0</v>
      </c>
      <c r="BV36" s="28">
        <f t="shared" si="30"/>
        <v>0</v>
      </c>
      <c r="BW36" s="28">
        <f t="shared" si="31"/>
        <v>0</v>
      </c>
      <c r="BX36" s="28">
        <f t="shared" si="32"/>
        <v>0</v>
      </c>
      <c r="BY36" s="83">
        <f t="shared" si="33"/>
        <v>0</v>
      </c>
      <c r="BZ36" s="83">
        <f t="shared" si="4"/>
        <v>0</v>
      </c>
      <c r="CA36" s="83">
        <f t="shared" si="4"/>
        <v>0</v>
      </c>
      <c r="CB36" s="83">
        <f t="shared" si="4"/>
        <v>0</v>
      </c>
      <c r="CC36" s="83">
        <f t="shared" si="4"/>
        <v>0</v>
      </c>
      <c r="CD36" s="83">
        <f t="shared" si="4"/>
        <v>0</v>
      </c>
      <c r="CE36" s="83">
        <f t="shared" si="4"/>
        <v>0</v>
      </c>
      <c r="CF36" s="83">
        <f t="shared" si="4"/>
        <v>0</v>
      </c>
      <c r="CG36" s="83">
        <f t="shared" si="4"/>
        <v>0</v>
      </c>
      <c r="CH36" s="83">
        <f t="shared" si="4"/>
        <v>0</v>
      </c>
      <c r="CI36" s="83">
        <f t="shared" si="4"/>
        <v>0</v>
      </c>
      <c r="CJ36" s="83">
        <f t="shared" si="4"/>
        <v>0</v>
      </c>
      <c r="CK36" s="83">
        <f t="shared" si="4"/>
        <v>0</v>
      </c>
      <c r="CL36" s="83">
        <f t="shared" si="4"/>
        <v>0</v>
      </c>
      <c r="CM36" s="83">
        <f t="shared" si="4"/>
        <v>0</v>
      </c>
      <c r="CN36" s="83">
        <f t="shared" si="4"/>
        <v>0</v>
      </c>
      <c r="CO36" s="83">
        <f t="shared" si="4"/>
        <v>0</v>
      </c>
      <c r="CP36" s="83">
        <f t="shared" si="4"/>
        <v>0</v>
      </c>
      <c r="CQ36" s="83">
        <f t="shared" si="4"/>
        <v>0</v>
      </c>
      <c r="CR36" s="83">
        <f t="shared" si="4"/>
        <v>0</v>
      </c>
      <c r="CS36" s="83">
        <f t="shared" si="4"/>
        <v>0</v>
      </c>
      <c r="CT36" s="84">
        <f t="shared" si="34"/>
        <v>0</v>
      </c>
      <c r="CU36" s="84">
        <f t="shared" si="5"/>
        <v>0</v>
      </c>
      <c r="CV36" s="84">
        <f t="shared" si="5"/>
        <v>0</v>
      </c>
      <c r="CW36" s="84">
        <f t="shared" si="5"/>
        <v>0</v>
      </c>
      <c r="CX36" s="84">
        <f t="shared" si="5"/>
        <v>0</v>
      </c>
      <c r="CY36" s="84">
        <f t="shared" si="5"/>
        <v>0</v>
      </c>
      <c r="CZ36" s="84">
        <f t="shared" si="5"/>
        <v>0</v>
      </c>
      <c r="DA36" s="84">
        <f t="shared" si="5"/>
        <v>0</v>
      </c>
      <c r="DB36" s="84">
        <f t="shared" si="5"/>
        <v>0</v>
      </c>
      <c r="DC36" s="84">
        <f t="shared" si="5"/>
        <v>0</v>
      </c>
      <c r="DD36" s="84">
        <f t="shared" si="5"/>
        <v>0</v>
      </c>
      <c r="DE36" s="84">
        <f t="shared" si="5"/>
        <v>0</v>
      </c>
      <c r="DF36" s="84">
        <f t="shared" si="5"/>
        <v>0</v>
      </c>
      <c r="DG36" s="84">
        <f t="shared" si="5"/>
        <v>0</v>
      </c>
      <c r="DH36" s="84">
        <f t="shared" si="5"/>
        <v>0</v>
      </c>
      <c r="DI36" s="84">
        <f t="shared" si="5"/>
        <v>0</v>
      </c>
      <c r="DJ36" s="84">
        <f t="shared" si="5"/>
        <v>0</v>
      </c>
      <c r="DK36" s="84">
        <f t="shared" si="5"/>
        <v>0</v>
      </c>
      <c r="DL36" s="84">
        <f t="shared" si="5"/>
        <v>0</v>
      </c>
      <c r="DM36" s="84">
        <f t="shared" si="5"/>
        <v>0</v>
      </c>
      <c r="DN36" s="84">
        <f t="shared" si="5"/>
        <v>0</v>
      </c>
      <c r="DR36" s="3">
        <f t="shared" si="37"/>
        <v>2015</v>
      </c>
      <c r="DS36" s="28">
        <f t="array" ref="DS36:DS56">TRANSPOSE(BD70:BX70)</f>
        <v>0</v>
      </c>
      <c r="DT36" s="28">
        <f>DS36*($C$8+$C$9)</f>
        <v>0</v>
      </c>
      <c r="DU36" s="28">
        <f t="array" ref="DU36:DU56">TRANSPOSE(BD71:BX71)</f>
        <v>0</v>
      </c>
      <c r="DV36" s="28">
        <f t="shared" si="38"/>
        <v>0</v>
      </c>
      <c r="DW36" s="28">
        <f t="array" ref="DW36:DW56">TRANSPOSE(BD72:BX72)</f>
        <v>0</v>
      </c>
      <c r="DY36" s="84">
        <f>DT36*TechnicalInputs!$B$144*TechnicalInputs!$B$134+TechnicalInputs!$B$135*TechnicalInputs!$B$145*TransactionCosts!DU36+TransactionCosts!DW36*TechnicalInputs!$B$136*TechnicalInputs!$B$146</f>
        <v>0</v>
      </c>
      <c r="DZ36" s="89">
        <f t="shared" si="35"/>
        <v>0</v>
      </c>
      <c r="EA36" s="39">
        <f>DZ36*TechnicalInputs!$B$90*TechnicalInputs!$D$5</f>
        <v>0</v>
      </c>
      <c r="EB36" s="49">
        <f>DT36*TechnicalInputs!$B$139*TechnicalInputs!$B$144+TechnicalInputs!$B$140*TechnicalInputs!$B$145*TransactionCosts!DU36+TransactionCosts!DW36*TechnicalInputs!$B$141*TechnicalInputs!$B$146</f>
        <v>0</v>
      </c>
      <c r="EC36" s="49">
        <f t="shared" si="36"/>
        <v>0</v>
      </c>
    </row>
    <row r="37" spans="1:133">
      <c r="A37" s="3" t="s">
        <v>191</v>
      </c>
      <c r="B37" s="65">
        <f t="shared" si="6"/>
        <v>0.25</v>
      </c>
      <c r="C37" s="3" t="s">
        <v>197</v>
      </c>
      <c r="D37" s="65">
        <f t="shared" si="7"/>
        <v>0.3</v>
      </c>
      <c r="E37" s="3">
        <v>1</v>
      </c>
      <c r="F37" s="65">
        <f t="shared" si="8"/>
        <v>1</v>
      </c>
      <c r="G37" s="3" t="s">
        <v>200</v>
      </c>
      <c r="H37" s="65">
        <v>0.25</v>
      </c>
      <c r="I37" s="65">
        <f t="shared" si="9"/>
        <v>1.8749999999999999E-2</v>
      </c>
      <c r="J37" s="3">
        <f>TechnicalInputs!$D$29</f>
        <v>10</v>
      </c>
      <c r="K37" s="3">
        <f>TechnicalInputs!$D$32</f>
        <v>1</v>
      </c>
      <c r="L37" s="3">
        <f t="shared" si="10"/>
        <v>11</v>
      </c>
      <c r="M37" s="1"/>
      <c r="N37" s="40">
        <f t="shared" si="11"/>
        <v>0</v>
      </c>
      <c r="O37" s="40">
        <f t="shared" si="2"/>
        <v>0</v>
      </c>
      <c r="P37" s="40">
        <f t="shared" si="2"/>
        <v>0</v>
      </c>
      <c r="Q37" s="40">
        <f t="shared" si="2"/>
        <v>0</v>
      </c>
      <c r="R37" s="40">
        <f t="shared" si="2"/>
        <v>0</v>
      </c>
      <c r="S37" s="40">
        <f t="shared" si="2"/>
        <v>0</v>
      </c>
      <c r="T37" s="40">
        <f t="shared" si="2"/>
        <v>0</v>
      </c>
      <c r="U37" s="40">
        <f t="shared" si="2"/>
        <v>0</v>
      </c>
      <c r="V37" s="40">
        <f t="shared" si="2"/>
        <v>0</v>
      </c>
      <c r="W37" s="40">
        <f t="shared" si="2"/>
        <v>0</v>
      </c>
      <c r="X37" s="40">
        <f t="shared" si="2"/>
        <v>0</v>
      </c>
      <c r="Y37" s="40">
        <f t="shared" si="2"/>
        <v>0</v>
      </c>
      <c r="Z37" s="40">
        <f t="shared" si="2"/>
        <v>0</v>
      </c>
      <c r="AA37" s="40">
        <f t="shared" si="2"/>
        <v>0</v>
      </c>
      <c r="AB37" s="40">
        <f t="shared" si="2"/>
        <v>0</v>
      </c>
      <c r="AC37" s="40">
        <f t="shared" si="2"/>
        <v>0</v>
      </c>
      <c r="AD37" s="40">
        <f t="shared" si="2"/>
        <v>0</v>
      </c>
      <c r="AE37" s="40">
        <f t="shared" si="2"/>
        <v>0</v>
      </c>
      <c r="AF37" s="40">
        <f t="shared" si="2"/>
        <v>0</v>
      </c>
      <c r="AG37" s="40">
        <f t="shared" si="2"/>
        <v>0</v>
      </c>
      <c r="AH37" s="40">
        <f t="shared" si="2"/>
        <v>0</v>
      </c>
      <c r="AI37" s="40">
        <f>(N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J37" s="40">
        <f>(O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K37" s="40">
        <f>(P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L37" s="40">
        <f>(Q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M37" s="40">
        <f>(R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N37" s="40">
        <f>(S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O37" s="40">
        <f>(T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P37" s="40">
        <f>(U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Q37" s="40">
        <f>(V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R37" s="40">
        <f>(W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S37" s="40">
        <f>(X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T37" s="40">
        <f>(Y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U37" s="40">
        <f>(Z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V37" s="40">
        <f>(AA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W37" s="40">
        <f>(AB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X37" s="40">
        <f>(AC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Y37" s="40">
        <f>(AD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AZ37" s="40">
        <f>(AE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BA37" s="40">
        <f>(AF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BB37" s="40">
        <f>(AG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BC37" s="40">
        <f>(AH37*IF($G37="credit",TechnicalInputs!$D$22,IF($G37="Debit",TechnicalInputs!$D$24,IF($G37="EFT",TechnicalInputs!$D$26,0)))+IF($G37="credit",TechnicalInputs!$D$21,IF($G37="debit",TechnicalInputs!$D$23,IF($G37="eft",TechnicalInputs!$D$25)))+IF(TransactionCosts!$C37="online",TechnicalInputs!$D$28,TechnicalInputs!$D$27))*$E37</f>
        <v>0.9</v>
      </c>
      <c r="BD37" s="28">
        <f t="shared" si="12"/>
        <v>0</v>
      </c>
      <c r="BE37" s="28">
        <f t="shared" si="13"/>
        <v>0</v>
      </c>
      <c r="BF37" s="28">
        <f t="shared" si="14"/>
        <v>0</v>
      </c>
      <c r="BG37" s="28">
        <f t="shared" si="15"/>
        <v>0</v>
      </c>
      <c r="BH37" s="28">
        <f t="shared" si="16"/>
        <v>0</v>
      </c>
      <c r="BI37" s="28">
        <f t="shared" si="17"/>
        <v>0</v>
      </c>
      <c r="BJ37" s="28">
        <f t="shared" si="18"/>
        <v>0</v>
      </c>
      <c r="BK37" s="28">
        <f t="shared" si="19"/>
        <v>0</v>
      </c>
      <c r="BL37" s="28">
        <f t="shared" si="20"/>
        <v>0</v>
      </c>
      <c r="BM37" s="28">
        <f t="shared" si="21"/>
        <v>0</v>
      </c>
      <c r="BN37" s="28">
        <f t="shared" si="22"/>
        <v>0</v>
      </c>
      <c r="BO37" s="28">
        <f t="shared" si="23"/>
        <v>0</v>
      </c>
      <c r="BP37" s="28">
        <f t="shared" si="24"/>
        <v>0</v>
      </c>
      <c r="BQ37" s="28">
        <f t="shared" si="25"/>
        <v>0</v>
      </c>
      <c r="BR37" s="28">
        <f t="shared" si="26"/>
        <v>0</v>
      </c>
      <c r="BS37" s="28">
        <f t="shared" si="27"/>
        <v>0</v>
      </c>
      <c r="BT37" s="28">
        <f t="shared" si="28"/>
        <v>0</v>
      </c>
      <c r="BU37" s="28">
        <f t="shared" si="29"/>
        <v>0</v>
      </c>
      <c r="BV37" s="28">
        <f t="shared" si="30"/>
        <v>0</v>
      </c>
      <c r="BW37" s="28">
        <f t="shared" si="31"/>
        <v>0</v>
      </c>
      <c r="BX37" s="28">
        <f t="shared" si="32"/>
        <v>0</v>
      </c>
      <c r="BY37" s="83">
        <f t="shared" si="33"/>
        <v>0</v>
      </c>
      <c r="BZ37" s="83">
        <f t="shared" si="4"/>
        <v>0</v>
      </c>
      <c r="CA37" s="83">
        <f t="shared" si="4"/>
        <v>0</v>
      </c>
      <c r="CB37" s="83">
        <f t="shared" si="4"/>
        <v>0</v>
      </c>
      <c r="CC37" s="83">
        <f t="shared" si="4"/>
        <v>0</v>
      </c>
      <c r="CD37" s="83">
        <f t="shared" si="4"/>
        <v>0</v>
      </c>
      <c r="CE37" s="83">
        <f t="shared" si="4"/>
        <v>0</v>
      </c>
      <c r="CF37" s="83">
        <f t="shared" si="4"/>
        <v>0</v>
      </c>
      <c r="CG37" s="83">
        <f t="shared" si="4"/>
        <v>0</v>
      </c>
      <c r="CH37" s="83">
        <f t="shared" si="4"/>
        <v>0</v>
      </c>
      <c r="CI37" s="83">
        <f t="shared" si="4"/>
        <v>0</v>
      </c>
      <c r="CJ37" s="83">
        <f t="shared" si="4"/>
        <v>0</v>
      </c>
      <c r="CK37" s="83">
        <f t="shared" si="4"/>
        <v>0</v>
      </c>
      <c r="CL37" s="83">
        <f t="shared" si="4"/>
        <v>0</v>
      </c>
      <c r="CM37" s="83">
        <f t="shared" si="4"/>
        <v>0</v>
      </c>
      <c r="CN37" s="83">
        <f t="shared" si="4"/>
        <v>0</v>
      </c>
      <c r="CO37" s="83">
        <f t="shared" si="4"/>
        <v>0</v>
      </c>
      <c r="CP37" s="83">
        <f t="shared" si="4"/>
        <v>0</v>
      </c>
      <c r="CQ37" s="83">
        <f t="shared" si="4"/>
        <v>0</v>
      </c>
      <c r="CR37" s="83">
        <f t="shared" si="4"/>
        <v>0</v>
      </c>
      <c r="CS37" s="83">
        <f t="shared" si="4"/>
        <v>0</v>
      </c>
      <c r="CT37" s="84">
        <f t="shared" si="34"/>
        <v>0</v>
      </c>
      <c r="CU37" s="84">
        <f t="shared" si="5"/>
        <v>0</v>
      </c>
      <c r="CV37" s="84">
        <f t="shared" si="5"/>
        <v>0</v>
      </c>
      <c r="CW37" s="84">
        <f t="shared" si="5"/>
        <v>0</v>
      </c>
      <c r="CX37" s="84">
        <f t="shared" si="5"/>
        <v>0</v>
      </c>
      <c r="CY37" s="84">
        <f t="shared" si="5"/>
        <v>0</v>
      </c>
      <c r="CZ37" s="84">
        <f t="shared" si="5"/>
        <v>0</v>
      </c>
      <c r="DA37" s="84">
        <f t="shared" si="5"/>
        <v>0</v>
      </c>
      <c r="DB37" s="84">
        <f t="shared" si="5"/>
        <v>0</v>
      </c>
      <c r="DC37" s="84">
        <f t="shared" si="5"/>
        <v>0</v>
      </c>
      <c r="DD37" s="84">
        <f t="shared" si="5"/>
        <v>0</v>
      </c>
      <c r="DE37" s="84">
        <f t="shared" si="5"/>
        <v>0</v>
      </c>
      <c r="DF37" s="84">
        <f t="shared" si="5"/>
        <v>0</v>
      </c>
      <c r="DG37" s="84">
        <f t="shared" si="5"/>
        <v>0</v>
      </c>
      <c r="DH37" s="84">
        <f t="shared" si="5"/>
        <v>0</v>
      </c>
      <c r="DI37" s="84">
        <f t="shared" si="5"/>
        <v>0</v>
      </c>
      <c r="DJ37" s="84">
        <f t="shared" si="5"/>
        <v>0</v>
      </c>
      <c r="DK37" s="84">
        <f t="shared" si="5"/>
        <v>0</v>
      </c>
      <c r="DL37" s="84">
        <f t="shared" si="5"/>
        <v>0</v>
      </c>
      <c r="DM37" s="84">
        <f t="shared" si="5"/>
        <v>0</v>
      </c>
      <c r="DN37" s="84">
        <f t="shared" si="5"/>
        <v>0</v>
      </c>
      <c r="DR37" s="3">
        <f t="shared" si="37"/>
        <v>2016</v>
      </c>
      <c r="DS37" s="28">
        <v>0</v>
      </c>
      <c r="DT37" s="28">
        <f t="shared" ref="DT37:DT56" si="39">DS37*($C$8+$C$9)</f>
        <v>0</v>
      </c>
      <c r="DU37" s="28">
        <v>0</v>
      </c>
      <c r="DV37" s="28">
        <f t="shared" si="38"/>
        <v>0</v>
      </c>
      <c r="DW37" s="28">
        <v>0</v>
      </c>
      <c r="DY37" s="84">
        <f>DT37*TechnicalInputs!$B$144*TechnicalInputs!$B$134+TechnicalInputs!$B$135*TechnicalInputs!$B$145*TransactionCosts!DU37+TransactionCosts!DW37*TechnicalInputs!$B$136*TechnicalInputs!$B$146</f>
        <v>0</v>
      </c>
      <c r="DZ37" s="89">
        <f t="shared" si="35"/>
        <v>0</v>
      </c>
      <c r="EA37" s="39">
        <f>DZ37*TechnicalInputs!$B$90*TechnicalInputs!$D$5</f>
        <v>0</v>
      </c>
      <c r="EB37" s="49">
        <f>DT37*TechnicalInputs!$B$139*TechnicalInputs!$B$144+TechnicalInputs!$B$140*TechnicalInputs!$B$145*TransactionCosts!DU37+TransactionCosts!DW37*TechnicalInputs!$B$141*TechnicalInputs!$B$146</f>
        <v>0</v>
      </c>
      <c r="EC37" s="49">
        <f t="shared" si="36"/>
        <v>0</v>
      </c>
    </row>
    <row r="38" spans="1:133">
      <c r="A38" s="3" t="s">
        <v>191</v>
      </c>
      <c r="B38" s="65">
        <f t="shared" si="6"/>
        <v>0.25</v>
      </c>
      <c r="C38" s="3" t="s">
        <v>197</v>
      </c>
      <c r="D38" s="65">
        <f t="shared" si="7"/>
        <v>0.3</v>
      </c>
      <c r="E38" s="3">
        <v>2</v>
      </c>
      <c r="F38" s="65">
        <f t="shared" si="8"/>
        <v>0</v>
      </c>
      <c r="G38" s="3" t="s">
        <v>200</v>
      </c>
      <c r="H38" s="65">
        <v>0.25</v>
      </c>
      <c r="I38" s="65">
        <f t="shared" si="9"/>
        <v>0</v>
      </c>
      <c r="J38" s="3">
        <f>TechnicalInputs!$D$29</f>
        <v>10</v>
      </c>
      <c r="K38" s="3">
        <f>TechnicalInputs!$D$32</f>
        <v>1</v>
      </c>
      <c r="L38" s="3">
        <f t="shared" si="10"/>
        <v>11</v>
      </c>
      <c r="M38" s="1"/>
      <c r="N38" s="40">
        <f t="shared" si="11"/>
        <v>0</v>
      </c>
      <c r="O38" s="40">
        <f t="shared" si="2"/>
        <v>0</v>
      </c>
      <c r="P38" s="40">
        <f t="shared" si="2"/>
        <v>0</v>
      </c>
      <c r="Q38" s="40">
        <f t="shared" si="2"/>
        <v>0</v>
      </c>
      <c r="R38" s="40">
        <f t="shared" si="2"/>
        <v>0</v>
      </c>
      <c r="S38" s="40">
        <f t="shared" si="2"/>
        <v>0</v>
      </c>
      <c r="T38" s="40">
        <f t="shared" si="2"/>
        <v>0</v>
      </c>
      <c r="U38" s="40">
        <f t="shared" si="2"/>
        <v>0</v>
      </c>
      <c r="V38" s="40">
        <f t="shared" si="2"/>
        <v>0</v>
      </c>
      <c r="W38" s="40">
        <f t="shared" si="2"/>
        <v>0</v>
      </c>
      <c r="X38" s="40">
        <f t="shared" si="2"/>
        <v>0</v>
      </c>
      <c r="Y38" s="40">
        <f t="shared" si="2"/>
        <v>0</v>
      </c>
      <c r="Z38" s="40">
        <f t="shared" si="2"/>
        <v>0</v>
      </c>
      <c r="AA38" s="40">
        <f t="shared" si="2"/>
        <v>0</v>
      </c>
      <c r="AB38" s="40">
        <f t="shared" si="2"/>
        <v>0</v>
      </c>
      <c r="AC38" s="40">
        <f t="shared" si="2"/>
        <v>0</v>
      </c>
      <c r="AD38" s="40">
        <f t="shared" si="2"/>
        <v>0</v>
      </c>
      <c r="AE38" s="40">
        <f t="shared" si="2"/>
        <v>0</v>
      </c>
      <c r="AF38" s="40">
        <f t="shared" si="2"/>
        <v>0</v>
      </c>
      <c r="AG38" s="40">
        <f t="shared" si="2"/>
        <v>0</v>
      </c>
      <c r="AH38" s="40">
        <f t="shared" si="2"/>
        <v>0</v>
      </c>
      <c r="AI38" s="40">
        <f>(N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J38" s="40">
        <f>(O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K38" s="40">
        <f>(P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L38" s="40">
        <f>(Q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M38" s="40">
        <f>(R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N38" s="40">
        <f>(S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O38" s="40">
        <f>(T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P38" s="40">
        <f>(U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Q38" s="40">
        <f>(V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R38" s="40">
        <f>(W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S38" s="40">
        <f>(X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T38" s="40">
        <f>(Y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U38" s="40">
        <f>(Z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V38" s="40">
        <f>(AA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W38" s="40">
        <f>(AB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X38" s="40">
        <f>(AC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Y38" s="40">
        <f>(AD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AZ38" s="40">
        <f>(AE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BA38" s="40">
        <f>(AF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BB38" s="40">
        <f>(AG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BC38" s="40">
        <f>(AH38*IF($G38="credit",TechnicalInputs!$D$22,IF($G38="Debit",TechnicalInputs!$D$24,IF($G38="EFT",TechnicalInputs!$D$26,0)))+IF($G38="credit",TechnicalInputs!$D$21,IF($G38="debit",TechnicalInputs!$D$23,IF($G38="eft",TechnicalInputs!$D$25)))+IF(TransactionCosts!$C38="online",TechnicalInputs!$D$28,TechnicalInputs!$D$27))*$E38</f>
        <v>1.8</v>
      </c>
      <c r="BD38" s="28">
        <f t="shared" si="12"/>
        <v>0</v>
      </c>
      <c r="BE38" s="28">
        <f t="shared" si="13"/>
        <v>0</v>
      </c>
      <c r="BF38" s="28">
        <f t="shared" si="14"/>
        <v>0</v>
      </c>
      <c r="BG38" s="28">
        <f t="shared" si="15"/>
        <v>0</v>
      </c>
      <c r="BH38" s="28">
        <f t="shared" si="16"/>
        <v>0</v>
      </c>
      <c r="BI38" s="28">
        <f t="shared" si="17"/>
        <v>0</v>
      </c>
      <c r="BJ38" s="28">
        <f t="shared" si="18"/>
        <v>0</v>
      </c>
      <c r="BK38" s="28">
        <f t="shared" si="19"/>
        <v>0</v>
      </c>
      <c r="BL38" s="28">
        <f t="shared" si="20"/>
        <v>0</v>
      </c>
      <c r="BM38" s="28">
        <f t="shared" si="21"/>
        <v>0</v>
      </c>
      <c r="BN38" s="28">
        <f t="shared" si="22"/>
        <v>0</v>
      </c>
      <c r="BO38" s="28">
        <f t="shared" si="23"/>
        <v>0</v>
      </c>
      <c r="BP38" s="28">
        <f t="shared" si="24"/>
        <v>0</v>
      </c>
      <c r="BQ38" s="28">
        <f t="shared" si="25"/>
        <v>0</v>
      </c>
      <c r="BR38" s="28">
        <f t="shared" si="26"/>
        <v>0</v>
      </c>
      <c r="BS38" s="28">
        <f t="shared" si="27"/>
        <v>0</v>
      </c>
      <c r="BT38" s="28">
        <f t="shared" si="28"/>
        <v>0</v>
      </c>
      <c r="BU38" s="28">
        <f t="shared" si="29"/>
        <v>0</v>
      </c>
      <c r="BV38" s="28">
        <f t="shared" si="30"/>
        <v>0</v>
      </c>
      <c r="BW38" s="28">
        <f t="shared" si="31"/>
        <v>0</v>
      </c>
      <c r="BX38" s="28">
        <f t="shared" si="32"/>
        <v>0</v>
      </c>
      <c r="BY38" s="83">
        <f t="shared" si="33"/>
        <v>0</v>
      </c>
      <c r="BZ38" s="83">
        <f t="shared" si="4"/>
        <v>0</v>
      </c>
      <c r="CA38" s="83">
        <f t="shared" si="4"/>
        <v>0</v>
      </c>
      <c r="CB38" s="83">
        <f t="shared" si="4"/>
        <v>0</v>
      </c>
      <c r="CC38" s="83">
        <f t="shared" si="4"/>
        <v>0</v>
      </c>
      <c r="CD38" s="83">
        <f t="shared" si="4"/>
        <v>0</v>
      </c>
      <c r="CE38" s="83">
        <f t="shared" si="4"/>
        <v>0</v>
      </c>
      <c r="CF38" s="83">
        <f t="shared" si="4"/>
        <v>0</v>
      </c>
      <c r="CG38" s="83">
        <f t="shared" si="4"/>
        <v>0</v>
      </c>
      <c r="CH38" s="83">
        <f t="shared" si="4"/>
        <v>0</v>
      </c>
      <c r="CI38" s="83">
        <f t="shared" si="4"/>
        <v>0</v>
      </c>
      <c r="CJ38" s="83">
        <f t="shared" si="4"/>
        <v>0</v>
      </c>
      <c r="CK38" s="83">
        <f t="shared" si="4"/>
        <v>0</v>
      </c>
      <c r="CL38" s="83">
        <f t="shared" si="4"/>
        <v>0</v>
      </c>
      <c r="CM38" s="83">
        <f t="shared" si="4"/>
        <v>0</v>
      </c>
      <c r="CN38" s="83">
        <f t="shared" si="4"/>
        <v>0</v>
      </c>
      <c r="CO38" s="83">
        <f t="shared" si="4"/>
        <v>0</v>
      </c>
      <c r="CP38" s="83">
        <f t="shared" si="4"/>
        <v>0</v>
      </c>
      <c r="CQ38" s="83">
        <f t="shared" si="4"/>
        <v>0</v>
      </c>
      <c r="CR38" s="83">
        <f t="shared" si="4"/>
        <v>0</v>
      </c>
      <c r="CS38" s="83">
        <f t="shared" si="4"/>
        <v>0</v>
      </c>
      <c r="CT38" s="84">
        <f t="shared" si="34"/>
        <v>0</v>
      </c>
      <c r="CU38" s="84">
        <f t="shared" si="5"/>
        <v>0</v>
      </c>
      <c r="CV38" s="84">
        <f t="shared" si="5"/>
        <v>0</v>
      </c>
      <c r="CW38" s="84">
        <f t="shared" si="5"/>
        <v>0</v>
      </c>
      <c r="CX38" s="84">
        <f t="shared" si="5"/>
        <v>0</v>
      </c>
      <c r="CY38" s="84">
        <f t="shared" si="5"/>
        <v>0</v>
      </c>
      <c r="CZ38" s="84">
        <f t="shared" si="5"/>
        <v>0</v>
      </c>
      <c r="DA38" s="84">
        <f t="shared" si="5"/>
        <v>0</v>
      </c>
      <c r="DB38" s="84">
        <f t="shared" si="5"/>
        <v>0</v>
      </c>
      <c r="DC38" s="84">
        <f t="shared" si="5"/>
        <v>0</v>
      </c>
      <c r="DD38" s="84">
        <f t="shared" si="5"/>
        <v>0</v>
      </c>
      <c r="DE38" s="84">
        <f t="shared" si="5"/>
        <v>0</v>
      </c>
      <c r="DF38" s="84">
        <f t="shared" si="5"/>
        <v>0</v>
      </c>
      <c r="DG38" s="84">
        <f t="shared" si="5"/>
        <v>0</v>
      </c>
      <c r="DH38" s="84">
        <f t="shared" si="5"/>
        <v>0</v>
      </c>
      <c r="DI38" s="84">
        <f t="shared" si="5"/>
        <v>0</v>
      </c>
      <c r="DJ38" s="84">
        <f t="shared" si="5"/>
        <v>0</v>
      </c>
      <c r="DK38" s="84">
        <f t="shared" si="5"/>
        <v>0</v>
      </c>
      <c r="DL38" s="84">
        <f t="shared" si="5"/>
        <v>0</v>
      </c>
      <c r="DM38" s="84">
        <f t="shared" si="5"/>
        <v>0</v>
      </c>
      <c r="DN38" s="84">
        <f t="shared" si="5"/>
        <v>0</v>
      </c>
      <c r="DR38" s="3">
        <f t="shared" si="37"/>
        <v>2017</v>
      </c>
      <c r="DS38" s="28">
        <v>0</v>
      </c>
      <c r="DT38" s="28">
        <f t="shared" si="39"/>
        <v>0</v>
      </c>
      <c r="DU38" s="28">
        <v>0</v>
      </c>
      <c r="DV38" s="28">
        <f t="shared" si="38"/>
        <v>0</v>
      </c>
      <c r="DW38" s="28">
        <v>0</v>
      </c>
      <c r="DY38" s="84">
        <f>DT38*TechnicalInputs!$B$144*TechnicalInputs!$B$134+TechnicalInputs!$B$135*TechnicalInputs!$B$145*TransactionCosts!DU38+TransactionCosts!DW38*TechnicalInputs!$B$136*TechnicalInputs!$B$146</f>
        <v>0</v>
      </c>
      <c r="DZ38" s="89">
        <f t="shared" si="35"/>
        <v>0</v>
      </c>
      <c r="EA38" s="39">
        <f>DZ38*TechnicalInputs!$B$90*TechnicalInputs!$D$5</f>
        <v>0</v>
      </c>
      <c r="EB38" s="49">
        <f>DT38*TechnicalInputs!$B$139*TechnicalInputs!$B$144+TechnicalInputs!$B$140*TechnicalInputs!$B$145*TransactionCosts!DU38+TransactionCosts!DW38*TechnicalInputs!$B$141*TechnicalInputs!$B$146</f>
        <v>0</v>
      </c>
      <c r="EC38" s="49">
        <f t="shared" si="36"/>
        <v>0</v>
      </c>
    </row>
    <row r="39" spans="1:133">
      <c r="A39" s="3" t="s">
        <v>191</v>
      </c>
      <c r="B39" s="65">
        <f t="shared" si="6"/>
        <v>0.25</v>
      </c>
      <c r="C39" s="3" t="s">
        <v>197</v>
      </c>
      <c r="D39" s="65">
        <f t="shared" si="7"/>
        <v>0.3</v>
      </c>
      <c r="E39" s="3">
        <v>4</v>
      </c>
      <c r="F39" s="65">
        <f t="shared" si="8"/>
        <v>0</v>
      </c>
      <c r="G39" s="3" t="s">
        <v>200</v>
      </c>
      <c r="H39" s="65">
        <v>0.25</v>
      </c>
      <c r="I39" s="65">
        <f t="shared" si="9"/>
        <v>0</v>
      </c>
      <c r="J39" s="3">
        <f>TechnicalInputs!$D$29</f>
        <v>10</v>
      </c>
      <c r="K39" s="3">
        <f>TechnicalInputs!$D$32</f>
        <v>1</v>
      </c>
      <c r="L39" s="3">
        <f t="shared" si="10"/>
        <v>11</v>
      </c>
      <c r="M39" s="1"/>
      <c r="N39" s="40">
        <f t="shared" si="11"/>
        <v>0</v>
      </c>
      <c r="O39" s="40">
        <f t="shared" si="2"/>
        <v>0</v>
      </c>
      <c r="P39" s="40">
        <f t="shared" si="2"/>
        <v>0</v>
      </c>
      <c r="Q39" s="40">
        <f t="shared" si="2"/>
        <v>0</v>
      </c>
      <c r="R39" s="40">
        <f t="shared" si="2"/>
        <v>0</v>
      </c>
      <c r="S39" s="40">
        <f t="shared" si="2"/>
        <v>0</v>
      </c>
      <c r="T39" s="40">
        <f t="shared" si="2"/>
        <v>0</v>
      </c>
      <c r="U39" s="40">
        <f t="shared" si="2"/>
        <v>0</v>
      </c>
      <c r="V39" s="40">
        <f t="shared" si="2"/>
        <v>0</v>
      </c>
      <c r="W39" s="40">
        <f t="shared" si="2"/>
        <v>0</v>
      </c>
      <c r="X39" s="40">
        <f t="shared" si="2"/>
        <v>0</v>
      </c>
      <c r="Y39" s="40">
        <f t="shared" si="2"/>
        <v>0</v>
      </c>
      <c r="Z39" s="40">
        <f t="shared" si="2"/>
        <v>0</v>
      </c>
      <c r="AA39" s="40">
        <f t="shared" si="2"/>
        <v>0</v>
      </c>
      <c r="AB39" s="40">
        <f t="shared" si="2"/>
        <v>0</v>
      </c>
      <c r="AC39" s="40">
        <f t="shared" si="2"/>
        <v>0</v>
      </c>
      <c r="AD39" s="40">
        <f t="shared" si="2"/>
        <v>0</v>
      </c>
      <c r="AE39" s="40">
        <f t="shared" si="2"/>
        <v>0</v>
      </c>
      <c r="AF39" s="40">
        <f t="shared" si="2"/>
        <v>0</v>
      </c>
      <c r="AG39" s="40">
        <f t="shared" si="2"/>
        <v>0</v>
      </c>
      <c r="AH39" s="40">
        <f t="shared" si="2"/>
        <v>0</v>
      </c>
      <c r="AI39" s="40">
        <f>(N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J39" s="40">
        <f>(O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K39" s="40">
        <f>(P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L39" s="40">
        <f>(Q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M39" s="40">
        <f>(R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N39" s="40">
        <f>(S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O39" s="40">
        <f>(T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P39" s="40">
        <f>(U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Q39" s="40">
        <f>(V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R39" s="40">
        <f>(W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S39" s="40">
        <f>(X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T39" s="40">
        <f>(Y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U39" s="40">
        <f>(Z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V39" s="40">
        <f>(AA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W39" s="40">
        <f>(AB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X39" s="40">
        <f>(AC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Y39" s="40">
        <f>(AD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AZ39" s="40">
        <f>(AE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BA39" s="40">
        <f>(AF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BB39" s="40">
        <f>(AG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BC39" s="40">
        <f>(AH39*IF($G39="credit",TechnicalInputs!$D$22,IF($G39="Debit",TechnicalInputs!$D$24,IF($G39="EFT",TechnicalInputs!$D$26,0)))+IF($G39="credit",TechnicalInputs!$D$21,IF($G39="debit",TechnicalInputs!$D$23,IF($G39="eft",TechnicalInputs!$D$25)))+IF(TransactionCosts!$C39="online",TechnicalInputs!$D$28,TechnicalInputs!$D$27))*$E39</f>
        <v>3.6</v>
      </c>
      <c r="BD39" s="28">
        <f t="shared" si="12"/>
        <v>0</v>
      </c>
      <c r="BE39" s="28">
        <f t="shared" si="13"/>
        <v>0</v>
      </c>
      <c r="BF39" s="28">
        <f t="shared" si="14"/>
        <v>0</v>
      </c>
      <c r="BG39" s="28">
        <f t="shared" si="15"/>
        <v>0</v>
      </c>
      <c r="BH39" s="28">
        <f t="shared" si="16"/>
        <v>0</v>
      </c>
      <c r="BI39" s="28">
        <f t="shared" si="17"/>
        <v>0</v>
      </c>
      <c r="BJ39" s="28">
        <f t="shared" si="18"/>
        <v>0</v>
      </c>
      <c r="BK39" s="28">
        <f t="shared" si="19"/>
        <v>0</v>
      </c>
      <c r="BL39" s="28">
        <f t="shared" si="20"/>
        <v>0</v>
      </c>
      <c r="BM39" s="28">
        <f t="shared" si="21"/>
        <v>0</v>
      </c>
      <c r="BN39" s="28">
        <f t="shared" si="22"/>
        <v>0</v>
      </c>
      <c r="BO39" s="28">
        <f t="shared" si="23"/>
        <v>0</v>
      </c>
      <c r="BP39" s="28">
        <f t="shared" si="24"/>
        <v>0</v>
      </c>
      <c r="BQ39" s="28">
        <f t="shared" si="25"/>
        <v>0</v>
      </c>
      <c r="BR39" s="28">
        <f t="shared" si="26"/>
        <v>0</v>
      </c>
      <c r="BS39" s="28">
        <f t="shared" si="27"/>
        <v>0</v>
      </c>
      <c r="BT39" s="28">
        <f t="shared" si="28"/>
        <v>0</v>
      </c>
      <c r="BU39" s="28">
        <f t="shared" si="29"/>
        <v>0</v>
      </c>
      <c r="BV39" s="28">
        <f t="shared" si="30"/>
        <v>0</v>
      </c>
      <c r="BW39" s="28">
        <f t="shared" si="31"/>
        <v>0</v>
      </c>
      <c r="BX39" s="28">
        <f t="shared" si="32"/>
        <v>0</v>
      </c>
      <c r="BY39" s="83">
        <f t="shared" si="33"/>
        <v>0</v>
      </c>
      <c r="BZ39" s="83">
        <f t="shared" si="4"/>
        <v>0</v>
      </c>
      <c r="CA39" s="83">
        <f t="shared" si="4"/>
        <v>0</v>
      </c>
      <c r="CB39" s="83">
        <f t="shared" si="4"/>
        <v>0</v>
      </c>
      <c r="CC39" s="83">
        <f t="shared" si="4"/>
        <v>0</v>
      </c>
      <c r="CD39" s="83">
        <f t="shared" si="4"/>
        <v>0</v>
      </c>
      <c r="CE39" s="83">
        <f t="shared" si="4"/>
        <v>0</v>
      </c>
      <c r="CF39" s="83">
        <f t="shared" si="4"/>
        <v>0</v>
      </c>
      <c r="CG39" s="83">
        <f t="shared" si="4"/>
        <v>0</v>
      </c>
      <c r="CH39" s="83">
        <f t="shared" si="4"/>
        <v>0</v>
      </c>
      <c r="CI39" s="83">
        <f t="shared" si="4"/>
        <v>0</v>
      </c>
      <c r="CJ39" s="83">
        <f t="shared" si="4"/>
        <v>0</v>
      </c>
      <c r="CK39" s="83">
        <f t="shared" si="4"/>
        <v>0</v>
      </c>
      <c r="CL39" s="83">
        <f t="shared" si="4"/>
        <v>0</v>
      </c>
      <c r="CM39" s="83">
        <f t="shared" si="4"/>
        <v>0</v>
      </c>
      <c r="CN39" s="83">
        <f t="shared" si="4"/>
        <v>0</v>
      </c>
      <c r="CO39" s="83">
        <f t="shared" si="4"/>
        <v>0</v>
      </c>
      <c r="CP39" s="83">
        <f t="shared" si="4"/>
        <v>0</v>
      </c>
      <c r="CQ39" s="83">
        <f t="shared" si="4"/>
        <v>0</v>
      </c>
      <c r="CR39" s="83">
        <f t="shared" si="4"/>
        <v>0</v>
      </c>
      <c r="CS39" s="83">
        <f t="shared" si="4"/>
        <v>0</v>
      </c>
      <c r="CT39" s="84">
        <f t="shared" si="34"/>
        <v>0</v>
      </c>
      <c r="CU39" s="84">
        <f t="shared" si="5"/>
        <v>0</v>
      </c>
      <c r="CV39" s="84">
        <f t="shared" si="5"/>
        <v>0</v>
      </c>
      <c r="CW39" s="84">
        <f t="shared" si="5"/>
        <v>0</v>
      </c>
      <c r="CX39" s="84">
        <f t="shared" si="5"/>
        <v>0</v>
      </c>
      <c r="CY39" s="84">
        <f t="shared" si="5"/>
        <v>0</v>
      </c>
      <c r="CZ39" s="84">
        <f t="shared" si="5"/>
        <v>0</v>
      </c>
      <c r="DA39" s="84">
        <f t="shared" si="5"/>
        <v>0</v>
      </c>
      <c r="DB39" s="84">
        <f t="shared" si="5"/>
        <v>0</v>
      </c>
      <c r="DC39" s="84">
        <f t="shared" si="5"/>
        <v>0</v>
      </c>
      <c r="DD39" s="84">
        <f t="shared" si="5"/>
        <v>0</v>
      </c>
      <c r="DE39" s="84">
        <f t="shared" si="5"/>
        <v>0</v>
      </c>
      <c r="DF39" s="84">
        <f t="shared" si="5"/>
        <v>0</v>
      </c>
      <c r="DG39" s="84">
        <f t="shared" si="5"/>
        <v>0</v>
      </c>
      <c r="DH39" s="84">
        <f t="shared" si="5"/>
        <v>0</v>
      </c>
      <c r="DI39" s="84">
        <f t="shared" si="5"/>
        <v>0</v>
      </c>
      <c r="DJ39" s="84">
        <f t="shared" si="5"/>
        <v>0</v>
      </c>
      <c r="DK39" s="84">
        <f t="shared" si="5"/>
        <v>0</v>
      </c>
      <c r="DL39" s="84">
        <f t="shared" si="5"/>
        <v>0</v>
      </c>
      <c r="DM39" s="84">
        <f t="shared" si="5"/>
        <v>0</v>
      </c>
      <c r="DN39" s="84">
        <f t="shared" si="5"/>
        <v>0</v>
      </c>
      <c r="DR39" s="3">
        <f t="shared" si="37"/>
        <v>2018</v>
      </c>
      <c r="DS39" s="28">
        <v>0</v>
      </c>
      <c r="DT39" s="28">
        <f t="shared" si="39"/>
        <v>0</v>
      </c>
      <c r="DU39" s="28">
        <v>0</v>
      </c>
      <c r="DV39" s="28">
        <f t="shared" si="38"/>
        <v>0</v>
      </c>
      <c r="DW39" s="28">
        <v>0</v>
      </c>
      <c r="DY39" s="84">
        <f>DT39*TechnicalInputs!$B$144*TechnicalInputs!$B$134+TechnicalInputs!$B$135*TechnicalInputs!$B$145*TransactionCosts!DU39+TransactionCosts!DW39*TechnicalInputs!$B$136*TechnicalInputs!$B$146</f>
        <v>0</v>
      </c>
      <c r="DZ39" s="89">
        <f t="shared" si="35"/>
        <v>0</v>
      </c>
      <c r="EA39" s="39">
        <f>DZ39*TechnicalInputs!$B$90*TechnicalInputs!$D$5</f>
        <v>0</v>
      </c>
      <c r="EB39" s="49">
        <f>DT39*TechnicalInputs!$B$139*TechnicalInputs!$B$144+TechnicalInputs!$B$140*TechnicalInputs!$B$145*TransactionCosts!DU39+TransactionCosts!DW39*TechnicalInputs!$B$141*TechnicalInputs!$B$146</f>
        <v>0</v>
      </c>
      <c r="EC39" s="49">
        <f t="shared" si="36"/>
        <v>0</v>
      </c>
    </row>
    <row r="40" spans="1:133">
      <c r="A40" s="3" t="s">
        <v>191</v>
      </c>
      <c r="B40" s="65">
        <f t="shared" si="6"/>
        <v>0.25</v>
      </c>
      <c r="C40" s="3" t="s">
        <v>197</v>
      </c>
      <c r="D40" s="65">
        <f t="shared" si="7"/>
        <v>0.3</v>
      </c>
      <c r="E40" s="3">
        <v>1</v>
      </c>
      <c r="F40" s="65">
        <f t="shared" si="8"/>
        <v>1</v>
      </c>
      <c r="G40" s="3" t="s">
        <v>201</v>
      </c>
      <c r="H40" s="65">
        <v>0.25</v>
      </c>
      <c r="I40" s="65">
        <f t="shared" si="9"/>
        <v>1.8749999999999999E-2</v>
      </c>
      <c r="J40" s="3">
        <f>TechnicalInputs!$D$29</f>
        <v>10</v>
      </c>
      <c r="K40" s="3">
        <f>TechnicalInputs!$D$32</f>
        <v>1</v>
      </c>
      <c r="L40" s="3">
        <f t="shared" si="10"/>
        <v>11</v>
      </c>
      <c r="M40" s="1"/>
      <c r="N40" s="40">
        <f t="shared" si="11"/>
        <v>0</v>
      </c>
      <c r="O40" s="40">
        <f t="shared" si="2"/>
        <v>0</v>
      </c>
      <c r="P40" s="40">
        <f t="shared" si="2"/>
        <v>0</v>
      </c>
      <c r="Q40" s="40">
        <f t="shared" si="2"/>
        <v>0</v>
      </c>
      <c r="R40" s="40">
        <f t="shared" si="2"/>
        <v>0</v>
      </c>
      <c r="S40" s="40">
        <f t="shared" si="2"/>
        <v>0</v>
      </c>
      <c r="T40" s="40">
        <f t="shared" si="2"/>
        <v>0</v>
      </c>
      <c r="U40" s="40">
        <f t="shared" si="2"/>
        <v>0</v>
      </c>
      <c r="V40" s="40">
        <f t="shared" si="2"/>
        <v>0</v>
      </c>
      <c r="W40" s="40">
        <f t="shared" si="2"/>
        <v>0</v>
      </c>
      <c r="X40" s="40">
        <f t="shared" si="2"/>
        <v>0</v>
      </c>
      <c r="Y40" s="40">
        <f t="shared" si="2"/>
        <v>0</v>
      </c>
      <c r="Z40" s="40">
        <f t="shared" si="2"/>
        <v>0</v>
      </c>
      <c r="AA40" s="40">
        <f t="shared" si="2"/>
        <v>0</v>
      </c>
      <c r="AB40" s="40">
        <f t="shared" si="2"/>
        <v>0</v>
      </c>
      <c r="AC40" s="40">
        <f t="shared" si="2"/>
        <v>0</v>
      </c>
      <c r="AD40" s="40">
        <f t="shared" si="2"/>
        <v>0</v>
      </c>
      <c r="AE40" s="40">
        <f t="shared" si="2"/>
        <v>0</v>
      </c>
      <c r="AF40" s="40">
        <f t="shared" si="2"/>
        <v>0</v>
      </c>
      <c r="AG40" s="40">
        <f t="shared" si="2"/>
        <v>0</v>
      </c>
      <c r="AH40" s="40">
        <f t="shared" si="2"/>
        <v>0</v>
      </c>
      <c r="AI40" s="40">
        <f>(N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J40" s="40">
        <f>(O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K40" s="40">
        <f>(P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L40" s="40">
        <f>(Q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M40" s="40">
        <f>(R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N40" s="40">
        <f>(S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O40" s="40">
        <f>(T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P40" s="40">
        <f>(U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Q40" s="40">
        <f>(V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R40" s="40">
        <f>(W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S40" s="40">
        <f>(X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T40" s="40">
        <f>(Y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U40" s="40">
        <f>(Z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V40" s="40">
        <f>(AA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W40" s="40">
        <f>(AB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X40" s="40">
        <f>(AC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Y40" s="40">
        <f>(AD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AZ40" s="40">
        <f>(AE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BA40" s="40">
        <f>(AF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BB40" s="40">
        <f>(AG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BC40" s="40">
        <f>(AH40*IF($G40="credit",TechnicalInputs!$D$22,IF($G40="Debit",TechnicalInputs!$D$24,IF($G40="EFT",TechnicalInputs!$D$26,0)))+IF($G40="credit",TechnicalInputs!$D$21,IF($G40="debit",TechnicalInputs!$D$23,IF($G40="eft",TechnicalInputs!$D$25)))+IF(TransactionCosts!$C40="online",TechnicalInputs!$D$28,TechnicalInputs!$D$27))*$E40</f>
        <v>0.9</v>
      </c>
      <c r="BD40" s="28">
        <f t="shared" si="12"/>
        <v>0</v>
      </c>
      <c r="BE40" s="28">
        <f t="shared" si="13"/>
        <v>0</v>
      </c>
      <c r="BF40" s="28">
        <f t="shared" si="14"/>
        <v>0</v>
      </c>
      <c r="BG40" s="28">
        <f t="shared" si="15"/>
        <v>0</v>
      </c>
      <c r="BH40" s="28">
        <f t="shared" si="16"/>
        <v>0</v>
      </c>
      <c r="BI40" s="28">
        <f t="shared" si="17"/>
        <v>0</v>
      </c>
      <c r="BJ40" s="28">
        <f t="shared" si="18"/>
        <v>0</v>
      </c>
      <c r="BK40" s="28">
        <f t="shared" si="19"/>
        <v>0</v>
      </c>
      <c r="BL40" s="28">
        <f t="shared" si="20"/>
        <v>0</v>
      </c>
      <c r="BM40" s="28">
        <f t="shared" si="21"/>
        <v>0</v>
      </c>
      <c r="BN40" s="28">
        <f t="shared" si="22"/>
        <v>0</v>
      </c>
      <c r="BO40" s="28">
        <f t="shared" si="23"/>
        <v>0</v>
      </c>
      <c r="BP40" s="28">
        <f t="shared" si="24"/>
        <v>0</v>
      </c>
      <c r="BQ40" s="28">
        <f t="shared" si="25"/>
        <v>0</v>
      </c>
      <c r="BR40" s="28">
        <f t="shared" si="26"/>
        <v>0</v>
      </c>
      <c r="BS40" s="28">
        <f t="shared" si="27"/>
        <v>0</v>
      </c>
      <c r="BT40" s="28">
        <f t="shared" si="28"/>
        <v>0</v>
      </c>
      <c r="BU40" s="28">
        <f t="shared" si="29"/>
        <v>0</v>
      </c>
      <c r="BV40" s="28">
        <f t="shared" si="30"/>
        <v>0</v>
      </c>
      <c r="BW40" s="28">
        <f t="shared" si="31"/>
        <v>0</v>
      </c>
      <c r="BX40" s="28">
        <f t="shared" si="32"/>
        <v>0</v>
      </c>
      <c r="BY40" s="83">
        <f t="shared" si="33"/>
        <v>0</v>
      </c>
      <c r="BZ40" s="83">
        <f t="shared" si="4"/>
        <v>0</v>
      </c>
      <c r="CA40" s="83">
        <f t="shared" si="4"/>
        <v>0</v>
      </c>
      <c r="CB40" s="83">
        <f t="shared" si="4"/>
        <v>0</v>
      </c>
      <c r="CC40" s="83">
        <f t="shared" si="4"/>
        <v>0</v>
      </c>
      <c r="CD40" s="83">
        <f t="shared" si="4"/>
        <v>0</v>
      </c>
      <c r="CE40" s="83">
        <f t="shared" si="4"/>
        <v>0</v>
      </c>
      <c r="CF40" s="83">
        <f t="shared" si="4"/>
        <v>0</v>
      </c>
      <c r="CG40" s="83">
        <f t="shared" si="4"/>
        <v>0</v>
      </c>
      <c r="CH40" s="83">
        <f t="shared" si="4"/>
        <v>0</v>
      </c>
      <c r="CI40" s="83">
        <f t="shared" si="4"/>
        <v>0</v>
      </c>
      <c r="CJ40" s="83">
        <f t="shared" si="4"/>
        <v>0</v>
      </c>
      <c r="CK40" s="83">
        <f t="shared" si="4"/>
        <v>0</v>
      </c>
      <c r="CL40" s="83">
        <f t="shared" si="4"/>
        <v>0</v>
      </c>
      <c r="CM40" s="83">
        <f t="shared" si="4"/>
        <v>0</v>
      </c>
      <c r="CN40" s="83">
        <f t="shared" si="4"/>
        <v>0</v>
      </c>
      <c r="CO40" s="83">
        <f t="shared" si="4"/>
        <v>0</v>
      </c>
      <c r="CP40" s="83">
        <f t="shared" si="4"/>
        <v>0</v>
      </c>
      <c r="CQ40" s="83">
        <f t="shared" si="4"/>
        <v>0</v>
      </c>
      <c r="CR40" s="83">
        <f t="shared" si="4"/>
        <v>0</v>
      </c>
      <c r="CS40" s="83">
        <f t="shared" si="4"/>
        <v>0</v>
      </c>
      <c r="CT40" s="84">
        <f t="shared" si="34"/>
        <v>0</v>
      </c>
      <c r="CU40" s="84">
        <f t="shared" si="5"/>
        <v>0</v>
      </c>
      <c r="CV40" s="84">
        <f t="shared" si="5"/>
        <v>0</v>
      </c>
      <c r="CW40" s="84">
        <f t="shared" si="5"/>
        <v>0</v>
      </c>
      <c r="CX40" s="84">
        <f t="shared" si="5"/>
        <v>0</v>
      </c>
      <c r="CY40" s="84">
        <f t="shared" si="5"/>
        <v>0</v>
      </c>
      <c r="CZ40" s="84">
        <f t="shared" si="5"/>
        <v>0</v>
      </c>
      <c r="DA40" s="84">
        <f t="shared" si="5"/>
        <v>0</v>
      </c>
      <c r="DB40" s="84">
        <f t="shared" si="5"/>
        <v>0</v>
      </c>
      <c r="DC40" s="84">
        <f t="shared" si="5"/>
        <v>0</v>
      </c>
      <c r="DD40" s="84">
        <f t="shared" si="5"/>
        <v>0</v>
      </c>
      <c r="DE40" s="84">
        <f t="shared" si="5"/>
        <v>0</v>
      </c>
      <c r="DF40" s="84">
        <f t="shared" si="5"/>
        <v>0</v>
      </c>
      <c r="DG40" s="84">
        <f t="shared" si="5"/>
        <v>0</v>
      </c>
      <c r="DH40" s="84">
        <f t="shared" si="5"/>
        <v>0</v>
      </c>
      <c r="DI40" s="84">
        <f t="shared" si="5"/>
        <v>0</v>
      </c>
      <c r="DJ40" s="84">
        <f t="shared" si="5"/>
        <v>0</v>
      </c>
      <c r="DK40" s="84">
        <f t="shared" si="5"/>
        <v>0</v>
      </c>
      <c r="DL40" s="84">
        <f t="shared" si="5"/>
        <v>0</v>
      </c>
      <c r="DM40" s="84">
        <f t="shared" si="5"/>
        <v>0</v>
      </c>
      <c r="DN40" s="84">
        <f t="shared" si="5"/>
        <v>0</v>
      </c>
      <c r="DR40" s="3">
        <f t="shared" si="37"/>
        <v>2019</v>
      </c>
      <c r="DS40" s="28">
        <v>0</v>
      </c>
      <c r="DT40" s="28">
        <f t="shared" si="39"/>
        <v>0</v>
      </c>
      <c r="DU40" s="28">
        <v>0</v>
      </c>
      <c r="DV40" s="28">
        <f t="shared" si="38"/>
        <v>0</v>
      </c>
      <c r="DW40" s="28">
        <v>0</v>
      </c>
      <c r="DY40" s="84">
        <f>DT40*TechnicalInputs!$B$144*TechnicalInputs!$B$134+TechnicalInputs!$B$135*TechnicalInputs!$B$145*TransactionCosts!DU40+TransactionCosts!DW40*TechnicalInputs!$B$136*TechnicalInputs!$B$146</f>
        <v>0</v>
      </c>
      <c r="DZ40" s="89">
        <f t="shared" si="35"/>
        <v>0</v>
      </c>
      <c r="EA40" s="39">
        <f>DZ40*TechnicalInputs!$B$90*TechnicalInputs!$D$5</f>
        <v>0</v>
      </c>
      <c r="EB40" s="49">
        <f>DT40*TechnicalInputs!$B$139*TechnicalInputs!$B$144+TechnicalInputs!$B$140*TechnicalInputs!$B$145*TransactionCosts!DU40+TransactionCosts!DW40*TechnicalInputs!$B$141*TechnicalInputs!$B$146</f>
        <v>0</v>
      </c>
      <c r="EC40" s="49">
        <f t="shared" si="36"/>
        <v>0</v>
      </c>
    </row>
    <row r="41" spans="1:133">
      <c r="A41" s="3" t="s">
        <v>191</v>
      </c>
      <c r="B41" s="65">
        <f t="shared" si="6"/>
        <v>0.25</v>
      </c>
      <c r="C41" s="3" t="s">
        <v>197</v>
      </c>
      <c r="D41" s="65">
        <f t="shared" si="7"/>
        <v>0.3</v>
      </c>
      <c r="E41" s="3">
        <v>2</v>
      </c>
      <c r="F41" s="65">
        <f t="shared" si="8"/>
        <v>0</v>
      </c>
      <c r="G41" s="3" t="s">
        <v>201</v>
      </c>
      <c r="H41" s="65">
        <v>0.25</v>
      </c>
      <c r="I41" s="65">
        <f t="shared" si="9"/>
        <v>0</v>
      </c>
      <c r="J41" s="3">
        <f>TechnicalInputs!$D$29</f>
        <v>10</v>
      </c>
      <c r="K41" s="3">
        <f>TechnicalInputs!$D$32</f>
        <v>1</v>
      </c>
      <c r="L41" s="3">
        <f t="shared" si="10"/>
        <v>11</v>
      </c>
      <c r="M41" s="1"/>
      <c r="N41" s="40">
        <f t="shared" si="11"/>
        <v>0</v>
      </c>
      <c r="O41" s="40">
        <f t="shared" si="2"/>
        <v>0</v>
      </c>
      <c r="P41" s="40">
        <f t="shared" si="2"/>
        <v>0</v>
      </c>
      <c r="Q41" s="40">
        <f t="shared" si="2"/>
        <v>0</v>
      </c>
      <c r="R41" s="40">
        <f t="shared" si="2"/>
        <v>0</v>
      </c>
      <c r="S41" s="40">
        <f t="shared" si="2"/>
        <v>0</v>
      </c>
      <c r="T41" s="40">
        <f t="shared" si="2"/>
        <v>0</v>
      </c>
      <c r="U41" s="40">
        <f t="shared" si="2"/>
        <v>0</v>
      </c>
      <c r="V41" s="40">
        <f t="shared" si="2"/>
        <v>0</v>
      </c>
      <c r="W41" s="40">
        <f t="shared" si="2"/>
        <v>0</v>
      </c>
      <c r="X41" s="40">
        <f t="shared" si="2"/>
        <v>0</v>
      </c>
      <c r="Y41" s="40">
        <f t="shared" si="2"/>
        <v>0</v>
      </c>
      <c r="Z41" s="40">
        <f t="shared" si="2"/>
        <v>0</v>
      </c>
      <c r="AA41" s="40">
        <f t="shared" si="2"/>
        <v>0</v>
      </c>
      <c r="AB41" s="40">
        <f t="shared" si="2"/>
        <v>0</v>
      </c>
      <c r="AC41" s="40">
        <f t="shared" si="2"/>
        <v>0</v>
      </c>
      <c r="AD41" s="40">
        <f t="shared" si="2"/>
        <v>0</v>
      </c>
      <c r="AE41" s="40">
        <f t="shared" si="2"/>
        <v>0</v>
      </c>
      <c r="AF41" s="40">
        <f t="shared" si="2"/>
        <v>0</v>
      </c>
      <c r="AG41" s="40">
        <f t="shared" si="2"/>
        <v>0</v>
      </c>
      <c r="AH41" s="40">
        <f t="shared" si="2"/>
        <v>0</v>
      </c>
      <c r="AI41" s="40">
        <f>(N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J41" s="40">
        <f>(O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K41" s="40">
        <f>(P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L41" s="40">
        <f>(Q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M41" s="40">
        <f>(R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N41" s="40">
        <f>(S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O41" s="40">
        <f>(T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P41" s="40">
        <f>(U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Q41" s="40">
        <f>(V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R41" s="40">
        <f>(W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S41" s="40">
        <f>(X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T41" s="40">
        <f>(Y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U41" s="40">
        <f>(Z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V41" s="40">
        <f>(AA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W41" s="40">
        <f>(AB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X41" s="40">
        <f>(AC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Y41" s="40">
        <f>(AD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AZ41" s="40">
        <f>(AE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BA41" s="40">
        <f>(AF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BB41" s="40">
        <f>(AG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BC41" s="40">
        <f>(AH41*IF($G41="credit",TechnicalInputs!$D$22,IF($G41="Debit",TechnicalInputs!$D$24,IF($G41="EFT",TechnicalInputs!$D$26,0)))+IF($G41="credit",TechnicalInputs!$D$21,IF($G41="debit",TechnicalInputs!$D$23,IF($G41="eft",TechnicalInputs!$D$25)))+IF(TransactionCosts!$C41="online",TechnicalInputs!$D$28,TechnicalInputs!$D$27))*$E41</f>
        <v>1.8</v>
      </c>
      <c r="BD41" s="28">
        <f t="shared" si="12"/>
        <v>0</v>
      </c>
      <c r="BE41" s="28">
        <f t="shared" si="13"/>
        <v>0</v>
      </c>
      <c r="BF41" s="28">
        <f t="shared" si="14"/>
        <v>0</v>
      </c>
      <c r="BG41" s="28">
        <f t="shared" si="15"/>
        <v>0</v>
      </c>
      <c r="BH41" s="28">
        <f t="shared" si="16"/>
        <v>0</v>
      </c>
      <c r="BI41" s="28">
        <f t="shared" si="17"/>
        <v>0</v>
      </c>
      <c r="BJ41" s="28">
        <f t="shared" si="18"/>
        <v>0</v>
      </c>
      <c r="BK41" s="28">
        <f t="shared" si="19"/>
        <v>0</v>
      </c>
      <c r="BL41" s="28">
        <f t="shared" si="20"/>
        <v>0</v>
      </c>
      <c r="BM41" s="28">
        <f t="shared" si="21"/>
        <v>0</v>
      </c>
      <c r="BN41" s="28">
        <f t="shared" si="22"/>
        <v>0</v>
      </c>
      <c r="BO41" s="28">
        <f t="shared" si="23"/>
        <v>0</v>
      </c>
      <c r="BP41" s="28">
        <f t="shared" si="24"/>
        <v>0</v>
      </c>
      <c r="BQ41" s="28">
        <f t="shared" si="25"/>
        <v>0</v>
      </c>
      <c r="BR41" s="28">
        <f t="shared" si="26"/>
        <v>0</v>
      </c>
      <c r="BS41" s="28">
        <f t="shared" si="27"/>
        <v>0</v>
      </c>
      <c r="BT41" s="28">
        <f t="shared" si="28"/>
        <v>0</v>
      </c>
      <c r="BU41" s="28">
        <f t="shared" si="29"/>
        <v>0</v>
      </c>
      <c r="BV41" s="28">
        <f t="shared" si="30"/>
        <v>0</v>
      </c>
      <c r="BW41" s="28">
        <f t="shared" si="31"/>
        <v>0</v>
      </c>
      <c r="BX41" s="28">
        <f t="shared" si="32"/>
        <v>0</v>
      </c>
      <c r="BY41" s="83">
        <f t="shared" si="33"/>
        <v>0</v>
      </c>
      <c r="BZ41" s="83">
        <f t="shared" si="4"/>
        <v>0</v>
      </c>
      <c r="CA41" s="83">
        <f t="shared" si="4"/>
        <v>0</v>
      </c>
      <c r="CB41" s="83">
        <f t="shared" si="4"/>
        <v>0</v>
      </c>
      <c r="CC41" s="83">
        <f t="shared" si="4"/>
        <v>0</v>
      </c>
      <c r="CD41" s="83">
        <f t="shared" si="4"/>
        <v>0</v>
      </c>
      <c r="CE41" s="83">
        <f t="shared" si="4"/>
        <v>0</v>
      </c>
      <c r="CF41" s="83">
        <f t="shared" si="4"/>
        <v>0</v>
      </c>
      <c r="CG41" s="83">
        <f t="shared" si="4"/>
        <v>0</v>
      </c>
      <c r="CH41" s="83">
        <f t="shared" si="4"/>
        <v>0</v>
      </c>
      <c r="CI41" s="83">
        <f t="shared" si="4"/>
        <v>0</v>
      </c>
      <c r="CJ41" s="83">
        <f t="shared" si="4"/>
        <v>0</v>
      </c>
      <c r="CK41" s="83">
        <f t="shared" si="4"/>
        <v>0</v>
      </c>
      <c r="CL41" s="83">
        <f t="shared" si="4"/>
        <v>0</v>
      </c>
      <c r="CM41" s="83">
        <f t="shared" si="4"/>
        <v>0</v>
      </c>
      <c r="CN41" s="83">
        <f t="shared" si="4"/>
        <v>0</v>
      </c>
      <c r="CO41" s="83">
        <f t="shared" si="4"/>
        <v>0</v>
      </c>
      <c r="CP41" s="83">
        <f t="shared" si="4"/>
        <v>0</v>
      </c>
      <c r="CQ41" s="83">
        <f t="shared" si="4"/>
        <v>0</v>
      </c>
      <c r="CR41" s="83">
        <f t="shared" si="4"/>
        <v>0</v>
      </c>
      <c r="CS41" s="83">
        <f t="shared" si="4"/>
        <v>0</v>
      </c>
      <c r="CT41" s="84">
        <f t="shared" si="34"/>
        <v>0</v>
      </c>
      <c r="CU41" s="84">
        <f t="shared" si="5"/>
        <v>0</v>
      </c>
      <c r="CV41" s="84">
        <f t="shared" si="5"/>
        <v>0</v>
      </c>
      <c r="CW41" s="84">
        <f t="shared" si="5"/>
        <v>0</v>
      </c>
      <c r="CX41" s="84">
        <f t="shared" si="5"/>
        <v>0</v>
      </c>
      <c r="CY41" s="84">
        <f t="shared" si="5"/>
        <v>0</v>
      </c>
      <c r="CZ41" s="84">
        <f t="shared" si="5"/>
        <v>0</v>
      </c>
      <c r="DA41" s="84">
        <f t="shared" si="5"/>
        <v>0</v>
      </c>
      <c r="DB41" s="84">
        <f t="shared" si="5"/>
        <v>0</v>
      </c>
      <c r="DC41" s="84">
        <f t="shared" si="5"/>
        <v>0</v>
      </c>
      <c r="DD41" s="84">
        <f t="shared" si="5"/>
        <v>0</v>
      </c>
      <c r="DE41" s="84">
        <f t="shared" si="5"/>
        <v>0</v>
      </c>
      <c r="DF41" s="84">
        <f t="shared" si="5"/>
        <v>0</v>
      </c>
      <c r="DG41" s="84">
        <f t="shared" si="5"/>
        <v>0</v>
      </c>
      <c r="DH41" s="84">
        <f t="shared" si="5"/>
        <v>0</v>
      </c>
      <c r="DI41" s="84">
        <f t="shared" si="5"/>
        <v>0</v>
      </c>
      <c r="DJ41" s="84">
        <f t="shared" si="5"/>
        <v>0</v>
      </c>
      <c r="DK41" s="84">
        <f t="shared" si="5"/>
        <v>0</v>
      </c>
      <c r="DL41" s="84">
        <f t="shared" si="5"/>
        <v>0</v>
      </c>
      <c r="DM41" s="84">
        <f t="shared" si="5"/>
        <v>0</v>
      </c>
      <c r="DN41" s="84">
        <f t="shared" si="5"/>
        <v>0</v>
      </c>
      <c r="DR41" s="3">
        <f t="shared" si="37"/>
        <v>2020</v>
      </c>
      <c r="DS41" s="28">
        <v>0</v>
      </c>
      <c r="DT41" s="28">
        <f t="shared" si="39"/>
        <v>0</v>
      </c>
      <c r="DU41" s="28">
        <v>0</v>
      </c>
      <c r="DV41" s="28">
        <f t="shared" si="38"/>
        <v>0</v>
      </c>
      <c r="DW41" s="28">
        <v>0</v>
      </c>
      <c r="DY41" s="84">
        <f>DT41*TechnicalInputs!$B$144*TechnicalInputs!$B$134+TechnicalInputs!$B$135*TechnicalInputs!$B$145*TransactionCosts!DU41+TransactionCosts!DW41*TechnicalInputs!$B$136*TechnicalInputs!$B$146</f>
        <v>0</v>
      </c>
      <c r="DZ41" s="89">
        <f t="shared" si="35"/>
        <v>0</v>
      </c>
      <c r="EA41" s="39">
        <f>DZ41*TechnicalInputs!$B$90*TechnicalInputs!$D$5</f>
        <v>0</v>
      </c>
      <c r="EB41" s="49">
        <f>DT41*TechnicalInputs!$B$139*TechnicalInputs!$B$144+TechnicalInputs!$B$140*TechnicalInputs!$B$145*TransactionCosts!DU41+TransactionCosts!DW41*TechnicalInputs!$B$141*TechnicalInputs!$B$146</f>
        <v>0</v>
      </c>
      <c r="EC41" s="49">
        <f t="shared" si="36"/>
        <v>0</v>
      </c>
    </row>
    <row r="42" spans="1:133">
      <c r="A42" s="3" t="s">
        <v>191</v>
      </c>
      <c r="B42" s="65">
        <f t="shared" si="6"/>
        <v>0.25</v>
      </c>
      <c r="C42" s="3" t="s">
        <v>197</v>
      </c>
      <c r="D42" s="65">
        <f t="shared" si="7"/>
        <v>0.3</v>
      </c>
      <c r="E42" s="3">
        <v>4</v>
      </c>
      <c r="F42" s="65">
        <f t="shared" si="8"/>
        <v>0</v>
      </c>
      <c r="G42" s="3" t="s">
        <v>201</v>
      </c>
      <c r="H42" s="65">
        <v>0.25</v>
      </c>
      <c r="I42" s="65">
        <f t="shared" si="9"/>
        <v>0</v>
      </c>
      <c r="J42" s="3">
        <f>TechnicalInputs!$D$29</f>
        <v>10</v>
      </c>
      <c r="K42" s="3">
        <f>TechnicalInputs!$D$32</f>
        <v>1</v>
      </c>
      <c r="L42" s="3">
        <f t="shared" si="10"/>
        <v>11</v>
      </c>
      <c r="M42" s="1"/>
      <c r="N42" s="40">
        <f t="shared" si="11"/>
        <v>0</v>
      </c>
      <c r="O42" s="40">
        <f t="shared" si="2"/>
        <v>0</v>
      </c>
      <c r="P42" s="40">
        <f t="shared" si="2"/>
        <v>0</v>
      </c>
      <c r="Q42" s="40">
        <f t="shared" si="2"/>
        <v>0</v>
      </c>
      <c r="R42" s="40">
        <f t="shared" si="2"/>
        <v>0</v>
      </c>
      <c r="S42" s="40">
        <f t="shared" si="2"/>
        <v>0</v>
      </c>
      <c r="T42" s="40">
        <f t="shared" si="2"/>
        <v>0</v>
      </c>
      <c r="U42" s="40">
        <f t="shared" si="2"/>
        <v>0</v>
      </c>
      <c r="V42" s="40">
        <f t="shared" si="2"/>
        <v>0</v>
      </c>
      <c r="W42" s="40">
        <f t="shared" si="2"/>
        <v>0</v>
      </c>
      <c r="X42" s="40">
        <f t="shared" si="2"/>
        <v>0</v>
      </c>
      <c r="Y42" s="40">
        <f t="shared" si="2"/>
        <v>0</v>
      </c>
      <c r="Z42" s="40">
        <f t="shared" si="2"/>
        <v>0</v>
      </c>
      <c r="AA42" s="40">
        <f t="shared" si="2"/>
        <v>0</v>
      </c>
      <c r="AB42" s="40">
        <f t="shared" si="2"/>
        <v>0</v>
      </c>
      <c r="AC42" s="40">
        <f t="shared" si="2"/>
        <v>0</v>
      </c>
      <c r="AD42" s="40">
        <f t="shared" si="2"/>
        <v>0</v>
      </c>
      <c r="AE42" s="40">
        <f t="shared" si="2"/>
        <v>0</v>
      </c>
      <c r="AF42" s="40">
        <f t="shared" si="2"/>
        <v>0</v>
      </c>
      <c r="AG42" s="40">
        <f t="shared" si="2"/>
        <v>0</v>
      </c>
      <c r="AH42" s="40">
        <f t="shared" si="2"/>
        <v>0</v>
      </c>
      <c r="AI42" s="40">
        <f>(N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J42" s="40">
        <f>(O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K42" s="40">
        <f>(P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L42" s="40">
        <f>(Q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M42" s="40">
        <f>(R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N42" s="40">
        <f>(S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O42" s="40">
        <f>(T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P42" s="40">
        <f>(U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Q42" s="40">
        <f>(V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R42" s="40">
        <f>(W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S42" s="40">
        <f>(X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T42" s="40">
        <f>(Y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U42" s="40">
        <f>(Z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V42" s="40">
        <f>(AA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W42" s="40">
        <f>(AB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X42" s="40">
        <f>(AC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Y42" s="40">
        <f>(AD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AZ42" s="40">
        <f>(AE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BA42" s="40">
        <f>(AF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BB42" s="40">
        <f>(AG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BC42" s="40">
        <f>(AH42*IF($G42="credit",TechnicalInputs!$D$22,IF($G42="Debit",TechnicalInputs!$D$24,IF($G42="EFT",TechnicalInputs!$D$26,0)))+IF($G42="credit",TechnicalInputs!$D$21,IF($G42="debit",TechnicalInputs!$D$23,IF($G42="eft",TechnicalInputs!$D$25)))+IF(TransactionCosts!$C42="online",TechnicalInputs!$D$28,TechnicalInputs!$D$27))*$E42</f>
        <v>3.6</v>
      </c>
      <c r="BD42" s="28">
        <f t="shared" si="12"/>
        <v>0</v>
      </c>
      <c r="BE42" s="28">
        <f t="shared" si="13"/>
        <v>0</v>
      </c>
      <c r="BF42" s="28">
        <f t="shared" si="14"/>
        <v>0</v>
      </c>
      <c r="BG42" s="28">
        <f t="shared" si="15"/>
        <v>0</v>
      </c>
      <c r="BH42" s="28">
        <f t="shared" si="16"/>
        <v>0</v>
      </c>
      <c r="BI42" s="28">
        <f t="shared" si="17"/>
        <v>0</v>
      </c>
      <c r="BJ42" s="28">
        <f t="shared" si="18"/>
        <v>0</v>
      </c>
      <c r="BK42" s="28">
        <f t="shared" si="19"/>
        <v>0</v>
      </c>
      <c r="BL42" s="28">
        <f t="shared" si="20"/>
        <v>0</v>
      </c>
      <c r="BM42" s="28">
        <f t="shared" si="21"/>
        <v>0</v>
      </c>
      <c r="BN42" s="28">
        <f t="shared" si="22"/>
        <v>0</v>
      </c>
      <c r="BO42" s="28">
        <f t="shared" si="23"/>
        <v>0</v>
      </c>
      <c r="BP42" s="28">
        <f t="shared" si="24"/>
        <v>0</v>
      </c>
      <c r="BQ42" s="28">
        <f t="shared" si="25"/>
        <v>0</v>
      </c>
      <c r="BR42" s="28">
        <f t="shared" si="26"/>
        <v>0</v>
      </c>
      <c r="BS42" s="28">
        <f t="shared" si="27"/>
        <v>0</v>
      </c>
      <c r="BT42" s="28">
        <f t="shared" si="28"/>
        <v>0</v>
      </c>
      <c r="BU42" s="28">
        <f t="shared" si="29"/>
        <v>0</v>
      </c>
      <c r="BV42" s="28">
        <f t="shared" si="30"/>
        <v>0</v>
      </c>
      <c r="BW42" s="28">
        <f t="shared" si="31"/>
        <v>0</v>
      </c>
      <c r="BX42" s="28">
        <f t="shared" si="32"/>
        <v>0</v>
      </c>
      <c r="BY42" s="83">
        <f t="shared" si="33"/>
        <v>0</v>
      </c>
      <c r="BZ42" s="83">
        <f t="shared" si="4"/>
        <v>0</v>
      </c>
      <c r="CA42" s="83">
        <f t="shared" si="4"/>
        <v>0</v>
      </c>
      <c r="CB42" s="83">
        <f t="shared" si="4"/>
        <v>0</v>
      </c>
      <c r="CC42" s="83">
        <f t="shared" si="4"/>
        <v>0</v>
      </c>
      <c r="CD42" s="83">
        <f t="shared" si="4"/>
        <v>0</v>
      </c>
      <c r="CE42" s="83">
        <f t="shared" si="4"/>
        <v>0</v>
      </c>
      <c r="CF42" s="83">
        <f t="shared" si="4"/>
        <v>0</v>
      </c>
      <c r="CG42" s="83">
        <f t="shared" si="4"/>
        <v>0</v>
      </c>
      <c r="CH42" s="83">
        <f t="shared" si="4"/>
        <v>0</v>
      </c>
      <c r="CI42" s="83">
        <f t="shared" si="4"/>
        <v>0</v>
      </c>
      <c r="CJ42" s="83">
        <f t="shared" si="4"/>
        <v>0</v>
      </c>
      <c r="CK42" s="83">
        <f t="shared" si="4"/>
        <v>0</v>
      </c>
      <c r="CL42" s="83">
        <f t="shared" si="4"/>
        <v>0</v>
      </c>
      <c r="CM42" s="83">
        <f t="shared" si="4"/>
        <v>0</v>
      </c>
      <c r="CN42" s="83">
        <f t="shared" si="4"/>
        <v>0</v>
      </c>
      <c r="CO42" s="83">
        <f t="shared" si="4"/>
        <v>0</v>
      </c>
      <c r="CP42" s="83">
        <f t="shared" si="4"/>
        <v>0</v>
      </c>
      <c r="CQ42" s="83">
        <f t="shared" si="4"/>
        <v>0</v>
      </c>
      <c r="CR42" s="83">
        <f t="shared" si="4"/>
        <v>0</v>
      </c>
      <c r="CS42" s="83">
        <f t="shared" si="4"/>
        <v>0</v>
      </c>
      <c r="CT42" s="84">
        <f t="shared" si="34"/>
        <v>0</v>
      </c>
      <c r="CU42" s="84">
        <f t="shared" si="5"/>
        <v>0</v>
      </c>
      <c r="CV42" s="84">
        <f t="shared" si="5"/>
        <v>0</v>
      </c>
      <c r="CW42" s="84">
        <f t="shared" si="5"/>
        <v>0</v>
      </c>
      <c r="CX42" s="84">
        <f t="shared" si="5"/>
        <v>0</v>
      </c>
      <c r="CY42" s="84">
        <f t="shared" si="5"/>
        <v>0</v>
      </c>
      <c r="CZ42" s="84">
        <f t="shared" si="5"/>
        <v>0</v>
      </c>
      <c r="DA42" s="84">
        <f t="shared" si="5"/>
        <v>0</v>
      </c>
      <c r="DB42" s="84">
        <f t="shared" si="5"/>
        <v>0</v>
      </c>
      <c r="DC42" s="84">
        <f t="shared" si="5"/>
        <v>0</v>
      </c>
      <c r="DD42" s="84">
        <f t="shared" si="5"/>
        <v>0</v>
      </c>
      <c r="DE42" s="84">
        <f t="shared" si="5"/>
        <v>0</v>
      </c>
      <c r="DF42" s="84">
        <f t="shared" si="5"/>
        <v>0</v>
      </c>
      <c r="DG42" s="84">
        <f t="shared" si="5"/>
        <v>0</v>
      </c>
      <c r="DH42" s="84">
        <f t="shared" si="5"/>
        <v>0</v>
      </c>
      <c r="DI42" s="84">
        <f t="shared" si="5"/>
        <v>0</v>
      </c>
      <c r="DJ42" s="84">
        <f t="shared" si="5"/>
        <v>0</v>
      </c>
      <c r="DK42" s="84">
        <f t="shared" si="5"/>
        <v>0</v>
      </c>
      <c r="DL42" s="84">
        <f t="shared" si="5"/>
        <v>0</v>
      </c>
      <c r="DM42" s="84">
        <f t="shared" si="5"/>
        <v>0</v>
      </c>
      <c r="DN42" s="84">
        <f t="shared" si="5"/>
        <v>0</v>
      </c>
      <c r="DR42" s="3">
        <f t="shared" si="37"/>
        <v>2021</v>
      </c>
      <c r="DS42" s="28">
        <v>0</v>
      </c>
      <c r="DT42" s="28">
        <f t="shared" si="39"/>
        <v>0</v>
      </c>
      <c r="DU42" s="28">
        <v>0</v>
      </c>
      <c r="DV42" s="28">
        <f t="shared" si="38"/>
        <v>0</v>
      </c>
      <c r="DW42" s="28">
        <v>0</v>
      </c>
      <c r="DY42" s="84">
        <f>DT42*TechnicalInputs!$B$144*TechnicalInputs!$B$134+TechnicalInputs!$B$135*TechnicalInputs!$B$145*TransactionCosts!DU42+TransactionCosts!DW42*TechnicalInputs!$B$136*TechnicalInputs!$B$146</f>
        <v>0</v>
      </c>
      <c r="DZ42" s="89">
        <f t="shared" si="35"/>
        <v>0</v>
      </c>
      <c r="EA42" s="39">
        <f>DZ42*TechnicalInputs!$B$90*TechnicalInputs!$D$5</f>
        <v>0</v>
      </c>
      <c r="EB42" s="49">
        <f>DT42*TechnicalInputs!$B$139*TechnicalInputs!$B$144+TechnicalInputs!$B$140*TechnicalInputs!$B$145*TransactionCosts!DU42+TransactionCosts!DW42*TechnicalInputs!$B$141*TechnicalInputs!$B$146</f>
        <v>0</v>
      </c>
      <c r="EC42" s="49">
        <f t="shared" si="36"/>
        <v>0</v>
      </c>
    </row>
    <row r="43" spans="1:133">
      <c r="A43" s="3" t="s">
        <v>191</v>
      </c>
      <c r="B43" s="65">
        <f t="shared" si="6"/>
        <v>0.25</v>
      </c>
      <c r="C43" s="3" t="s">
        <v>203</v>
      </c>
      <c r="D43" s="65">
        <f t="shared" si="7"/>
        <v>0.35</v>
      </c>
      <c r="E43" s="3">
        <v>1</v>
      </c>
      <c r="F43" s="65">
        <f>LOOKUP(E43,$C$17:$C$19,$D$17:$D$19)</f>
        <v>0.4</v>
      </c>
      <c r="G43" s="3" t="s">
        <v>201</v>
      </c>
      <c r="H43" s="65">
        <v>1</v>
      </c>
      <c r="I43" s="65">
        <f t="shared" si="9"/>
        <v>3.4999999999999996E-2</v>
      </c>
      <c r="J43" s="3">
        <f>TechnicalInputs!$D$30</f>
        <v>3</v>
      </c>
      <c r="K43" s="3">
        <f>TechnicalInputs!$D$33</f>
        <v>1</v>
      </c>
      <c r="L43" s="3">
        <f t="shared" si="10"/>
        <v>4</v>
      </c>
      <c r="M43" s="1"/>
      <c r="N43" s="40">
        <f t="shared" si="11"/>
        <v>0</v>
      </c>
      <c r="O43" s="40">
        <f t="shared" si="2"/>
        <v>0</v>
      </c>
      <c r="P43" s="40">
        <f t="shared" si="2"/>
        <v>0</v>
      </c>
      <c r="Q43" s="40">
        <f t="shared" si="2"/>
        <v>0</v>
      </c>
      <c r="R43" s="40">
        <f t="shared" si="2"/>
        <v>0</v>
      </c>
      <c r="S43" s="40">
        <f t="shared" si="2"/>
        <v>0</v>
      </c>
      <c r="T43" s="40">
        <f t="shared" si="2"/>
        <v>0</v>
      </c>
      <c r="U43" s="40">
        <f t="shared" si="2"/>
        <v>0</v>
      </c>
      <c r="V43" s="40">
        <f t="shared" si="2"/>
        <v>0</v>
      </c>
      <c r="W43" s="40">
        <f t="shared" si="2"/>
        <v>0</v>
      </c>
      <c r="X43" s="40">
        <f t="shared" si="2"/>
        <v>0</v>
      </c>
      <c r="Y43" s="40">
        <f t="shared" si="2"/>
        <v>0</v>
      </c>
      <c r="Z43" s="40">
        <f t="shared" si="2"/>
        <v>0</v>
      </c>
      <c r="AA43" s="40">
        <f t="shared" si="2"/>
        <v>0</v>
      </c>
      <c r="AB43" s="40">
        <f t="shared" si="2"/>
        <v>0</v>
      </c>
      <c r="AC43" s="40">
        <f t="shared" si="2"/>
        <v>0</v>
      </c>
      <c r="AD43" s="40">
        <f t="shared" ref="AD43:AH58" si="40">AF$10/$E43</f>
        <v>0</v>
      </c>
      <c r="AE43" s="40">
        <f t="shared" si="40"/>
        <v>0</v>
      </c>
      <c r="AF43" s="40">
        <f t="shared" si="40"/>
        <v>0</v>
      </c>
      <c r="AG43" s="40">
        <f t="shared" si="40"/>
        <v>0</v>
      </c>
      <c r="AH43" s="40">
        <f t="shared" si="40"/>
        <v>0</v>
      </c>
      <c r="AI43" s="40">
        <f>(N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J43" s="40">
        <f>(O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K43" s="40">
        <f>(P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L43" s="40">
        <f>(Q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M43" s="40">
        <f>(R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N43" s="40">
        <f>(S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O43" s="40">
        <f>(T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P43" s="40">
        <f>(U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Q43" s="40">
        <f>(V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R43" s="40">
        <f>(W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S43" s="40">
        <f>(X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T43" s="40">
        <f>(Y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U43" s="40">
        <f>(Z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V43" s="40">
        <f>(AA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W43" s="40">
        <f>(AB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X43" s="40">
        <f>(AC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Y43" s="40">
        <f>(AD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AZ43" s="40">
        <f>(AE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BA43" s="40">
        <f>(AF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BB43" s="40">
        <f>(AG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BC43" s="40">
        <f>(AH43*IF($G43="credit",TechnicalInputs!$D$22,IF($G43="Debit",TechnicalInputs!$D$24,IF($G43="EFT",TechnicalInputs!$D$26,0)))+IF($G43="credit",TechnicalInputs!$D$21,IF($G43="debit",TechnicalInputs!$D$23,IF($G43="eft",TechnicalInputs!$D$25)))+IF(TransactionCosts!$C43="online",TechnicalInputs!$D$28,TechnicalInputs!$D$27))*$E43</f>
        <v>0.9</v>
      </c>
      <c r="BD43" s="28">
        <f t="shared" si="12"/>
        <v>0</v>
      </c>
      <c r="BE43" s="28">
        <f t="shared" si="13"/>
        <v>0</v>
      </c>
      <c r="BF43" s="28">
        <f t="shared" si="14"/>
        <v>0</v>
      </c>
      <c r="BG43" s="28">
        <f t="shared" si="15"/>
        <v>0</v>
      </c>
      <c r="BH43" s="28">
        <f t="shared" si="16"/>
        <v>0</v>
      </c>
      <c r="BI43" s="28">
        <f t="shared" si="17"/>
        <v>0</v>
      </c>
      <c r="BJ43" s="28">
        <f t="shared" si="18"/>
        <v>0</v>
      </c>
      <c r="BK43" s="28">
        <f t="shared" si="19"/>
        <v>0</v>
      </c>
      <c r="BL43" s="28">
        <f t="shared" si="20"/>
        <v>0</v>
      </c>
      <c r="BM43" s="28">
        <f t="shared" si="21"/>
        <v>0</v>
      </c>
      <c r="BN43" s="28">
        <f t="shared" si="22"/>
        <v>0</v>
      </c>
      <c r="BO43" s="28">
        <f t="shared" si="23"/>
        <v>0</v>
      </c>
      <c r="BP43" s="28">
        <f t="shared" si="24"/>
        <v>0</v>
      </c>
      <c r="BQ43" s="28">
        <f t="shared" si="25"/>
        <v>0</v>
      </c>
      <c r="BR43" s="28">
        <f t="shared" si="26"/>
        <v>0</v>
      </c>
      <c r="BS43" s="28">
        <f t="shared" si="27"/>
        <v>0</v>
      </c>
      <c r="BT43" s="28">
        <f t="shared" si="28"/>
        <v>0</v>
      </c>
      <c r="BU43" s="28">
        <f t="shared" si="29"/>
        <v>0</v>
      </c>
      <c r="BV43" s="28">
        <f t="shared" si="30"/>
        <v>0</v>
      </c>
      <c r="BW43" s="28">
        <f t="shared" si="31"/>
        <v>0</v>
      </c>
      <c r="BX43" s="28">
        <f t="shared" si="32"/>
        <v>0</v>
      </c>
      <c r="BY43" s="83">
        <f t="shared" si="33"/>
        <v>0</v>
      </c>
      <c r="BZ43" s="83">
        <f t="shared" si="4"/>
        <v>0</v>
      </c>
      <c r="CA43" s="83">
        <f t="shared" si="4"/>
        <v>0</v>
      </c>
      <c r="CB43" s="83">
        <f t="shared" si="4"/>
        <v>0</v>
      </c>
      <c r="CC43" s="83">
        <f t="shared" si="4"/>
        <v>0</v>
      </c>
      <c r="CD43" s="83">
        <f t="shared" si="4"/>
        <v>0</v>
      </c>
      <c r="CE43" s="83">
        <f t="shared" si="4"/>
        <v>0</v>
      </c>
      <c r="CF43" s="83">
        <f t="shared" si="4"/>
        <v>0</v>
      </c>
      <c r="CG43" s="83">
        <f t="shared" si="4"/>
        <v>0</v>
      </c>
      <c r="CH43" s="83">
        <f t="shared" si="4"/>
        <v>0</v>
      </c>
      <c r="CI43" s="83">
        <f t="shared" si="4"/>
        <v>0</v>
      </c>
      <c r="CJ43" s="83">
        <f t="shared" si="4"/>
        <v>0</v>
      </c>
      <c r="CK43" s="83">
        <f t="shared" si="4"/>
        <v>0</v>
      </c>
      <c r="CL43" s="83">
        <f t="shared" si="4"/>
        <v>0</v>
      </c>
      <c r="CM43" s="83">
        <f t="shared" si="4"/>
        <v>0</v>
      </c>
      <c r="CN43" s="83">
        <f t="shared" si="4"/>
        <v>0</v>
      </c>
      <c r="CO43" s="83">
        <f t="shared" ref="CO43:CO67" si="41">AY43*BT43</f>
        <v>0</v>
      </c>
      <c r="CP43" s="83">
        <f t="shared" ref="CP43:CP67" si="42">AZ43*BU43</f>
        <v>0</v>
      </c>
      <c r="CQ43" s="83">
        <f t="shared" ref="CQ43:CQ67" si="43">BA43*BV43</f>
        <v>0</v>
      </c>
      <c r="CR43" s="83">
        <f t="shared" ref="CR43:CR67" si="44">BB43*BW43</f>
        <v>0</v>
      </c>
      <c r="CS43" s="83">
        <f t="shared" ref="CS43:CS67" si="45">BC43*BX43</f>
        <v>0</v>
      </c>
      <c r="CT43" s="84">
        <f t="shared" si="34"/>
        <v>0</v>
      </c>
      <c r="CU43" s="84">
        <f t="shared" si="5"/>
        <v>0</v>
      </c>
      <c r="CV43" s="84">
        <f t="shared" si="5"/>
        <v>0</v>
      </c>
      <c r="CW43" s="84">
        <f t="shared" si="5"/>
        <v>0</v>
      </c>
      <c r="CX43" s="84">
        <f t="shared" si="5"/>
        <v>0</v>
      </c>
      <c r="CY43" s="84">
        <f t="shared" si="5"/>
        <v>0</v>
      </c>
      <c r="CZ43" s="84">
        <f t="shared" si="5"/>
        <v>0</v>
      </c>
      <c r="DA43" s="84">
        <f t="shared" si="5"/>
        <v>0</v>
      </c>
      <c r="DB43" s="84">
        <f t="shared" si="5"/>
        <v>0</v>
      </c>
      <c r="DC43" s="84">
        <f t="shared" si="5"/>
        <v>0</v>
      </c>
      <c r="DD43" s="84">
        <f t="shared" si="5"/>
        <v>0</v>
      </c>
      <c r="DE43" s="84">
        <f t="shared" si="5"/>
        <v>0</v>
      </c>
      <c r="DF43" s="84">
        <f t="shared" si="5"/>
        <v>0</v>
      </c>
      <c r="DG43" s="84">
        <f t="shared" si="5"/>
        <v>0</v>
      </c>
      <c r="DH43" s="84">
        <f t="shared" si="5"/>
        <v>0</v>
      </c>
      <c r="DI43" s="84">
        <f t="shared" si="5"/>
        <v>0</v>
      </c>
      <c r="DJ43" s="84">
        <f t="shared" ref="DJ43:DJ67" si="46">BT43*$L43</f>
        <v>0</v>
      </c>
      <c r="DK43" s="84">
        <f t="shared" ref="DK43:DK67" si="47">BU43*$L43</f>
        <v>0</v>
      </c>
      <c r="DL43" s="84">
        <f t="shared" ref="DL43:DL67" si="48">BV43*$L43</f>
        <v>0</v>
      </c>
      <c r="DM43" s="84">
        <f t="shared" ref="DM43:DM67" si="49">BW43*$L43</f>
        <v>0</v>
      </c>
      <c r="DN43" s="84">
        <f t="shared" ref="DN43:DN67" si="50">BX43*$L43</f>
        <v>0</v>
      </c>
      <c r="DR43" s="3">
        <f t="shared" si="37"/>
        <v>2022</v>
      </c>
      <c r="DS43" s="28">
        <v>0</v>
      </c>
      <c r="DT43" s="28">
        <f t="shared" si="39"/>
        <v>0</v>
      </c>
      <c r="DU43" s="28">
        <v>0</v>
      </c>
      <c r="DV43" s="28">
        <f t="shared" si="38"/>
        <v>0</v>
      </c>
      <c r="DW43" s="28">
        <v>0</v>
      </c>
      <c r="DY43" s="84">
        <f>DT43*TechnicalInputs!$B$144*TechnicalInputs!$B$134+TechnicalInputs!$B$135*TechnicalInputs!$B$145*TransactionCosts!DU43+TransactionCosts!DW43*TechnicalInputs!$B$136*TechnicalInputs!$B$146</f>
        <v>0</v>
      </c>
      <c r="DZ43" s="89">
        <f t="shared" si="35"/>
        <v>0</v>
      </c>
      <c r="EA43" s="39">
        <f>DZ43*TechnicalInputs!$B$90*TechnicalInputs!$D$5</f>
        <v>0</v>
      </c>
      <c r="EB43" s="49">
        <f>DT43*TechnicalInputs!$B$139*TechnicalInputs!$B$144+TechnicalInputs!$B$140*TechnicalInputs!$B$145*TransactionCosts!DU43+TransactionCosts!DW43*TechnicalInputs!$B$141*TechnicalInputs!$B$146</f>
        <v>0</v>
      </c>
      <c r="EC43" s="49">
        <f t="shared" si="36"/>
        <v>0</v>
      </c>
    </row>
    <row r="44" spans="1:133">
      <c r="A44" s="3" t="s">
        <v>191</v>
      </c>
      <c r="B44" s="65">
        <f t="shared" si="6"/>
        <v>0.25</v>
      </c>
      <c r="C44" s="3" t="s">
        <v>203</v>
      </c>
      <c r="D44" s="65">
        <f t="shared" si="7"/>
        <v>0.35</v>
      </c>
      <c r="E44" s="3">
        <v>2</v>
      </c>
      <c r="F44" s="65">
        <f>LOOKUP(E44,$C$17:$C$19,$D$17:$D$19)</f>
        <v>0.4</v>
      </c>
      <c r="G44" s="3" t="s">
        <v>201</v>
      </c>
      <c r="H44" s="65">
        <v>1</v>
      </c>
      <c r="I44" s="65">
        <f t="shared" si="9"/>
        <v>3.4999999999999996E-2</v>
      </c>
      <c r="J44" s="3">
        <f>TechnicalInputs!$D$30</f>
        <v>3</v>
      </c>
      <c r="K44" s="3">
        <f>TechnicalInputs!$D$33</f>
        <v>1</v>
      </c>
      <c r="L44" s="3">
        <f t="shared" si="10"/>
        <v>4</v>
      </c>
      <c r="M44" s="1"/>
      <c r="N44" s="40">
        <f t="shared" si="11"/>
        <v>0</v>
      </c>
      <c r="O44" s="40">
        <f t="shared" ref="O44:AD59" si="51">Q$10/$E44</f>
        <v>0</v>
      </c>
      <c r="P44" s="40">
        <f t="shared" si="51"/>
        <v>0</v>
      </c>
      <c r="Q44" s="40">
        <f t="shared" si="51"/>
        <v>0</v>
      </c>
      <c r="R44" s="40">
        <f t="shared" si="51"/>
        <v>0</v>
      </c>
      <c r="S44" s="40">
        <f t="shared" si="51"/>
        <v>0</v>
      </c>
      <c r="T44" s="40">
        <f t="shared" si="51"/>
        <v>0</v>
      </c>
      <c r="U44" s="40">
        <f t="shared" si="51"/>
        <v>0</v>
      </c>
      <c r="V44" s="40">
        <f t="shared" si="51"/>
        <v>0</v>
      </c>
      <c r="W44" s="40">
        <f t="shared" si="51"/>
        <v>0</v>
      </c>
      <c r="X44" s="40">
        <f t="shared" si="51"/>
        <v>0</v>
      </c>
      <c r="Y44" s="40">
        <f t="shared" si="51"/>
        <v>0</v>
      </c>
      <c r="Z44" s="40">
        <f t="shared" si="51"/>
        <v>0</v>
      </c>
      <c r="AA44" s="40">
        <f t="shared" si="51"/>
        <v>0</v>
      </c>
      <c r="AB44" s="40">
        <f t="shared" si="51"/>
        <v>0</v>
      </c>
      <c r="AC44" s="40">
        <f t="shared" si="51"/>
        <v>0</v>
      </c>
      <c r="AD44" s="40">
        <f t="shared" si="51"/>
        <v>0</v>
      </c>
      <c r="AE44" s="40">
        <f t="shared" si="40"/>
        <v>0</v>
      </c>
      <c r="AF44" s="40">
        <f t="shared" si="40"/>
        <v>0</v>
      </c>
      <c r="AG44" s="40">
        <f t="shared" si="40"/>
        <v>0</v>
      </c>
      <c r="AH44" s="40">
        <f t="shared" si="40"/>
        <v>0</v>
      </c>
      <c r="AI44" s="40">
        <f>(N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J44" s="40">
        <f>(O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K44" s="40">
        <f>(P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L44" s="40">
        <f>(Q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M44" s="40">
        <f>(R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N44" s="40">
        <f>(S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O44" s="40">
        <f>(T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P44" s="40">
        <f>(U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Q44" s="40">
        <f>(V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R44" s="40">
        <f>(W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S44" s="40">
        <f>(X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T44" s="40">
        <f>(Y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U44" s="40">
        <f>(Z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V44" s="40">
        <f>(AA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W44" s="40">
        <f>(AB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X44" s="40">
        <f>(AC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Y44" s="40">
        <f>(AD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AZ44" s="40">
        <f>(AE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BA44" s="40">
        <f>(AF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BB44" s="40">
        <f>(AG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BC44" s="40">
        <f>(AH44*IF($G44="credit",TechnicalInputs!$D$22,IF($G44="Debit",TechnicalInputs!$D$24,IF($G44="EFT",TechnicalInputs!$D$26,0)))+IF($G44="credit",TechnicalInputs!$D$21,IF($G44="debit",TechnicalInputs!$D$23,IF($G44="eft",TechnicalInputs!$D$25)))+IF(TransactionCosts!$C44="online",TechnicalInputs!$D$28,TechnicalInputs!$D$27))*$E44</f>
        <v>1.8</v>
      </c>
      <c r="BD44" s="28">
        <f t="shared" si="12"/>
        <v>0</v>
      </c>
      <c r="BE44" s="28">
        <f t="shared" si="13"/>
        <v>0</v>
      </c>
      <c r="BF44" s="28">
        <f t="shared" si="14"/>
        <v>0</v>
      </c>
      <c r="BG44" s="28">
        <f t="shared" si="15"/>
        <v>0</v>
      </c>
      <c r="BH44" s="28">
        <f t="shared" si="16"/>
        <v>0</v>
      </c>
      <c r="BI44" s="28">
        <f t="shared" si="17"/>
        <v>0</v>
      </c>
      <c r="BJ44" s="28">
        <f t="shared" si="18"/>
        <v>0</v>
      </c>
      <c r="BK44" s="28">
        <f t="shared" si="19"/>
        <v>0</v>
      </c>
      <c r="BL44" s="28">
        <f t="shared" si="20"/>
        <v>0</v>
      </c>
      <c r="BM44" s="28">
        <f t="shared" si="21"/>
        <v>0</v>
      </c>
      <c r="BN44" s="28">
        <f t="shared" si="22"/>
        <v>0</v>
      </c>
      <c r="BO44" s="28">
        <f t="shared" si="23"/>
        <v>0</v>
      </c>
      <c r="BP44" s="28">
        <f t="shared" si="24"/>
        <v>0</v>
      </c>
      <c r="BQ44" s="28">
        <f t="shared" si="25"/>
        <v>0</v>
      </c>
      <c r="BR44" s="28">
        <f t="shared" si="26"/>
        <v>0</v>
      </c>
      <c r="BS44" s="28">
        <f t="shared" si="27"/>
        <v>0</v>
      </c>
      <c r="BT44" s="28">
        <f t="shared" si="28"/>
        <v>0</v>
      </c>
      <c r="BU44" s="28">
        <f t="shared" si="29"/>
        <v>0</v>
      </c>
      <c r="BV44" s="28">
        <f t="shared" si="30"/>
        <v>0</v>
      </c>
      <c r="BW44" s="28">
        <f t="shared" si="31"/>
        <v>0</v>
      </c>
      <c r="BX44" s="28">
        <f t="shared" si="32"/>
        <v>0</v>
      </c>
      <c r="BY44" s="83">
        <f t="shared" si="33"/>
        <v>0</v>
      </c>
      <c r="BZ44" s="83">
        <f t="shared" ref="BZ44:BZ67" si="52">AJ44*BE44</f>
        <v>0</v>
      </c>
      <c r="CA44" s="83">
        <f t="shared" ref="CA44:CA67" si="53">AK44*BF44</f>
        <v>0</v>
      </c>
      <c r="CB44" s="83">
        <f t="shared" ref="CB44:CB67" si="54">AL44*BG44</f>
        <v>0</v>
      </c>
      <c r="CC44" s="83">
        <f t="shared" ref="CC44:CC67" si="55">AM44*BH44</f>
        <v>0</v>
      </c>
      <c r="CD44" s="83">
        <f t="shared" ref="CD44:CD67" si="56">AN44*BI44</f>
        <v>0</v>
      </c>
      <c r="CE44" s="83">
        <f t="shared" ref="CE44:CE67" si="57">AO44*BJ44</f>
        <v>0</v>
      </c>
      <c r="CF44" s="83">
        <f t="shared" ref="CF44:CF67" si="58">AP44*BK44</f>
        <v>0</v>
      </c>
      <c r="CG44" s="83">
        <f t="shared" ref="CG44:CG67" si="59">AQ44*BL44</f>
        <v>0</v>
      </c>
      <c r="CH44" s="83">
        <f t="shared" ref="CH44:CH67" si="60">AR44*BM44</f>
        <v>0</v>
      </c>
      <c r="CI44" s="83">
        <f t="shared" ref="CI44:CI67" si="61">AS44*BN44</f>
        <v>0</v>
      </c>
      <c r="CJ44" s="83">
        <f t="shared" ref="CJ44:CJ67" si="62">AT44*BO44</f>
        <v>0</v>
      </c>
      <c r="CK44" s="83">
        <f t="shared" ref="CK44:CK67" si="63">AU44*BP44</f>
        <v>0</v>
      </c>
      <c r="CL44" s="83">
        <f t="shared" ref="CL44:CL67" si="64">AV44*BQ44</f>
        <v>0</v>
      </c>
      <c r="CM44" s="83">
        <f t="shared" ref="CM44:CM67" si="65">AW44*BR44</f>
        <v>0</v>
      </c>
      <c r="CN44" s="83">
        <f t="shared" ref="CN44:CN67" si="66">AX44*BS44</f>
        <v>0</v>
      </c>
      <c r="CO44" s="83">
        <f t="shared" si="41"/>
        <v>0</v>
      </c>
      <c r="CP44" s="83">
        <f t="shared" si="42"/>
        <v>0</v>
      </c>
      <c r="CQ44" s="83">
        <f t="shared" si="43"/>
        <v>0</v>
      </c>
      <c r="CR44" s="83">
        <f t="shared" si="44"/>
        <v>0</v>
      </c>
      <c r="CS44" s="83">
        <f t="shared" si="45"/>
        <v>0</v>
      </c>
      <c r="CT44" s="84">
        <f t="shared" si="34"/>
        <v>0</v>
      </c>
      <c r="CU44" s="84">
        <f t="shared" ref="CU44:CU67" si="67">BE44*$L44</f>
        <v>0</v>
      </c>
      <c r="CV44" s="84">
        <f t="shared" ref="CV44:CV67" si="68">BF44*$L44</f>
        <v>0</v>
      </c>
      <c r="CW44" s="84">
        <f t="shared" ref="CW44:CW67" si="69">BG44*$L44</f>
        <v>0</v>
      </c>
      <c r="CX44" s="84">
        <f t="shared" ref="CX44:CX67" si="70">BH44*$L44</f>
        <v>0</v>
      </c>
      <c r="CY44" s="84">
        <f t="shared" ref="CY44:CY67" si="71">BI44*$L44</f>
        <v>0</v>
      </c>
      <c r="CZ44" s="84">
        <f t="shared" ref="CZ44:CZ67" si="72">BJ44*$L44</f>
        <v>0</v>
      </c>
      <c r="DA44" s="84">
        <f t="shared" ref="DA44:DA67" si="73">BK44*$L44</f>
        <v>0</v>
      </c>
      <c r="DB44" s="84">
        <f t="shared" ref="DB44:DB67" si="74">BL44*$L44</f>
        <v>0</v>
      </c>
      <c r="DC44" s="84">
        <f t="shared" ref="DC44:DC67" si="75">BM44*$L44</f>
        <v>0</v>
      </c>
      <c r="DD44" s="84">
        <f t="shared" ref="DD44:DD67" si="76">BN44*$L44</f>
        <v>0</v>
      </c>
      <c r="DE44" s="84">
        <f t="shared" ref="DE44:DE67" si="77">BO44*$L44</f>
        <v>0</v>
      </c>
      <c r="DF44" s="84">
        <f t="shared" ref="DF44:DF67" si="78">BP44*$L44</f>
        <v>0</v>
      </c>
      <c r="DG44" s="84">
        <f t="shared" ref="DG44:DG67" si="79">BQ44*$L44</f>
        <v>0</v>
      </c>
      <c r="DH44" s="84">
        <f t="shared" ref="DH44:DH67" si="80">BR44*$L44</f>
        <v>0</v>
      </c>
      <c r="DI44" s="84">
        <f t="shared" ref="DI44:DI67" si="81">BS44*$L44</f>
        <v>0</v>
      </c>
      <c r="DJ44" s="84">
        <f t="shared" si="46"/>
        <v>0</v>
      </c>
      <c r="DK44" s="84">
        <f t="shared" si="47"/>
        <v>0</v>
      </c>
      <c r="DL44" s="84">
        <f t="shared" si="48"/>
        <v>0</v>
      </c>
      <c r="DM44" s="84">
        <f t="shared" si="49"/>
        <v>0</v>
      </c>
      <c r="DN44" s="84">
        <f t="shared" si="50"/>
        <v>0</v>
      </c>
      <c r="DR44" s="3">
        <f t="shared" si="37"/>
        <v>2023</v>
      </c>
      <c r="DS44" s="28">
        <v>0</v>
      </c>
      <c r="DT44" s="28">
        <f t="shared" si="39"/>
        <v>0</v>
      </c>
      <c r="DU44" s="28">
        <v>0</v>
      </c>
      <c r="DV44" s="28">
        <f t="shared" si="38"/>
        <v>0</v>
      </c>
      <c r="DW44" s="28">
        <v>0</v>
      </c>
      <c r="DY44" s="84">
        <f>DT44*TechnicalInputs!$B$144*TechnicalInputs!$B$134+TechnicalInputs!$B$135*TechnicalInputs!$B$145*TransactionCosts!DU44+TransactionCosts!DW44*TechnicalInputs!$B$136*TechnicalInputs!$B$146</f>
        <v>0</v>
      </c>
      <c r="DZ44" s="89">
        <f t="shared" si="35"/>
        <v>0</v>
      </c>
      <c r="EA44" s="39">
        <f>DZ44*TechnicalInputs!$B$90*TechnicalInputs!$D$5</f>
        <v>0</v>
      </c>
      <c r="EB44" s="49">
        <f>DT44*TechnicalInputs!$B$139*TechnicalInputs!$B$144+TechnicalInputs!$B$140*TechnicalInputs!$B$145*TransactionCosts!DU44+TransactionCosts!DW44*TechnicalInputs!$B$141*TechnicalInputs!$B$146</f>
        <v>0</v>
      </c>
      <c r="EC44" s="49">
        <f t="shared" si="36"/>
        <v>0</v>
      </c>
    </row>
    <row r="45" spans="1:133">
      <c r="A45" s="3" t="s">
        <v>191</v>
      </c>
      <c r="B45" s="65">
        <f t="shared" si="6"/>
        <v>0.25</v>
      </c>
      <c r="C45" s="3" t="s">
        <v>203</v>
      </c>
      <c r="D45" s="65">
        <f t="shared" si="7"/>
        <v>0.35</v>
      </c>
      <c r="E45" s="3">
        <v>4</v>
      </c>
      <c r="F45" s="65">
        <f>LOOKUP(E45,$C$17:$C$19,$D$17:$D$19)</f>
        <v>0.19999999999999996</v>
      </c>
      <c r="G45" s="3" t="s">
        <v>201</v>
      </c>
      <c r="H45" s="65">
        <v>1</v>
      </c>
      <c r="I45" s="65">
        <f t="shared" si="9"/>
        <v>1.7499999999999995E-2</v>
      </c>
      <c r="J45" s="3">
        <f>TechnicalInputs!$D$30</f>
        <v>3</v>
      </c>
      <c r="K45" s="3">
        <f>TechnicalInputs!$D$33</f>
        <v>1</v>
      </c>
      <c r="L45" s="3">
        <f t="shared" si="10"/>
        <v>4</v>
      </c>
      <c r="M45" s="1"/>
      <c r="N45" s="40">
        <f t="shared" si="11"/>
        <v>0</v>
      </c>
      <c r="O45" s="40">
        <f t="shared" si="51"/>
        <v>0</v>
      </c>
      <c r="P45" s="40">
        <f t="shared" si="51"/>
        <v>0</v>
      </c>
      <c r="Q45" s="40">
        <f t="shared" si="51"/>
        <v>0</v>
      </c>
      <c r="R45" s="40">
        <f t="shared" si="51"/>
        <v>0</v>
      </c>
      <c r="S45" s="40">
        <f t="shared" si="51"/>
        <v>0</v>
      </c>
      <c r="T45" s="40">
        <f t="shared" si="51"/>
        <v>0</v>
      </c>
      <c r="U45" s="40">
        <f t="shared" si="51"/>
        <v>0</v>
      </c>
      <c r="V45" s="40">
        <f t="shared" si="51"/>
        <v>0</v>
      </c>
      <c r="W45" s="40">
        <f t="shared" si="51"/>
        <v>0</v>
      </c>
      <c r="X45" s="40">
        <f t="shared" si="51"/>
        <v>0</v>
      </c>
      <c r="Y45" s="40">
        <f t="shared" si="51"/>
        <v>0</v>
      </c>
      <c r="Z45" s="40">
        <f t="shared" si="51"/>
        <v>0</v>
      </c>
      <c r="AA45" s="40">
        <f t="shared" si="51"/>
        <v>0</v>
      </c>
      <c r="AB45" s="40">
        <f t="shared" si="51"/>
        <v>0</v>
      </c>
      <c r="AC45" s="40">
        <f t="shared" si="51"/>
        <v>0</v>
      </c>
      <c r="AD45" s="40">
        <f t="shared" si="51"/>
        <v>0</v>
      </c>
      <c r="AE45" s="40">
        <f t="shared" si="40"/>
        <v>0</v>
      </c>
      <c r="AF45" s="40">
        <f t="shared" si="40"/>
        <v>0</v>
      </c>
      <c r="AG45" s="40">
        <f t="shared" si="40"/>
        <v>0</v>
      </c>
      <c r="AH45" s="40">
        <f t="shared" si="40"/>
        <v>0</v>
      </c>
      <c r="AI45" s="40">
        <f>(N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J45" s="40">
        <f>(O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K45" s="40">
        <f>(P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L45" s="40">
        <f>(Q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M45" s="40">
        <f>(R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N45" s="40">
        <f>(S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O45" s="40">
        <f>(T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P45" s="40">
        <f>(U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Q45" s="40">
        <f>(V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R45" s="40">
        <f>(W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S45" s="40">
        <f>(X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T45" s="40">
        <f>(Y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U45" s="40">
        <f>(Z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V45" s="40">
        <f>(AA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W45" s="40">
        <f>(AB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X45" s="40">
        <f>(AC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Y45" s="40">
        <f>(AD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AZ45" s="40">
        <f>(AE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BA45" s="40">
        <f>(AF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BB45" s="40">
        <f>(AG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BC45" s="40">
        <f>(AH45*IF($G45="credit",TechnicalInputs!$D$22,IF($G45="Debit",TechnicalInputs!$D$24,IF($G45="EFT",TechnicalInputs!$D$26,0)))+IF($G45="credit",TechnicalInputs!$D$21,IF($G45="debit",TechnicalInputs!$D$23,IF($G45="eft",TechnicalInputs!$D$25)))+IF(TransactionCosts!$C45="online",TechnicalInputs!$D$28,TechnicalInputs!$D$27))*$E45</f>
        <v>3.6</v>
      </c>
      <c r="BD45" s="28">
        <f t="shared" si="12"/>
        <v>0</v>
      </c>
      <c r="BE45" s="28">
        <f t="shared" si="13"/>
        <v>0</v>
      </c>
      <c r="BF45" s="28">
        <f t="shared" si="14"/>
        <v>0</v>
      </c>
      <c r="BG45" s="28">
        <f t="shared" si="15"/>
        <v>0</v>
      </c>
      <c r="BH45" s="28">
        <f t="shared" si="16"/>
        <v>0</v>
      </c>
      <c r="BI45" s="28">
        <f t="shared" si="17"/>
        <v>0</v>
      </c>
      <c r="BJ45" s="28">
        <f t="shared" si="18"/>
        <v>0</v>
      </c>
      <c r="BK45" s="28">
        <f t="shared" si="19"/>
        <v>0</v>
      </c>
      <c r="BL45" s="28">
        <f t="shared" si="20"/>
        <v>0</v>
      </c>
      <c r="BM45" s="28">
        <f t="shared" si="21"/>
        <v>0</v>
      </c>
      <c r="BN45" s="28">
        <f t="shared" si="22"/>
        <v>0</v>
      </c>
      <c r="BO45" s="28">
        <f t="shared" si="23"/>
        <v>0</v>
      </c>
      <c r="BP45" s="28">
        <f t="shared" si="24"/>
        <v>0</v>
      </c>
      <c r="BQ45" s="28">
        <f t="shared" si="25"/>
        <v>0</v>
      </c>
      <c r="BR45" s="28">
        <f t="shared" si="26"/>
        <v>0</v>
      </c>
      <c r="BS45" s="28">
        <f t="shared" si="27"/>
        <v>0</v>
      </c>
      <c r="BT45" s="28">
        <f t="shared" si="28"/>
        <v>0</v>
      </c>
      <c r="BU45" s="28">
        <f t="shared" si="29"/>
        <v>0</v>
      </c>
      <c r="BV45" s="28">
        <f t="shared" si="30"/>
        <v>0</v>
      </c>
      <c r="BW45" s="28">
        <f t="shared" si="31"/>
        <v>0</v>
      </c>
      <c r="BX45" s="28">
        <f t="shared" si="32"/>
        <v>0</v>
      </c>
      <c r="BY45" s="83">
        <f t="shared" si="33"/>
        <v>0</v>
      </c>
      <c r="BZ45" s="83">
        <f t="shared" si="52"/>
        <v>0</v>
      </c>
      <c r="CA45" s="83">
        <f t="shared" si="53"/>
        <v>0</v>
      </c>
      <c r="CB45" s="83">
        <f t="shared" si="54"/>
        <v>0</v>
      </c>
      <c r="CC45" s="83">
        <f t="shared" si="55"/>
        <v>0</v>
      </c>
      <c r="CD45" s="83">
        <f t="shared" si="56"/>
        <v>0</v>
      </c>
      <c r="CE45" s="83">
        <f t="shared" si="57"/>
        <v>0</v>
      </c>
      <c r="CF45" s="83">
        <f t="shared" si="58"/>
        <v>0</v>
      </c>
      <c r="CG45" s="83">
        <f t="shared" si="59"/>
        <v>0</v>
      </c>
      <c r="CH45" s="83">
        <f t="shared" si="60"/>
        <v>0</v>
      </c>
      <c r="CI45" s="83">
        <f t="shared" si="61"/>
        <v>0</v>
      </c>
      <c r="CJ45" s="83">
        <f t="shared" si="62"/>
        <v>0</v>
      </c>
      <c r="CK45" s="83">
        <f t="shared" si="63"/>
        <v>0</v>
      </c>
      <c r="CL45" s="83">
        <f t="shared" si="64"/>
        <v>0</v>
      </c>
      <c r="CM45" s="83">
        <f t="shared" si="65"/>
        <v>0</v>
      </c>
      <c r="CN45" s="83">
        <f t="shared" si="66"/>
        <v>0</v>
      </c>
      <c r="CO45" s="83">
        <f t="shared" si="41"/>
        <v>0</v>
      </c>
      <c r="CP45" s="83">
        <f t="shared" si="42"/>
        <v>0</v>
      </c>
      <c r="CQ45" s="83">
        <f t="shared" si="43"/>
        <v>0</v>
      </c>
      <c r="CR45" s="83">
        <f t="shared" si="44"/>
        <v>0</v>
      </c>
      <c r="CS45" s="83">
        <f t="shared" si="45"/>
        <v>0</v>
      </c>
      <c r="CT45" s="84">
        <f t="shared" si="34"/>
        <v>0</v>
      </c>
      <c r="CU45" s="84">
        <f t="shared" si="67"/>
        <v>0</v>
      </c>
      <c r="CV45" s="84">
        <f t="shared" si="68"/>
        <v>0</v>
      </c>
      <c r="CW45" s="84">
        <f t="shared" si="69"/>
        <v>0</v>
      </c>
      <c r="CX45" s="84">
        <f t="shared" si="70"/>
        <v>0</v>
      </c>
      <c r="CY45" s="84">
        <f t="shared" si="71"/>
        <v>0</v>
      </c>
      <c r="CZ45" s="84">
        <f t="shared" si="72"/>
        <v>0</v>
      </c>
      <c r="DA45" s="84">
        <f t="shared" si="73"/>
        <v>0</v>
      </c>
      <c r="DB45" s="84">
        <f t="shared" si="74"/>
        <v>0</v>
      </c>
      <c r="DC45" s="84">
        <f t="shared" si="75"/>
        <v>0</v>
      </c>
      <c r="DD45" s="84">
        <f t="shared" si="76"/>
        <v>0</v>
      </c>
      <c r="DE45" s="84">
        <f t="shared" si="77"/>
        <v>0</v>
      </c>
      <c r="DF45" s="84">
        <f t="shared" si="78"/>
        <v>0</v>
      </c>
      <c r="DG45" s="84">
        <f t="shared" si="79"/>
        <v>0</v>
      </c>
      <c r="DH45" s="84">
        <f t="shared" si="80"/>
        <v>0</v>
      </c>
      <c r="DI45" s="84">
        <f t="shared" si="81"/>
        <v>0</v>
      </c>
      <c r="DJ45" s="84">
        <f t="shared" si="46"/>
        <v>0</v>
      </c>
      <c r="DK45" s="84">
        <f t="shared" si="47"/>
        <v>0</v>
      </c>
      <c r="DL45" s="84">
        <f t="shared" si="48"/>
        <v>0</v>
      </c>
      <c r="DM45" s="84">
        <f t="shared" si="49"/>
        <v>0</v>
      </c>
      <c r="DN45" s="84">
        <f t="shared" si="50"/>
        <v>0</v>
      </c>
      <c r="DR45" s="3">
        <f t="shared" si="37"/>
        <v>2024</v>
      </c>
      <c r="DS45" s="28">
        <v>0</v>
      </c>
      <c r="DT45" s="28">
        <f t="shared" si="39"/>
        <v>0</v>
      </c>
      <c r="DU45" s="28">
        <v>0</v>
      </c>
      <c r="DV45" s="28">
        <f t="shared" si="38"/>
        <v>0</v>
      </c>
      <c r="DW45" s="28">
        <v>0</v>
      </c>
      <c r="DY45" s="84">
        <f>DT45*TechnicalInputs!$B$144*TechnicalInputs!$B$134+TechnicalInputs!$B$135*TechnicalInputs!$B$145*TransactionCosts!DU45+TransactionCosts!DW45*TechnicalInputs!$B$136*TechnicalInputs!$B$146</f>
        <v>0</v>
      </c>
      <c r="DZ45" s="89">
        <f t="shared" si="35"/>
        <v>0</v>
      </c>
      <c r="EA45" s="39">
        <f>DZ45*TechnicalInputs!$B$90*TechnicalInputs!$D$5</f>
        <v>0</v>
      </c>
      <c r="EB45" s="49">
        <f>DT45*TechnicalInputs!$B$139*TechnicalInputs!$B$144+TechnicalInputs!$B$140*TechnicalInputs!$B$145*TransactionCosts!DU45+TransactionCosts!DW45*TechnicalInputs!$B$141*TechnicalInputs!$B$146</f>
        <v>0</v>
      </c>
      <c r="EC45" s="49">
        <f t="shared" si="36"/>
        <v>0</v>
      </c>
    </row>
    <row r="46" spans="1:133">
      <c r="A46" s="3" t="s">
        <v>191</v>
      </c>
      <c r="B46" s="65">
        <f t="shared" si="6"/>
        <v>0.25</v>
      </c>
      <c r="C46" s="3" t="s">
        <v>204</v>
      </c>
      <c r="D46" s="65">
        <f t="shared" si="7"/>
        <v>0.35000000000000003</v>
      </c>
      <c r="E46" s="3">
        <v>1</v>
      </c>
      <c r="F46" s="65">
        <f>LOOKUP(E46,$C$20:$C$22,$D$20:$D$22)</f>
        <v>0.4</v>
      </c>
      <c r="G46" s="3" t="s">
        <v>198</v>
      </c>
      <c r="H46" s="65">
        <v>0.25</v>
      </c>
      <c r="I46" s="65">
        <f t="shared" si="9"/>
        <v>8.7500000000000008E-3</v>
      </c>
      <c r="J46" s="3">
        <f>TechnicalInputs!$D$31</f>
        <v>0</v>
      </c>
      <c r="K46" s="3">
        <f>TechnicalInputs!$D$34</f>
        <v>2</v>
      </c>
      <c r="L46" s="3">
        <f t="shared" si="10"/>
        <v>2</v>
      </c>
      <c r="M46" s="1"/>
      <c r="N46" s="40">
        <f t="shared" si="11"/>
        <v>0</v>
      </c>
      <c r="O46" s="40">
        <f t="shared" si="51"/>
        <v>0</v>
      </c>
      <c r="P46" s="40">
        <f t="shared" si="51"/>
        <v>0</v>
      </c>
      <c r="Q46" s="40">
        <f t="shared" si="51"/>
        <v>0</v>
      </c>
      <c r="R46" s="40">
        <f t="shared" si="51"/>
        <v>0</v>
      </c>
      <c r="S46" s="40">
        <f t="shared" si="51"/>
        <v>0</v>
      </c>
      <c r="T46" s="40">
        <f t="shared" si="51"/>
        <v>0</v>
      </c>
      <c r="U46" s="40">
        <f t="shared" si="51"/>
        <v>0</v>
      </c>
      <c r="V46" s="40">
        <f t="shared" si="51"/>
        <v>0</v>
      </c>
      <c r="W46" s="40">
        <f t="shared" si="51"/>
        <v>0</v>
      </c>
      <c r="X46" s="40">
        <f t="shared" si="51"/>
        <v>0</v>
      </c>
      <c r="Y46" s="40">
        <f t="shared" si="51"/>
        <v>0</v>
      </c>
      <c r="Z46" s="40">
        <f t="shared" si="51"/>
        <v>0</v>
      </c>
      <c r="AA46" s="40">
        <f t="shared" si="51"/>
        <v>0</v>
      </c>
      <c r="AB46" s="40">
        <f t="shared" si="51"/>
        <v>0</v>
      </c>
      <c r="AC46" s="40">
        <f t="shared" si="51"/>
        <v>0</v>
      </c>
      <c r="AD46" s="40">
        <f t="shared" si="51"/>
        <v>0</v>
      </c>
      <c r="AE46" s="40">
        <f t="shared" si="40"/>
        <v>0</v>
      </c>
      <c r="AF46" s="40">
        <f t="shared" si="40"/>
        <v>0</v>
      </c>
      <c r="AG46" s="40">
        <f t="shared" si="40"/>
        <v>0</v>
      </c>
      <c r="AH46" s="40">
        <f t="shared" si="40"/>
        <v>0</v>
      </c>
      <c r="AI46" s="40">
        <f>(N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J46" s="40">
        <f>(O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K46" s="40">
        <f>(P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L46" s="40">
        <f>(Q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M46" s="40">
        <f>(R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N46" s="40">
        <f>(S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O46" s="40">
        <f>(T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P46" s="40">
        <f>(U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Q46" s="40">
        <f>(V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R46" s="40">
        <f>(W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S46" s="40">
        <f>(X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T46" s="40">
        <f>(Y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U46" s="40">
        <f>(Z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V46" s="40">
        <f>(AA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W46" s="40">
        <f>(AB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X46" s="40">
        <f>(AC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Y46" s="40">
        <f>(AD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AZ46" s="40">
        <f>(AE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BA46" s="40">
        <f>(AF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BB46" s="40">
        <f>(AG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BC46" s="40">
        <f>(AH46*IF($G46="credit",TechnicalInputs!$D$22,IF($G46="Debit",TechnicalInputs!$D$24,IF($G46="EFT",TechnicalInputs!$D$26,0)))+IF($G46="credit",TechnicalInputs!$D$21,IF($G46="debit",TechnicalInputs!$D$23,IF($G46="eft",TechnicalInputs!$D$25)))+IF(TransactionCosts!$C46="online",TechnicalInputs!$D$28,TechnicalInputs!$D$27))*$E46</f>
        <v>0.11</v>
      </c>
      <c r="BD46" s="28">
        <f t="shared" si="12"/>
        <v>0</v>
      </c>
      <c r="BE46" s="28">
        <f t="shared" si="13"/>
        <v>0</v>
      </c>
      <c r="BF46" s="28">
        <f t="shared" si="14"/>
        <v>0</v>
      </c>
      <c r="BG46" s="28">
        <f t="shared" si="15"/>
        <v>0</v>
      </c>
      <c r="BH46" s="28">
        <f t="shared" si="16"/>
        <v>0</v>
      </c>
      <c r="BI46" s="28">
        <f t="shared" si="17"/>
        <v>0</v>
      </c>
      <c r="BJ46" s="28">
        <f t="shared" si="18"/>
        <v>0</v>
      </c>
      <c r="BK46" s="28">
        <f t="shared" si="19"/>
        <v>0</v>
      </c>
      <c r="BL46" s="28">
        <f t="shared" si="20"/>
        <v>0</v>
      </c>
      <c r="BM46" s="28">
        <f t="shared" si="21"/>
        <v>0</v>
      </c>
      <c r="BN46" s="28">
        <f t="shared" si="22"/>
        <v>0</v>
      </c>
      <c r="BO46" s="28">
        <f t="shared" si="23"/>
        <v>0</v>
      </c>
      <c r="BP46" s="28">
        <f t="shared" si="24"/>
        <v>0</v>
      </c>
      <c r="BQ46" s="28">
        <f t="shared" si="25"/>
        <v>0</v>
      </c>
      <c r="BR46" s="28">
        <f t="shared" si="26"/>
        <v>0</v>
      </c>
      <c r="BS46" s="28">
        <f t="shared" si="27"/>
        <v>0</v>
      </c>
      <c r="BT46" s="28">
        <f t="shared" si="28"/>
        <v>0</v>
      </c>
      <c r="BU46" s="28">
        <f t="shared" si="29"/>
        <v>0</v>
      </c>
      <c r="BV46" s="28">
        <f t="shared" si="30"/>
        <v>0</v>
      </c>
      <c r="BW46" s="28">
        <f t="shared" si="31"/>
        <v>0</v>
      </c>
      <c r="BX46" s="28">
        <f t="shared" si="32"/>
        <v>0</v>
      </c>
      <c r="BY46" s="83">
        <f t="shared" si="33"/>
        <v>0</v>
      </c>
      <c r="BZ46" s="83">
        <f t="shared" si="52"/>
        <v>0</v>
      </c>
      <c r="CA46" s="83">
        <f t="shared" si="53"/>
        <v>0</v>
      </c>
      <c r="CB46" s="83">
        <f t="shared" si="54"/>
        <v>0</v>
      </c>
      <c r="CC46" s="83">
        <f t="shared" si="55"/>
        <v>0</v>
      </c>
      <c r="CD46" s="83">
        <f t="shared" si="56"/>
        <v>0</v>
      </c>
      <c r="CE46" s="83">
        <f t="shared" si="57"/>
        <v>0</v>
      </c>
      <c r="CF46" s="83">
        <f t="shared" si="58"/>
        <v>0</v>
      </c>
      <c r="CG46" s="83">
        <f t="shared" si="59"/>
        <v>0</v>
      </c>
      <c r="CH46" s="83">
        <f t="shared" si="60"/>
        <v>0</v>
      </c>
      <c r="CI46" s="83">
        <f t="shared" si="61"/>
        <v>0</v>
      </c>
      <c r="CJ46" s="83">
        <f t="shared" si="62"/>
        <v>0</v>
      </c>
      <c r="CK46" s="83">
        <f t="shared" si="63"/>
        <v>0</v>
      </c>
      <c r="CL46" s="83">
        <f t="shared" si="64"/>
        <v>0</v>
      </c>
      <c r="CM46" s="83">
        <f t="shared" si="65"/>
        <v>0</v>
      </c>
      <c r="CN46" s="83">
        <f t="shared" si="66"/>
        <v>0</v>
      </c>
      <c r="CO46" s="83">
        <f t="shared" si="41"/>
        <v>0</v>
      </c>
      <c r="CP46" s="83">
        <f t="shared" si="42"/>
        <v>0</v>
      </c>
      <c r="CQ46" s="83">
        <f t="shared" si="43"/>
        <v>0</v>
      </c>
      <c r="CR46" s="83">
        <f t="shared" si="44"/>
        <v>0</v>
      </c>
      <c r="CS46" s="83">
        <f t="shared" si="45"/>
        <v>0</v>
      </c>
      <c r="CT46" s="84">
        <f t="shared" si="34"/>
        <v>0</v>
      </c>
      <c r="CU46" s="84">
        <f t="shared" si="67"/>
        <v>0</v>
      </c>
      <c r="CV46" s="84">
        <f t="shared" si="68"/>
        <v>0</v>
      </c>
      <c r="CW46" s="84">
        <f t="shared" si="69"/>
        <v>0</v>
      </c>
      <c r="CX46" s="84">
        <f t="shared" si="70"/>
        <v>0</v>
      </c>
      <c r="CY46" s="84">
        <f t="shared" si="71"/>
        <v>0</v>
      </c>
      <c r="CZ46" s="84">
        <f t="shared" si="72"/>
        <v>0</v>
      </c>
      <c r="DA46" s="84">
        <f t="shared" si="73"/>
        <v>0</v>
      </c>
      <c r="DB46" s="84">
        <f t="shared" si="74"/>
        <v>0</v>
      </c>
      <c r="DC46" s="84">
        <f t="shared" si="75"/>
        <v>0</v>
      </c>
      <c r="DD46" s="84">
        <f t="shared" si="76"/>
        <v>0</v>
      </c>
      <c r="DE46" s="84">
        <f t="shared" si="77"/>
        <v>0</v>
      </c>
      <c r="DF46" s="84">
        <f t="shared" si="78"/>
        <v>0</v>
      </c>
      <c r="DG46" s="84">
        <f t="shared" si="79"/>
        <v>0</v>
      </c>
      <c r="DH46" s="84">
        <f t="shared" si="80"/>
        <v>0</v>
      </c>
      <c r="DI46" s="84">
        <f t="shared" si="81"/>
        <v>0</v>
      </c>
      <c r="DJ46" s="84">
        <f t="shared" si="46"/>
        <v>0</v>
      </c>
      <c r="DK46" s="84">
        <f t="shared" si="47"/>
        <v>0</v>
      </c>
      <c r="DL46" s="84">
        <f t="shared" si="48"/>
        <v>0</v>
      </c>
      <c r="DM46" s="84">
        <f t="shared" si="49"/>
        <v>0</v>
      </c>
      <c r="DN46" s="84">
        <f t="shared" si="50"/>
        <v>0</v>
      </c>
      <c r="DR46" s="3">
        <f t="shared" si="37"/>
        <v>2025</v>
      </c>
      <c r="DS46" s="28">
        <v>0</v>
      </c>
      <c r="DT46" s="28">
        <f t="shared" si="39"/>
        <v>0</v>
      </c>
      <c r="DU46" s="28">
        <v>0</v>
      </c>
      <c r="DV46" s="28">
        <f t="shared" si="38"/>
        <v>0</v>
      </c>
      <c r="DW46" s="28">
        <v>0</v>
      </c>
      <c r="DY46" s="84">
        <f>DT46*TechnicalInputs!$B$144*TechnicalInputs!$B$134+TechnicalInputs!$B$135*TechnicalInputs!$B$145*TransactionCosts!DU46+TransactionCosts!DW46*TechnicalInputs!$B$136*TechnicalInputs!$B$146</f>
        <v>0</v>
      </c>
      <c r="DZ46" s="89">
        <f t="shared" si="35"/>
        <v>0</v>
      </c>
      <c r="EA46" s="39">
        <f>DZ46*TechnicalInputs!$B$90*TechnicalInputs!$D$5</f>
        <v>0</v>
      </c>
      <c r="EB46" s="49">
        <f>DT46*TechnicalInputs!$B$139*TechnicalInputs!$B$144+TechnicalInputs!$B$140*TechnicalInputs!$B$145*TransactionCosts!DU46+TransactionCosts!DW46*TechnicalInputs!$B$141*TechnicalInputs!$B$146</f>
        <v>0</v>
      </c>
      <c r="EC46" s="49">
        <f t="shared" si="36"/>
        <v>0</v>
      </c>
    </row>
    <row r="47" spans="1:133">
      <c r="A47" s="3" t="s">
        <v>191</v>
      </c>
      <c r="B47" s="65">
        <f t="shared" si="6"/>
        <v>0.25</v>
      </c>
      <c r="C47" s="3" t="s">
        <v>204</v>
      </c>
      <c r="D47" s="65">
        <f t="shared" si="7"/>
        <v>0.35000000000000003</v>
      </c>
      <c r="E47" s="3">
        <v>2</v>
      </c>
      <c r="F47" s="65">
        <f t="shared" ref="F47:F54" si="82">LOOKUP(E47,$C$20:$C$22,$D$20:$D$22)</f>
        <v>0.4</v>
      </c>
      <c r="G47" s="3" t="s">
        <v>198</v>
      </c>
      <c r="H47" s="65">
        <v>0.25</v>
      </c>
      <c r="I47" s="65">
        <f t="shared" si="9"/>
        <v>8.7500000000000008E-3</v>
      </c>
      <c r="J47" s="3">
        <f>TechnicalInputs!$D$31</f>
        <v>0</v>
      </c>
      <c r="K47" s="3">
        <f>TechnicalInputs!$D$34</f>
        <v>2</v>
      </c>
      <c r="L47" s="3">
        <f t="shared" si="10"/>
        <v>2</v>
      </c>
      <c r="M47" s="1"/>
      <c r="N47" s="40">
        <f t="shared" si="11"/>
        <v>0</v>
      </c>
      <c r="O47" s="40">
        <f t="shared" si="51"/>
        <v>0</v>
      </c>
      <c r="P47" s="40">
        <f t="shared" si="51"/>
        <v>0</v>
      </c>
      <c r="Q47" s="40">
        <f t="shared" si="51"/>
        <v>0</v>
      </c>
      <c r="R47" s="40">
        <f t="shared" si="51"/>
        <v>0</v>
      </c>
      <c r="S47" s="40">
        <f t="shared" si="51"/>
        <v>0</v>
      </c>
      <c r="T47" s="40">
        <f t="shared" si="51"/>
        <v>0</v>
      </c>
      <c r="U47" s="40">
        <f t="shared" si="51"/>
        <v>0</v>
      </c>
      <c r="V47" s="40">
        <f t="shared" si="51"/>
        <v>0</v>
      </c>
      <c r="W47" s="40">
        <f t="shared" si="51"/>
        <v>0</v>
      </c>
      <c r="X47" s="40">
        <f t="shared" si="51"/>
        <v>0</v>
      </c>
      <c r="Y47" s="40">
        <f t="shared" si="51"/>
        <v>0</v>
      </c>
      <c r="Z47" s="40">
        <f t="shared" si="51"/>
        <v>0</v>
      </c>
      <c r="AA47" s="40">
        <f t="shared" si="51"/>
        <v>0</v>
      </c>
      <c r="AB47" s="40">
        <f t="shared" si="51"/>
        <v>0</v>
      </c>
      <c r="AC47" s="40">
        <f t="shared" si="51"/>
        <v>0</v>
      </c>
      <c r="AD47" s="40">
        <f t="shared" si="51"/>
        <v>0</v>
      </c>
      <c r="AE47" s="40">
        <f t="shared" si="40"/>
        <v>0</v>
      </c>
      <c r="AF47" s="40">
        <f t="shared" si="40"/>
        <v>0</v>
      </c>
      <c r="AG47" s="40">
        <f t="shared" si="40"/>
        <v>0</v>
      </c>
      <c r="AH47" s="40">
        <f t="shared" si="40"/>
        <v>0</v>
      </c>
      <c r="AI47" s="40">
        <f>(N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J47" s="40">
        <f>(O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K47" s="40">
        <f>(P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L47" s="40">
        <f>(Q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M47" s="40">
        <f>(R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N47" s="40">
        <f>(S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O47" s="40">
        <f>(T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P47" s="40">
        <f>(U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Q47" s="40">
        <f>(V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R47" s="40">
        <f>(W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S47" s="40">
        <f>(X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T47" s="40">
        <f>(Y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U47" s="40">
        <f>(Z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V47" s="40">
        <f>(AA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W47" s="40">
        <f>(AB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X47" s="40">
        <f>(AC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Y47" s="40">
        <f>(AD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AZ47" s="40">
        <f>(AE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BA47" s="40">
        <f>(AF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BB47" s="40">
        <f>(AG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BC47" s="40">
        <f>(AH47*IF($G47="credit",TechnicalInputs!$D$22,IF($G47="Debit",TechnicalInputs!$D$24,IF($G47="EFT",TechnicalInputs!$D$26,0)))+IF($G47="credit",TechnicalInputs!$D$21,IF($G47="debit",TechnicalInputs!$D$23,IF($G47="eft",TechnicalInputs!$D$25)))+IF(TransactionCosts!$C47="online",TechnicalInputs!$D$28,TechnicalInputs!$D$27))*$E47</f>
        <v>0.22</v>
      </c>
      <c r="BD47" s="28">
        <f t="shared" si="12"/>
        <v>0</v>
      </c>
      <c r="BE47" s="28">
        <f t="shared" si="13"/>
        <v>0</v>
      </c>
      <c r="BF47" s="28">
        <f t="shared" si="14"/>
        <v>0</v>
      </c>
      <c r="BG47" s="28">
        <f t="shared" si="15"/>
        <v>0</v>
      </c>
      <c r="BH47" s="28">
        <f t="shared" si="16"/>
        <v>0</v>
      </c>
      <c r="BI47" s="28">
        <f t="shared" si="17"/>
        <v>0</v>
      </c>
      <c r="BJ47" s="28">
        <f t="shared" si="18"/>
        <v>0</v>
      </c>
      <c r="BK47" s="28">
        <f t="shared" si="19"/>
        <v>0</v>
      </c>
      <c r="BL47" s="28">
        <f t="shared" si="20"/>
        <v>0</v>
      </c>
      <c r="BM47" s="28">
        <f t="shared" si="21"/>
        <v>0</v>
      </c>
      <c r="BN47" s="28">
        <f t="shared" si="22"/>
        <v>0</v>
      </c>
      <c r="BO47" s="28">
        <f t="shared" si="23"/>
        <v>0</v>
      </c>
      <c r="BP47" s="28">
        <f t="shared" si="24"/>
        <v>0</v>
      </c>
      <c r="BQ47" s="28">
        <f t="shared" si="25"/>
        <v>0</v>
      </c>
      <c r="BR47" s="28">
        <f t="shared" si="26"/>
        <v>0</v>
      </c>
      <c r="BS47" s="28">
        <f t="shared" si="27"/>
        <v>0</v>
      </c>
      <c r="BT47" s="28">
        <f t="shared" si="28"/>
        <v>0</v>
      </c>
      <c r="BU47" s="28">
        <f t="shared" si="29"/>
        <v>0</v>
      </c>
      <c r="BV47" s="28">
        <f t="shared" si="30"/>
        <v>0</v>
      </c>
      <c r="BW47" s="28">
        <f t="shared" si="31"/>
        <v>0</v>
      </c>
      <c r="BX47" s="28">
        <f t="shared" si="32"/>
        <v>0</v>
      </c>
      <c r="BY47" s="83">
        <f t="shared" si="33"/>
        <v>0</v>
      </c>
      <c r="BZ47" s="83">
        <f t="shared" si="52"/>
        <v>0</v>
      </c>
      <c r="CA47" s="83">
        <f t="shared" si="53"/>
        <v>0</v>
      </c>
      <c r="CB47" s="83">
        <f t="shared" si="54"/>
        <v>0</v>
      </c>
      <c r="CC47" s="83">
        <f t="shared" si="55"/>
        <v>0</v>
      </c>
      <c r="CD47" s="83">
        <f t="shared" si="56"/>
        <v>0</v>
      </c>
      <c r="CE47" s="83">
        <f t="shared" si="57"/>
        <v>0</v>
      </c>
      <c r="CF47" s="83">
        <f t="shared" si="58"/>
        <v>0</v>
      </c>
      <c r="CG47" s="83">
        <f t="shared" si="59"/>
        <v>0</v>
      </c>
      <c r="CH47" s="83">
        <f t="shared" si="60"/>
        <v>0</v>
      </c>
      <c r="CI47" s="83">
        <f t="shared" si="61"/>
        <v>0</v>
      </c>
      <c r="CJ47" s="83">
        <f t="shared" si="62"/>
        <v>0</v>
      </c>
      <c r="CK47" s="83">
        <f t="shared" si="63"/>
        <v>0</v>
      </c>
      <c r="CL47" s="83">
        <f t="shared" si="64"/>
        <v>0</v>
      </c>
      <c r="CM47" s="83">
        <f t="shared" si="65"/>
        <v>0</v>
      </c>
      <c r="CN47" s="83">
        <f t="shared" si="66"/>
        <v>0</v>
      </c>
      <c r="CO47" s="83">
        <f t="shared" si="41"/>
        <v>0</v>
      </c>
      <c r="CP47" s="83">
        <f t="shared" si="42"/>
        <v>0</v>
      </c>
      <c r="CQ47" s="83">
        <f t="shared" si="43"/>
        <v>0</v>
      </c>
      <c r="CR47" s="83">
        <f t="shared" si="44"/>
        <v>0</v>
      </c>
      <c r="CS47" s="83">
        <f t="shared" si="45"/>
        <v>0</v>
      </c>
      <c r="CT47" s="84">
        <f t="shared" si="34"/>
        <v>0</v>
      </c>
      <c r="CU47" s="84">
        <f t="shared" si="67"/>
        <v>0</v>
      </c>
      <c r="CV47" s="84">
        <f t="shared" si="68"/>
        <v>0</v>
      </c>
      <c r="CW47" s="84">
        <f t="shared" si="69"/>
        <v>0</v>
      </c>
      <c r="CX47" s="84">
        <f t="shared" si="70"/>
        <v>0</v>
      </c>
      <c r="CY47" s="84">
        <f t="shared" si="71"/>
        <v>0</v>
      </c>
      <c r="CZ47" s="84">
        <f t="shared" si="72"/>
        <v>0</v>
      </c>
      <c r="DA47" s="84">
        <f t="shared" si="73"/>
        <v>0</v>
      </c>
      <c r="DB47" s="84">
        <f t="shared" si="74"/>
        <v>0</v>
      </c>
      <c r="DC47" s="84">
        <f t="shared" si="75"/>
        <v>0</v>
      </c>
      <c r="DD47" s="84">
        <f t="shared" si="76"/>
        <v>0</v>
      </c>
      <c r="DE47" s="84">
        <f t="shared" si="77"/>
        <v>0</v>
      </c>
      <c r="DF47" s="84">
        <f t="shared" si="78"/>
        <v>0</v>
      </c>
      <c r="DG47" s="84">
        <f t="shared" si="79"/>
        <v>0</v>
      </c>
      <c r="DH47" s="84">
        <f t="shared" si="80"/>
        <v>0</v>
      </c>
      <c r="DI47" s="84">
        <f t="shared" si="81"/>
        <v>0</v>
      </c>
      <c r="DJ47" s="84">
        <f t="shared" si="46"/>
        <v>0</v>
      </c>
      <c r="DK47" s="84">
        <f t="shared" si="47"/>
        <v>0</v>
      </c>
      <c r="DL47" s="84">
        <f t="shared" si="48"/>
        <v>0</v>
      </c>
      <c r="DM47" s="84">
        <f t="shared" si="49"/>
        <v>0</v>
      </c>
      <c r="DN47" s="84">
        <f t="shared" si="50"/>
        <v>0</v>
      </c>
      <c r="DR47" s="3">
        <f t="shared" si="37"/>
        <v>2026</v>
      </c>
      <c r="DS47" s="28">
        <v>0</v>
      </c>
      <c r="DT47" s="28">
        <f t="shared" si="39"/>
        <v>0</v>
      </c>
      <c r="DU47" s="28">
        <v>0</v>
      </c>
      <c r="DV47" s="28">
        <f t="shared" si="38"/>
        <v>0</v>
      </c>
      <c r="DW47" s="28">
        <v>0</v>
      </c>
      <c r="DY47" s="84">
        <f>DT47*TechnicalInputs!$B$144*TechnicalInputs!$B$134+TechnicalInputs!$B$135*TechnicalInputs!$B$145*TransactionCosts!DU47+TransactionCosts!DW47*TechnicalInputs!$B$136*TechnicalInputs!$B$146</f>
        <v>0</v>
      </c>
      <c r="DZ47" s="89">
        <f t="shared" si="35"/>
        <v>0</v>
      </c>
      <c r="EA47" s="39">
        <f>DZ47*TechnicalInputs!$B$90*TechnicalInputs!$D$5</f>
        <v>0</v>
      </c>
      <c r="EB47" s="49">
        <f>DT47*TechnicalInputs!$B$139*TechnicalInputs!$B$144+TechnicalInputs!$B$140*TechnicalInputs!$B$145*TransactionCosts!DU47+TransactionCosts!DW47*TechnicalInputs!$B$141*TechnicalInputs!$B$146</f>
        <v>0</v>
      </c>
      <c r="EC47" s="49">
        <f t="shared" si="36"/>
        <v>0</v>
      </c>
    </row>
    <row r="48" spans="1:133">
      <c r="A48" s="3" t="s">
        <v>191</v>
      </c>
      <c r="B48" s="65">
        <f t="shared" si="6"/>
        <v>0.25</v>
      </c>
      <c r="C48" s="3" t="s">
        <v>204</v>
      </c>
      <c r="D48" s="65">
        <f t="shared" si="7"/>
        <v>0.35000000000000003</v>
      </c>
      <c r="E48" s="3">
        <v>4</v>
      </c>
      <c r="F48" s="65">
        <f t="shared" si="82"/>
        <v>0.19999999999999996</v>
      </c>
      <c r="G48" s="3" t="s">
        <v>198</v>
      </c>
      <c r="H48" s="65">
        <v>0.25</v>
      </c>
      <c r="I48" s="65">
        <f t="shared" si="9"/>
        <v>4.3749999999999995E-3</v>
      </c>
      <c r="J48" s="3">
        <f>TechnicalInputs!$D$31</f>
        <v>0</v>
      </c>
      <c r="K48" s="3">
        <f>TechnicalInputs!$D$34</f>
        <v>2</v>
      </c>
      <c r="L48" s="3">
        <f t="shared" si="10"/>
        <v>2</v>
      </c>
      <c r="M48" s="1"/>
      <c r="N48" s="40">
        <f t="shared" ref="N48:N63" si="83">P$10/$E48</f>
        <v>0</v>
      </c>
      <c r="O48" s="40">
        <f t="shared" si="51"/>
        <v>0</v>
      </c>
      <c r="P48" s="40">
        <f t="shared" si="51"/>
        <v>0</v>
      </c>
      <c r="Q48" s="40">
        <f t="shared" si="51"/>
        <v>0</v>
      </c>
      <c r="R48" s="40">
        <f t="shared" si="51"/>
        <v>0</v>
      </c>
      <c r="S48" s="40">
        <f t="shared" si="51"/>
        <v>0</v>
      </c>
      <c r="T48" s="40">
        <f t="shared" si="51"/>
        <v>0</v>
      </c>
      <c r="U48" s="40">
        <f t="shared" si="51"/>
        <v>0</v>
      </c>
      <c r="V48" s="40">
        <f t="shared" si="51"/>
        <v>0</v>
      </c>
      <c r="W48" s="40">
        <f t="shared" si="51"/>
        <v>0</v>
      </c>
      <c r="X48" s="40">
        <f t="shared" si="51"/>
        <v>0</v>
      </c>
      <c r="Y48" s="40">
        <f t="shared" si="51"/>
        <v>0</v>
      </c>
      <c r="Z48" s="40">
        <f t="shared" si="51"/>
        <v>0</v>
      </c>
      <c r="AA48" s="40">
        <f t="shared" si="51"/>
        <v>0</v>
      </c>
      <c r="AB48" s="40">
        <f t="shared" si="51"/>
        <v>0</v>
      </c>
      <c r="AC48" s="40">
        <f t="shared" si="51"/>
        <v>0</v>
      </c>
      <c r="AD48" s="40">
        <f t="shared" si="51"/>
        <v>0</v>
      </c>
      <c r="AE48" s="40">
        <f t="shared" si="40"/>
        <v>0</v>
      </c>
      <c r="AF48" s="40">
        <f t="shared" si="40"/>
        <v>0</v>
      </c>
      <c r="AG48" s="40">
        <f t="shared" si="40"/>
        <v>0</v>
      </c>
      <c r="AH48" s="40">
        <f t="shared" si="40"/>
        <v>0</v>
      </c>
      <c r="AI48" s="40">
        <f>(N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J48" s="40">
        <f>(O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K48" s="40">
        <f>(P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L48" s="40">
        <f>(Q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M48" s="40">
        <f>(R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N48" s="40">
        <f>(S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O48" s="40">
        <f>(T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P48" s="40">
        <f>(U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Q48" s="40">
        <f>(V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R48" s="40">
        <f>(W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S48" s="40">
        <f>(X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T48" s="40">
        <f>(Y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U48" s="40">
        <f>(Z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V48" s="40">
        <f>(AA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W48" s="40">
        <f>(AB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X48" s="40">
        <f>(AC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Y48" s="40">
        <f>(AD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AZ48" s="40">
        <f>(AE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BA48" s="40">
        <f>(AF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BB48" s="40">
        <f>(AG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BC48" s="40">
        <f>(AH48*IF($G48="credit",TechnicalInputs!$D$22,IF($G48="Debit",TechnicalInputs!$D$24,IF($G48="EFT",TechnicalInputs!$D$26,0)))+IF($G48="credit",TechnicalInputs!$D$21,IF($G48="debit",TechnicalInputs!$D$23,IF($G48="eft",TechnicalInputs!$D$25)))+IF(TransactionCosts!$C48="online",TechnicalInputs!$D$28,TechnicalInputs!$D$27))*$E48</f>
        <v>0.44</v>
      </c>
      <c r="BD48" s="28">
        <f t="shared" si="12"/>
        <v>0</v>
      </c>
      <c r="BE48" s="28">
        <f t="shared" si="13"/>
        <v>0</v>
      </c>
      <c r="BF48" s="28">
        <f t="shared" si="14"/>
        <v>0</v>
      </c>
      <c r="BG48" s="28">
        <f t="shared" si="15"/>
        <v>0</v>
      </c>
      <c r="BH48" s="28">
        <f t="shared" si="16"/>
        <v>0</v>
      </c>
      <c r="BI48" s="28">
        <f t="shared" si="17"/>
        <v>0</v>
      </c>
      <c r="BJ48" s="28">
        <f t="shared" si="18"/>
        <v>0</v>
      </c>
      <c r="BK48" s="28">
        <f t="shared" si="19"/>
        <v>0</v>
      </c>
      <c r="BL48" s="28">
        <f t="shared" si="20"/>
        <v>0</v>
      </c>
      <c r="BM48" s="28">
        <f t="shared" si="21"/>
        <v>0</v>
      </c>
      <c r="BN48" s="28">
        <f t="shared" si="22"/>
        <v>0</v>
      </c>
      <c r="BO48" s="28">
        <f t="shared" si="23"/>
        <v>0</v>
      </c>
      <c r="BP48" s="28">
        <f t="shared" si="24"/>
        <v>0</v>
      </c>
      <c r="BQ48" s="28">
        <f t="shared" si="25"/>
        <v>0</v>
      </c>
      <c r="BR48" s="28">
        <f t="shared" si="26"/>
        <v>0</v>
      </c>
      <c r="BS48" s="28">
        <f t="shared" si="27"/>
        <v>0</v>
      </c>
      <c r="BT48" s="28">
        <f t="shared" si="28"/>
        <v>0</v>
      </c>
      <c r="BU48" s="28">
        <f t="shared" si="29"/>
        <v>0</v>
      </c>
      <c r="BV48" s="28">
        <f t="shared" si="30"/>
        <v>0</v>
      </c>
      <c r="BW48" s="28">
        <f t="shared" si="31"/>
        <v>0</v>
      </c>
      <c r="BX48" s="28">
        <f t="shared" si="32"/>
        <v>0</v>
      </c>
      <c r="BY48" s="83">
        <f t="shared" si="33"/>
        <v>0</v>
      </c>
      <c r="BZ48" s="83">
        <f t="shared" si="52"/>
        <v>0</v>
      </c>
      <c r="CA48" s="83">
        <f t="shared" si="53"/>
        <v>0</v>
      </c>
      <c r="CB48" s="83">
        <f t="shared" si="54"/>
        <v>0</v>
      </c>
      <c r="CC48" s="83">
        <f t="shared" si="55"/>
        <v>0</v>
      </c>
      <c r="CD48" s="83">
        <f t="shared" si="56"/>
        <v>0</v>
      </c>
      <c r="CE48" s="83">
        <f t="shared" si="57"/>
        <v>0</v>
      </c>
      <c r="CF48" s="83">
        <f t="shared" si="58"/>
        <v>0</v>
      </c>
      <c r="CG48" s="83">
        <f t="shared" si="59"/>
        <v>0</v>
      </c>
      <c r="CH48" s="83">
        <f t="shared" si="60"/>
        <v>0</v>
      </c>
      <c r="CI48" s="83">
        <f t="shared" si="61"/>
        <v>0</v>
      </c>
      <c r="CJ48" s="83">
        <f t="shared" si="62"/>
        <v>0</v>
      </c>
      <c r="CK48" s="83">
        <f t="shared" si="63"/>
        <v>0</v>
      </c>
      <c r="CL48" s="83">
        <f t="shared" si="64"/>
        <v>0</v>
      </c>
      <c r="CM48" s="83">
        <f t="shared" si="65"/>
        <v>0</v>
      </c>
      <c r="CN48" s="83">
        <f t="shared" si="66"/>
        <v>0</v>
      </c>
      <c r="CO48" s="83">
        <f t="shared" si="41"/>
        <v>0</v>
      </c>
      <c r="CP48" s="83">
        <f t="shared" si="42"/>
        <v>0</v>
      </c>
      <c r="CQ48" s="83">
        <f t="shared" si="43"/>
        <v>0</v>
      </c>
      <c r="CR48" s="83">
        <f t="shared" si="44"/>
        <v>0</v>
      </c>
      <c r="CS48" s="83">
        <f t="shared" si="45"/>
        <v>0</v>
      </c>
      <c r="CT48" s="84">
        <f t="shared" si="34"/>
        <v>0</v>
      </c>
      <c r="CU48" s="84">
        <f t="shared" si="67"/>
        <v>0</v>
      </c>
      <c r="CV48" s="84">
        <f t="shared" si="68"/>
        <v>0</v>
      </c>
      <c r="CW48" s="84">
        <f t="shared" si="69"/>
        <v>0</v>
      </c>
      <c r="CX48" s="84">
        <f t="shared" si="70"/>
        <v>0</v>
      </c>
      <c r="CY48" s="84">
        <f t="shared" si="71"/>
        <v>0</v>
      </c>
      <c r="CZ48" s="84">
        <f t="shared" si="72"/>
        <v>0</v>
      </c>
      <c r="DA48" s="84">
        <f t="shared" si="73"/>
        <v>0</v>
      </c>
      <c r="DB48" s="84">
        <f t="shared" si="74"/>
        <v>0</v>
      </c>
      <c r="DC48" s="84">
        <f t="shared" si="75"/>
        <v>0</v>
      </c>
      <c r="DD48" s="84">
        <f t="shared" si="76"/>
        <v>0</v>
      </c>
      <c r="DE48" s="84">
        <f t="shared" si="77"/>
        <v>0</v>
      </c>
      <c r="DF48" s="84">
        <f t="shared" si="78"/>
        <v>0</v>
      </c>
      <c r="DG48" s="84">
        <f t="shared" si="79"/>
        <v>0</v>
      </c>
      <c r="DH48" s="84">
        <f t="shared" si="80"/>
        <v>0</v>
      </c>
      <c r="DI48" s="84">
        <f t="shared" si="81"/>
        <v>0</v>
      </c>
      <c r="DJ48" s="84">
        <f t="shared" si="46"/>
        <v>0</v>
      </c>
      <c r="DK48" s="84">
        <f t="shared" si="47"/>
        <v>0</v>
      </c>
      <c r="DL48" s="84">
        <f t="shared" si="48"/>
        <v>0</v>
      </c>
      <c r="DM48" s="84">
        <f t="shared" si="49"/>
        <v>0</v>
      </c>
      <c r="DN48" s="84">
        <f t="shared" si="50"/>
        <v>0</v>
      </c>
      <c r="DR48" s="3">
        <f t="shared" si="37"/>
        <v>2027</v>
      </c>
      <c r="DS48" s="28">
        <v>0</v>
      </c>
      <c r="DT48" s="28">
        <f t="shared" si="39"/>
        <v>0</v>
      </c>
      <c r="DU48" s="28">
        <v>0</v>
      </c>
      <c r="DV48" s="28">
        <f t="shared" si="38"/>
        <v>0</v>
      </c>
      <c r="DW48" s="28">
        <v>0</v>
      </c>
      <c r="DY48" s="84">
        <f>DT48*TechnicalInputs!$B$144*TechnicalInputs!$B$134+TechnicalInputs!$B$135*TechnicalInputs!$B$145*TransactionCosts!DU48+TransactionCosts!DW48*TechnicalInputs!$B$136*TechnicalInputs!$B$146</f>
        <v>0</v>
      </c>
      <c r="DZ48" s="89">
        <f t="shared" si="35"/>
        <v>0</v>
      </c>
      <c r="EA48" s="39">
        <f>DZ48*TechnicalInputs!$B$90*TechnicalInputs!$D$5</f>
        <v>0</v>
      </c>
      <c r="EB48" s="49">
        <f>DT48*TechnicalInputs!$B$139*TechnicalInputs!$B$144+TechnicalInputs!$B$140*TechnicalInputs!$B$145*TransactionCosts!DU48+TransactionCosts!DW48*TechnicalInputs!$B$141*TechnicalInputs!$B$146</f>
        <v>0</v>
      </c>
      <c r="EC48" s="49">
        <f t="shared" si="36"/>
        <v>0</v>
      </c>
    </row>
    <row r="49" spans="1:133">
      <c r="A49" s="3" t="s">
        <v>191</v>
      </c>
      <c r="B49" s="65">
        <f t="shared" si="6"/>
        <v>0.25</v>
      </c>
      <c r="C49" s="3" t="s">
        <v>204</v>
      </c>
      <c r="D49" s="65">
        <f t="shared" si="7"/>
        <v>0.35000000000000003</v>
      </c>
      <c r="E49" s="3">
        <v>1</v>
      </c>
      <c r="F49" s="65">
        <f t="shared" si="82"/>
        <v>0.4</v>
      </c>
      <c r="G49" s="3" t="s">
        <v>199</v>
      </c>
      <c r="H49" s="65">
        <v>0.5</v>
      </c>
      <c r="I49" s="65">
        <f t="shared" si="9"/>
        <v>1.7500000000000002E-2</v>
      </c>
      <c r="J49" s="3">
        <f>TechnicalInputs!$D$31</f>
        <v>0</v>
      </c>
      <c r="K49" s="3">
        <f>TechnicalInputs!$D$34</f>
        <v>2</v>
      </c>
      <c r="L49" s="3">
        <f t="shared" si="10"/>
        <v>2</v>
      </c>
      <c r="M49" s="1"/>
      <c r="N49" s="40">
        <f t="shared" si="83"/>
        <v>0</v>
      </c>
      <c r="O49" s="40">
        <f t="shared" si="51"/>
        <v>0</v>
      </c>
      <c r="P49" s="40">
        <f t="shared" si="51"/>
        <v>0</v>
      </c>
      <c r="Q49" s="40">
        <f t="shared" si="51"/>
        <v>0</v>
      </c>
      <c r="R49" s="40">
        <f t="shared" si="51"/>
        <v>0</v>
      </c>
      <c r="S49" s="40">
        <f t="shared" si="51"/>
        <v>0</v>
      </c>
      <c r="T49" s="40">
        <f t="shared" si="51"/>
        <v>0</v>
      </c>
      <c r="U49" s="40">
        <f t="shared" si="51"/>
        <v>0</v>
      </c>
      <c r="V49" s="40">
        <f t="shared" si="51"/>
        <v>0</v>
      </c>
      <c r="W49" s="40">
        <f t="shared" si="51"/>
        <v>0</v>
      </c>
      <c r="X49" s="40">
        <f t="shared" si="51"/>
        <v>0</v>
      </c>
      <c r="Y49" s="40">
        <f t="shared" si="51"/>
        <v>0</v>
      </c>
      <c r="Z49" s="40">
        <f t="shared" si="51"/>
        <v>0</v>
      </c>
      <c r="AA49" s="40">
        <f t="shared" si="51"/>
        <v>0</v>
      </c>
      <c r="AB49" s="40">
        <f t="shared" si="51"/>
        <v>0</v>
      </c>
      <c r="AC49" s="40">
        <f t="shared" si="51"/>
        <v>0</v>
      </c>
      <c r="AD49" s="40">
        <f t="shared" si="51"/>
        <v>0</v>
      </c>
      <c r="AE49" s="40">
        <f t="shared" si="40"/>
        <v>0</v>
      </c>
      <c r="AF49" s="40">
        <f t="shared" si="40"/>
        <v>0</v>
      </c>
      <c r="AG49" s="40">
        <f t="shared" si="40"/>
        <v>0</v>
      </c>
      <c r="AH49" s="40">
        <f t="shared" si="40"/>
        <v>0</v>
      </c>
      <c r="AI49" s="40">
        <f>(N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J49" s="40">
        <f>(O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K49" s="40">
        <f>(P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L49" s="40">
        <f>(Q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M49" s="40">
        <f>(R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N49" s="40">
        <f>(S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O49" s="40">
        <f>(T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P49" s="40">
        <f>(U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Q49" s="40">
        <f>(V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R49" s="40">
        <f>(W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S49" s="40">
        <f>(X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T49" s="40">
        <f>(Y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U49" s="40">
        <f>(Z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V49" s="40">
        <f>(AA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W49" s="40">
        <f>(AB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X49" s="40">
        <f>(AC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Y49" s="40">
        <f>(AD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AZ49" s="40">
        <f>(AE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BA49" s="40">
        <f>(AF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BB49" s="40">
        <f>(AG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BC49" s="40">
        <f>(AH49*IF($G49="credit",TechnicalInputs!$D$22,IF($G49="Debit",TechnicalInputs!$D$24,IF($G49="EFT",TechnicalInputs!$D$26,0)))+IF($G49="credit",TechnicalInputs!$D$21,IF($G49="debit",TechnicalInputs!$D$23,IF($G49="eft",TechnicalInputs!$D$25)))+IF(TransactionCosts!$C49="online",TechnicalInputs!$D$28,TechnicalInputs!$D$27))*$E49</f>
        <v>0.11</v>
      </c>
      <c r="BD49" s="28">
        <f t="shared" si="12"/>
        <v>0</v>
      </c>
      <c r="BE49" s="28">
        <f t="shared" si="13"/>
        <v>0</v>
      </c>
      <c r="BF49" s="28">
        <f t="shared" si="14"/>
        <v>0</v>
      </c>
      <c r="BG49" s="28">
        <f t="shared" si="15"/>
        <v>0</v>
      </c>
      <c r="BH49" s="28">
        <f t="shared" si="16"/>
        <v>0</v>
      </c>
      <c r="BI49" s="28">
        <f t="shared" si="17"/>
        <v>0</v>
      </c>
      <c r="BJ49" s="28">
        <f t="shared" si="18"/>
        <v>0</v>
      </c>
      <c r="BK49" s="28">
        <f t="shared" si="19"/>
        <v>0</v>
      </c>
      <c r="BL49" s="28">
        <f t="shared" si="20"/>
        <v>0</v>
      </c>
      <c r="BM49" s="28">
        <f t="shared" si="21"/>
        <v>0</v>
      </c>
      <c r="BN49" s="28">
        <f t="shared" si="22"/>
        <v>0</v>
      </c>
      <c r="BO49" s="28">
        <f t="shared" si="23"/>
        <v>0</v>
      </c>
      <c r="BP49" s="28">
        <f t="shared" si="24"/>
        <v>0</v>
      </c>
      <c r="BQ49" s="28">
        <f t="shared" si="25"/>
        <v>0</v>
      </c>
      <c r="BR49" s="28">
        <f t="shared" si="26"/>
        <v>0</v>
      </c>
      <c r="BS49" s="28">
        <f t="shared" si="27"/>
        <v>0</v>
      </c>
      <c r="BT49" s="28">
        <f t="shared" si="28"/>
        <v>0</v>
      </c>
      <c r="BU49" s="28">
        <f t="shared" si="29"/>
        <v>0</v>
      </c>
      <c r="BV49" s="28">
        <f t="shared" si="30"/>
        <v>0</v>
      </c>
      <c r="BW49" s="28">
        <f t="shared" si="31"/>
        <v>0</v>
      </c>
      <c r="BX49" s="28">
        <f t="shared" si="32"/>
        <v>0</v>
      </c>
      <c r="BY49" s="83">
        <f t="shared" si="33"/>
        <v>0</v>
      </c>
      <c r="BZ49" s="83">
        <f t="shared" si="52"/>
        <v>0</v>
      </c>
      <c r="CA49" s="83">
        <f t="shared" si="53"/>
        <v>0</v>
      </c>
      <c r="CB49" s="83">
        <f t="shared" si="54"/>
        <v>0</v>
      </c>
      <c r="CC49" s="83">
        <f t="shared" si="55"/>
        <v>0</v>
      </c>
      <c r="CD49" s="83">
        <f t="shared" si="56"/>
        <v>0</v>
      </c>
      <c r="CE49" s="83">
        <f t="shared" si="57"/>
        <v>0</v>
      </c>
      <c r="CF49" s="83">
        <f t="shared" si="58"/>
        <v>0</v>
      </c>
      <c r="CG49" s="83">
        <f t="shared" si="59"/>
        <v>0</v>
      </c>
      <c r="CH49" s="83">
        <f t="shared" si="60"/>
        <v>0</v>
      </c>
      <c r="CI49" s="83">
        <f t="shared" si="61"/>
        <v>0</v>
      </c>
      <c r="CJ49" s="83">
        <f t="shared" si="62"/>
        <v>0</v>
      </c>
      <c r="CK49" s="83">
        <f t="shared" si="63"/>
        <v>0</v>
      </c>
      <c r="CL49" s="83">
        <f t="shared" si="64"/>
        <v>0</v>
      </c>
      <c r="CM49" s="83">
        <f t="shared" si="65"/>
        <v>0</v>
      </c>
      <c r="CN49" s="83">
        <f t="shared" si="66"/>
        <v>0</v>
      </c>
      <c r="CO49" s="83">
        <f t="shared" si="41"/>
        <v>0</v>
      </c>
      <c r="CP49" s="83">
        <f t="shared" si="42"/>
        <v>0</v>
      </c>
      <c r="CQ49" s="83">
        <f t="shared" si="43"/>
        <v>0</v>
      </c>
      <c r="CR49" s="83">
        <f t="shared" si="44"/>
        <v>0</v>
      </c>
      <c r="CS49" s="83">
        <f t="shared" si="45"/>
        <v>0</v>
      </c>
      <c r="CT49" s="84">
        <f t="shared" si="34"/>
        <v>0</v>
      </c>
      <c r="CU49" s="84">
        <f t="shared" si="67"/>
        <v>0</v>
      </c>
      <c r="CV49" s="84">
        <f t="shared" si="68"/>
        <v>0</v>
      </c>
      <c r="CW49" s="84">
        <f t="shared" si="69"/>
        <v>0</v>
      </c>
      <c r="CX49" s="84">
        <f t="shared" si="70"/>
        <v>0</v>
      </c>
      <c r="CY49" s="84">
        <f t="shared" si="71"/>
        <v>0</v>
      </c>
      <c r="CZ49" s="84">
        <f t="shared" si="72"/>
        <v>0</v>
      </c>
      <c r="DA49" s="84">
        <f t="shared" si="73"/>
        <v>0</v>
      </c>
      <c r="DB49" s="84">
        <f t="shared" si="74"/>
        <v>0</v>
      </c>
      <c r="DC49" s="84">
        <f t="shared" si="75"/>
        <v>0</v>
      </c>
      <c r="DD49" s="84">
        <f t="shared" si="76"/>
        <v>0</v>
      </c>
      <c r="DE49" s="84">
        <f t="shared" si="77"/>
        <v>0</v>
      </c>
      <c r="DF49" s="84">
        <f t="shared" si="78"/>
        <v>0</v>
      </c>
      <c r="DG49" s="84">
        <f t="shared" si="79"/>
        <v>0</v>
      </c>
      <c r="DH49" s="84">
        <f t="shared" si="80"/>
        <v>0</v>
      </c>
      <c r="DI49" s="84">
        <f t="shared" si="81"/>
        <v>0</v>
      </c>
      <c r="DJ49" s="84">
        <f t="shared" si="46"/>
        <v>0</v>
      </c>
      <c r="DK49" s="84">
        <f t="shared" si="47"/>
        <v>0</v>
      </c>
      <c r="DL49" s="84">
        <f t="shared" si="48"/>
        <v>0</v>
      </c>
      <c r="DM49" s="84">
        <f t="shared" si="49"/>
        <v>0</v>
      </c>
      <c r="DN49" s="84">
        <f t="shared" si="50"/>
        <v>0</v>
      </c>
      <c r="DR49" s="3">
        <f t="shared" si="37"/>
        <v>2028</v>
      </c>
      <c r="DS49" s="28">
        <v>0</v>
      </c>
      <c r="DT49" s="28">
        <f t="shared" si="39"/>
        <v>0</v>
      </c>
      <c r="DU49" s="28">
        <v>0</v>
      </c>
      <c r="DV49" s="28">
        <f t="shared" si="38"/>
        <v>0</v>
      </c>
      <c r="DW49" s="28">
        <v>0</v>
      </c>
      <c r="DY49" s="84">
        <f>DT49*TechnicalInputs!$B$144*TechnicalInputs!$B$134+TechnicalInputs!$B$135*TechnicalInputs!$B$145*TransactionCosts!DU49+TransactionCosts!DW49*TechnicalInputs!$B$136*TechnicalInputs!$B$146</f>
        <v>0</v>
      </c>
      <c r="DZ49" s="89">
        <f t="shared" si="35"/>
        <v>0</v>
      </c>
      <c r="EA49" s="39">
        <f>DZ49*TechnicalInputs!$B$90*TechnicalInputs!$D$5</f>
        <v>0</v>
      </c>
      <c r="EB49" s="49">
        <f>DT49*TechnicalInputs!$B$139*TechnicalInputs!$B$144+TechnicalInputs!$B$140*TechnicalInputs!$B$145*TransactionCosts!DU49+TransactionCosts!DW49*TechnicalInputs!$B$141*TechnicalInputs!$B$146</f>
        <v>0</v>
      </c>
      <c r="EC49" s="49">
        <f t="shared" si="36"/>
        <v>0</v>
      </c>
    </row>
    <row r="50" spans="1:133">
      <c r="A50" s="3" t="s">
        <v>191</v>
      </c>
      <c r="B50" s="65">
        <f t="shared" si="6"/>
        <v>0.25</v>
      </c>
      <c r="C50" s="3" t="s">
        <v>204</v>
      </c>
      <c r="D50" s="65">
        <f t="shared" si="7"/>
        <v>0.35000000000000003</v>
      </c>
      <c r="E50" s="3">
        <v>2</v>
      </c>
      <c r="F50" s="65">
        <f t="shared" si="82"/>
        <v>0.4</v>
      </c>
      <c r="G50" s="3" t="s">
        <v>199</v>
      </c>
      <c r="H50" s="65">
        <v>0.5</v>
      </c>
      <c r="I50" s="65">
        <f t="shared" si="9"/>
        <v>1.7500000000000002E-2</v>
      </c>
      <c r="J50" s="3">
        <f>TechnicalInputs!$D$31</f>
        <v>0</v>
      </c>
      <c r="K50" s="3">
        <f>TechnicalInputs!$D$34</f>
        <v>2</v>
      </c>
      <c r="L50" s="3">
        <f t="shared" si="10"/>
        <v>2</v>
      </c>
      <c r="M50" s="1"/>
      <c r="N50" s="40">
        <f t="shared" si="83"/>
        <v>0</v>
      </c>
      <c r="O50" s="40">
        <f t="shared" si="51"/>
        <v>0</v>
      </c>
      <c r="P50" s="40">
        <f t="shared" si="51"/>
        <v>0</v>
      </c>
      <c r="Q50" s="40">
        <f t="shared" si="51"/>
        <v>0</v>
      </c>
      <c r="R50" s="40">
        <f t="shared" si="51"/>
        <v>0</v>
      </c>
      <c r="S50" s="40">
        <f t="shared" si="51"/>
        <v>0</v>
      </c>
      <c r="T50" s="40">
        <f t="shared" si="51"/>
        <v>0</v>
      </c>
      <c r="U50" s="40">
        <f t="shared" si="51"/>
        <v>0</v>
      </c>
      <c r="V50" s="40">
        <f t="shared" si="51"/>
        <v>0</v>
      </c>
      <c r="W50" s="40">
        <f t="shared" si="51"/>
        <v>0</v>
      </c>
      <c r="X50" s="40">
        <f t="shared" si="51"/>
        <v>0</v>
      </c>
      <c r="Y50" s="40">
        <f t="shared" si="51"/>
        <v>0</v>
      </c>
      <c r="Z50" s="40">
        <f t="shared" si="51"/>
        <v>0</v>
      </c>
      <c r="AA50" s="40">
        <f t="shared" si="51"/>
        <v>0</v>
      </c>
      <c r="AB50" s="40">
        <f t="shared" si="51"/>
        <v>0</v>
      </c>
      <c r="AC50" s="40">
        <f t="shared" si="51"/>
        <v>0</v>
      </c>
      <c r="AD50" s="40">
        <f t="shared" si="51"/>
        <v>0</v>
      </c>
      <c r="AE50" s="40">
        <f t="shared" si="40"/>
        <v>0</v>
      </c>
      <c r="AF50" s="40">
        <f t="shared" si="40"/>
        <v>0</v>
      </c>
      <c r="AG50" s="40">
        <f t="shared" si="40"/>
        <v>0</v>
      </c>
      <c r="AH50" s="40">
        <f t="shared" si="40"/>
        <v>0</v>
      </c>
      <c r="AI50" s="40">
        <f>(N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J50" s="40">
        <f>(O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K50" s="40">
        <f>(P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L50" s="40">
        <f>(Q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M50" s="40">
        <f>(R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N50" s="40">
        <f>(S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O50" s="40">
        <f>(T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P50" s="40">
        <f>(U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Q50" s="40">
        <f>(V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R50" s="40">
        <f>(W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S50" s="40">
        <f>(X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T50" s="40">
        <f>(Y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U50" s="40">
        <f>(Z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V50" s="40">
        <f>(AA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W50" s="40">
        <f>(AB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X50" s="40">
        <f>(AC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Y50" s="40">
        <f>(AD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AZ50" s="40">
        <f>(AE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BA50" s="40">
        <f>(AF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BB50" s="40">
        <f>(AG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BC50" s="40">
        <f>(AH50*IF($G50="credit",TechnicalInputs!$D$22,IF($G50="Debit",TechnicalInputs!$D$24,IF($G50="EFT",TechnicalInputs!$D$26,0)))+IF($G50="credit",TechnicalInputs!$D$21,IF($G50="debit",TechnicalInputs!$D$23,IF($G50="eft",TechnicalInputs!$D$25)))+IF(TransactionCosts!$C50="online",TechnicalInputs!$D$28,TechnicalInputs!$D$27))*$E50</f>
        <v>0.22</v>
      </c>
      <c r="BD50" s="28">
        <f t="shared" si="12"/>
        <v>0</v>
      </c>
      <c r="BE50" s="28">
        <f t="shared" si="13"/>
        <v>0</v>
      </c>
      <c r="BF50" s="28">
        <f t="shared" si="14"/>
        <v>0</v>
      </c>
      <c r="BG50" s="28">
        <f t="shared" si="15"/>
        <v>0</v>
      </c>
      <c r="BH50" s="28">
        <f t="shared" si="16"/>
        <v>0</v>
      </c>
      <c r="BI50" s="28">
        <f t="shared" si="17"/>
        <v>0</v>
      </c>
      <c r="BJ50" s="28">
        <f t="shared" si="18"/>
        <v>0</v>
      </c>
      <c r="BK50" s="28">
        <f t="shared" si="19"/>
        <v>0</v>
      </c>
      <c r="BL50" s="28">
        <f t="shared" si="20"/>
        <v>0</v>
      </c>
      <c r="BM50" s="28">
        <f t="shared" si="21"/>
        <v>0</v>
      </c>
      <c r="BN50" s="28">
        <f t="shared" si="22"/>
        <v>0</v>
      </c>
      <c r="BO50" s="28">
        <f t="shared" si="23"/>
        <v>0</v>
      </c>
      <c r="BP50" s="28">
        <f t="shared" si="24"/>
        <v>0</v>
      </c>
      <c r="BQ50" s="28">
        <f t="shared" si="25"/>
        <v>0</v>
      </c>
      <c r="BR50" s="28">
        <f t="shared" si="26"/>
        <v>0</v>
      </c>
      <c r="BS50" s="28">
        <f t="shared" si="27"/>
        <v>0</v>
      </c>
      <c r="BT50" s="28">
        <f t="shared" si="28"/>
        <v>0</v>
      </c>
      <c r="BU50" s="28">
        <f t="shared" si="29"/>
        <v>0</v>
      </c>
      <c r="BV50" s="28">
        <f t="shared" si="30"/>
        <v>0</v>
      </c>
      <c r="BW50" s="28">
        <f t="shared" si="31"/>
        <v>0</v>
      </c>
      <c r="BX50" s="28">
        <f t="shared" si="32"/>
        <v>0</v>
      </c>
      <c r="BY50" s="83">
        <f t="shared" si="33"/>
        <v>0</v>
      </c>
      <c r="BZ50" s="83">
        <f t="shared" si="52"/>
        <v>0</v>
      </c>
      <c r="CA50" s="83">
        <f t="shared" si="53"/>
        <v>0</v>
      </c>
      <c r="CB50" s="83">
        <f t="shared" si="54"/>
        <v>0</v>
      </c>
      <c r="CC50" s="83">
        <f t="shared" si="55"/>
        <v>0</v>
      </c>
      <c r="CD50" s="83">
        <f t="shared" si="56"/>
        <v>0</v>
      </c>
      <c r="CE50" s="83">
        <f t="shared" si="57"/>
        <v>0</v>
      </c>
      <c r="CF50" s="83">
        <f t="shared" si="58"/>
        <v>0</v>
      </c>
      <c r="CG50" s="83">
        <f t="shared" si="59"/>
        <v>0</v>
      </c>
      <c r="CH50" s="83">
        <f t="shared" si="60"/>
        <v>0</v>
      </c>
      <c r="CI50" s="83">
        <f t="shared" si="61"/>
        <v>0</v>
      </c>
      <c r="CJ50" s="83">
        <f t="shared" si="62"/>
        <v>0</v>
      </c>
      <c r="CK50" s="83">
        <f t="shared" si="63"/>
        <v>0</v>
      </c>
      <c r="CL50" s="83">
        <f t="shared" si="64"/>
        <v>0</v>
      </c>
      <c r="CM50" s="83">
        <f t="shared" si="65"/>
        <v>0</v>
      </c>
      <c r="CN50" s="83">
        <f t="shared" si="66"/>
        <v>0</v>
      </c>
      <c r="CO50" s="83">
        <f t="shared" si="41"/>
        <v>0</v>
      </c>
      <c r="CP50" s="83">
        <f t="shared" si="42"/>
        <v>0</v>
      </c>
      <c r="CQ50" s="83">
        <f t="shared" si="43"/>
        <v>0</v>
      </c>
      <c r="CR50" s="83">
        <f t="shared" si="44"/>
        <v>0</v>
      </c>
      <c r="CS50" s="83">
        <f t="shared" si="45"/>
        <v>0</v>
      </c>
      <c r="CT50" s="84">
        <f t="shared" si="34"/>
        <v>0</v>
      </c>
      <c r="CU50" s="84">
        <f t="shared" si="67"/>
        <v>0</v>
      </c>
      <c r="CV50" s="84">
        <f t="shared" si="68"/>
        <v>0</v>
      </c>
      <c r="CW50" s="84">
        <f t="shared" si="69"/>
        <v>0</v>
      </c>
      <c r="CX50" s="84">
        <f t="shared" si="70"/>
        <v>0</v>
      </c>
      <c r="CY50" s="84">
        <f t="shared" si="71"/>
        <v>0</v>
      </c>
      <c r="CZ50" s="84">
        <f t="shared" si="72"/>
        <v>0</v>
      </c>
      <c r="DA50" s="84">
        <f t="shared" si="73"/>
        <v>0</v>
      </c>
      <c r="DB50" s="84">
        <f t="shared" si="74"/>
        <v>0</v>
      </c>
      <c r="DC50" s="84">
        <f t="shared" si="75"/>
        <v>0</v>
      </c>
      <c r="DD50" s="84">
        <f t="shared" si="76"/>
        <v>0</v>
      </c>
      <c r="DE50" s="84">
        <f t="shared" si="77"/>
        <v>0</v>
      </c>
      <c r="DF50" s="84">
        <f t="shared" si="78"/>
        <v>0</v>
      </c>
      <c r="DG50" s="84">
        <f t="shared" si="79"/>
        <v>0</v>
      </c>
      <c r="DH50" s="84">
        <f t="shared" si="80"/>
        <v>0</v>
      </c>
      <c r="DI50" s="84">
        <f t="shared" si="81"/>
        <v>0</v>
      </c>
      <c r="DJ50" s="84">
        <f t="shared" si="46"/>
        <v>0</v>
      </c>
      <c r="DK50" s="84">
        <f t="shared" si="47"/>
        <v>0</v>
      </c>
      <c r="DL50" s="84">
        <f t="shared" si="48"/>
        <v>0</v>
      </c>
      <c r="DM50" s="84">
        <f t="shared" si="49"/>
        <v>0</v>
      </c>
      <c r="DN50" s="84">
        <f t="shared" si="50"/>
        <v>0</v>
      </c>
      <c r="DR50" s="3">
        <f t="shared" si="37"/>
        <v>2029</v>
      </c>
      <c r="DS50" s="28">
        <v>0</v>
      </c>
      <c r="DT50" s="28">
        <f t="shared" si="39"/>
        <v>0</v>
      </c>
      <c r="DU50" s="28">
        <v>0</v>
      </c>
      <c r="DV50" s="28">
        <f t="shared" si="38"/>
        <v>0</v>
      </c>
      <c r="DW50" s="28">
        <v>0</v>
      </c>
      <c r="DY50" s="84">
        <f>DT50*TechnicalInputs!$B$144*TechnicalInputs!$B$134+TechnicalInputs!$B$135*TechnicalInputs!$B$145*TransactionCosts!DU50+TransactionCosts!DW50*TechnicalInputs!$B$136*TechnicalInputs!$B$146</f>
        <v>0</v>
      </c>
      <c r="DZ50" s="89">
        <f t="shared" si="35"/>
        <v>0</v>
      </c>
      <c r="EA50" s="39">
        <f>DZ50*TechnicalInputs!$B$90*TechnicalInputs!$D$5</f>
        <v>0</v>
      </c>
      <c r="EB50" s="49">
        <f>DT50*TechnicalInputs!$B$139*TechnicalInputs!$B$144+TechnicalInputs!$B$140*TechnicalInputs!$B$145*TransactionCosts!DU50+TransactionCosts!DW50*TechnicalInputs!$B$141*TechnicalInputs!$B$146</f>
        <v>0</v>
      </c>
      <c r="EC50" s="49">
        <f t="shared" si="36"/>
        <v>0</v>
      </c>
    </row>
    <row r="51" spans="1:133">
      <c r="A51" s="3" t="s">
        <v>191</v>
      </c>
      <c r="B51" s="65">
        <f t="shared" si="6"/>
        <v>0.25</v>
      </c>
      <c r="C51" s="3" t="s">
        <v>204</v>
      </c>
      <c r="D51" s="65">
        <f t="shared" si="7"/>
        <v>0.35000000000000003</v>
      </c>
      <c r="E51" s="3">
        <v>4</v>
      </c>
      <c r="F51" s="65">
        <f t="shared" si="82"/>
        <v>0.19999999999999996</v>
      </c>
      <c r="G51" s="3" t="s">
        <v>199</v>
      </c>
      <c r="H51" s="65">
        <v>0.5</v>
      </c>
      <c r="I51" s="65">
        <f t="shared" si="9"/>
        <v>8.7499999999999991E-3</v>
      </c>
      <c r="J51" s="3">
        <f>TechnicalInputs!$D$31</f>
        <v>0</v>
      </c>
      <c r="K51" s="3">
        <f>TechnicalInputs!$D$34</f>
        <v>2</v>
      </c>
      <c r="L51" s="3">
        <f t="shared" si="10"/>
        <v>2</v>
      </c>
      <c r="M51" s="1"/>
      <c r="N51" s="40">
        <f t="shared" si="83"/>
        <v>0</v>
      </c>
      <c r="O51" s="40">
        <f t="shared" si="51"/>
        <v>0</v>
      </c>
      <c r="P51" s="40">
        <f t="shared" si="51"/>
        <v>0</v>
      </c>
      <c r="Q51" s="40">
        <f t="shared" si="51"/>
        <v>0</v>
      </c>
      <c r="R51" s="40">
        <f t="shared" si="51"/>
        <v>0</v>
      </c>
      <c r="S51" s="40">
        <f t="shared" si="51"/>
        <v>0</v>
      </c>
      <c r="T51" s="40">
        <f t="shared" si="51"/>
        <v>0</v>
      </c>
      <c r="U51" s="40">
        <f t="shared" si="51"/>
        <v>0</v>
      </c>
      <c r="V51" s="40">
        <f t="shared" si="51"/>
        <v>0</v>
      </c>
      <c r="W51" s="40">
        <f t="shared" si="51"/>
        <v>0</v>
      </c>
      <c r="X51" s="40">
        <f t="shared" si="51"/>
        <v>0</v>
      </c>
      <c r="Y51" s="40">
        <f t="shared" si="51"/>
        <v>0</v>
      </c>
      <c r="Z51" s="40">
        <f t="shared" si="51"/>
        <v>0</v>
      </c>
      <c r="AA51" s="40">
        <f t="shared" si="51"/>
        <v>0</v>
      </c>
      <c r="AB51" s="40">
        <f t="shared" si="51"/>
        <v>0</v>
      </c>
      <c r="AC51" s="40">
        <f t="shared" si="51"/>
        <v>0</v>
      </c>
      <c r="AD51" s="40">
        <f t="shared" si="51"/>
        <v>0</v>
      </c>
      <c r="AE51" s="40">
        <f t="shared" si="40"/>
        <v>0</v>
      </c>
      <c r="AF51" s="40">
        <f t="shared" si="40"/>
        <v>0</v>
      </c>
      <c r="AG51" s="40">
        <f t="shared" si="40"/>
        <v>0</v>
      </c>
      <c r="AH51" s="40">
        <f t="shared" si="40"/>
        <v>0</v>
      </c>
      <c r="AI51" s="40">
        <f>(N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J51" s="40">
        <f>(O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K51" s="40">
        <f>(P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L51" s="40">
        <f>(Q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M51" s="40">
        <f>(R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N51" s="40">
        <f>(S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O51" s="40">
        <f>(T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P51" s="40">
        <f>(U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Q51" s="40">
        <f>(V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R51" s="40">
        <f>(W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S51" s="40">
        <f>(X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T51" s="40">
        <f>(Y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U51" s="40">
        <f>(Z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V51" s="40">
        <f>(AA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W51" s="40">
        <f>(AB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X51" s="40">
        <f>(AC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Y51" s="40">
        <f>(AD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AZ51" s="40">
        <f>(AE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BA51" s="40">
        <f>(AF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BB51" s="40">
        <f>(AG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BC51" s="40">
        <f>(AH51*IF($G51="credit",TechnicalInputs!$D$22,IF($G51="Debit",TechnicalInputs!$D$24,IF($G51="EFT",TechnicalInputs!$D$26,0)))+IF($G51="credit",TechnicalInputs!$D$21,IF($G51="debit",TechnicalInputs!$D$23,IF($G51="eft",TechnicalInputs!$D$25)))+IF(TransactionCosts!$C51="online",TechnicalInputs!$D$28,TechnicalInputs!$D$27))*$E51</f>
        <v>0.44</v>
      </c>
      <c r="BD51" s="28">
        <f t="shared" si="12"/>
        <v>0</v>
      </c>
      <c r="BE51" s="28">
        <f t="shared" si="13"/>
        <v>0</v>
      </c>
      <c r="BF51" s="28">
        <f t="shared" si="14"/>
        <v>0</v>
      </c>
      <c r="BG51" s="28">
        <f t="shared" si="15"/>
        <v>0</v>
      </c>
      <c r="BH51" s="28">
        <f t="shared" si="16"/>
        <v>0</v>
      </c>
      <c r="BI51" s="28">
        <f t="shared" si="17"/>
        <v>0</v>
      </c>
      <c r="BJ51" s="28">
        <f t="shared" si="18"/>
        <v>0</v>
      </c>
      <c r="BK51" s="28">
        <f t="shared" si="19"/>
        <v>0</v>
      </c>
      <c r="BL51" s="28">
        <f t="shared" si="20"/>
        <v>0</v>
      </c>
      <c r="BM51" s="28">
        <f t="shared" si="21"/>
        <v>0</v>
      </c>
      <c r="BN51" s="28">
        <f t="shared" si="22"/>
        <v>0</v>
      </c>
      <c r="BO51" s="28">
        <f t="shared" si="23"/>
        <v>0</v>
      </c>
      <c r="BP51" s="28">
        <f t="shared" si="24"/>
        <v>0</v>
      </c>
      <c r="BQ51" s="28">
        <f t="shared" si="25"/>
        <v>0</v>
      </c>
      <c r="BR51" s="28">
        <f t="shared" si="26"/>
        <v>0</v>
      </c>
      <c r="BS51" s="28">
        <f t="shared" si="27"/>
        <v>0</v>
      </c>
      <c r="BT51" s="28">
        <f t="shared" si="28"/>
        <v>0</v>
      </c>
      <c r="BU51" s="28">
        <f t="shared" si="29"/>
        <v>0</v>
      </c>
      <c r="BV51" s="28">
        <f t="shared" si="30"/>
        <v>0</v>
      </c>
      <c r="BW51" s="28">
        <f t="shared" si="31"/>
        <v>0</v>
      </c>
      <c r="BX51" s="28">
        <f t="shared" si="32"/>
        <v>0</v>
      </c>
      <c r="BY51" s="83">
        <f t="shared" si="33"/>
        <v>0</v>
      </c>
      <c r="BZ51" s="83">
        <f t="shared" si="52"/>
        <v>0</v>
      </c>
      <c r="CA51" s="83">
        <f t="shared" si="53"/>
        <v>0</v>
      </c>
      <c r="CB51" s="83">
        <f t="shared" si="54"/>
        <v>0</v>
      </c>
      <c r="CC51" s="83">
        <f t="shared" si="55"/>
        <v>0</v>
      </c>
      <c r="CD51" s="83">
        <f t="shared" si="56"/>
        <v>0</v>
      </c>
      <c r="CE51" s="83">
        <f t="shared" si="57"/>
        <v>0</v>
      </c>
      <c r="CF51" s="83">
        <f t="shared" si="58"/>
        <v>0</v>
      </c>
      <c r="CG51" s="83">
        <f t="shared" si="59"/>
        <v>0</v>
      </c>
      <c r="CH51" s="83">
        <f t="shared" si="60"/>
        <v>0</v>
      </c>
      <c r="CI51" s="83">
        <f t="shared" si="61"/>
        <v>0</v>
      </c>
      <c r="CJ51" s="83">
        <f t="shared" si="62"/>
        <v>0</v>
      </c>
      <c r="CK51" s="83">
        <f t="shared" si="63"/>
        <v>0</v>
      </c>
      <c r="CL51" s="83">
        <f t="shared" si="64"/>
        <v>0</v>
      </c>
      <c r="CM51" s="83">
        <f t="shared" si="65"/>
        <v>0</v>
      </c>
      <c r="CN51" s="83">
        <f t="shared" si="66"/>
        <v>0</v>
      </c>
      <c r="CO51" s="83">
        <f t="shared" si="41"/>
        <v>0</v>
      </c>
      <c r="CP51" s="83">
        <f t="shared" si="42"/>
        <v>0</v>
      </c>
      <c r="CQ51" s="83">
        <f t="shared" si="43"/>
        <v>0</v>
      </c>
      <c r="CR51" s="83">
        <f t="shared" si="44"/>
        <v>0</v>
      </c>
      <c r="CS51" s="83">
        <f t="shared" si="45"/>
        <v>0</v>
      </c>
      <c r="CT51" s="84">
        <f t="shared" si="34"/>
        <v>0</v>
      </c>
      <c r="CU51" s="84">
        <f t="shared" si="67"/>
        <v>0</v>
      </c>
      <c r="CV51" s="84">
        <f t="shared" si="68"/>
        <v>0</v>
      </c>
      <c r="CW51" s="84">
        <f t="shared" si="69"/>
        <v>0</v>
      </c>
      <c r="CX51" s="84">
        <f t="shared" si="70"/>
        <v>0</v>
      </c>
      <c r="CY51" s="84">
        <f t="shared" si="71"/>
        <v>0</v>
      </c>
      <c r="CZ51" s="84">
        <f t="shared" si="72"/>
        <v>0</v>
      </c>
      <c r="DA51" s="84">
        <f t="shared" si="73"/>
        <v>0</v>
      </c>
      <c r="DB51" s="84">
        <f t="shared" si="74"/>
        <v>0</v>
      </c>
      <c r="DC51" s="84">
        <f t="shared" si="75"/>
        <v>0</v>
      </c>
      <c r="DD51" s="84">
        <f t="shared" si="76"/>
        <v>0</v>
      </c>
      <c r="DE51" s="84">
        <f t="shared" si="77"/>
        <v>0</v>
      </c>
      <c r="DF51" s="84">
        <f t="shared" si="78"/>
        <v>0</v>
      </c>
      <c r="DG51" s="84">
        <f t="shared" si="79"/>
        <v>0</v>
      </c>
      <c r="DH51" s="84">
        <f t="shared" si="80"/>
        <v>0</v>
      </c>
      <c r="DI51" s="84">
        <f t="shared" si="81"/>
        <v>0</v>
      </c>
      <c r="DJ51" s="84">
        <f t="shared" si="46"/>
        <v>0</v>
      </c>
      <c r="DK51" s="84">
        <f t="shared" si="47"/>
        <v>0</v>
      </c>
      <c r="DL51" s="84">
        <f t="shared" si="48"/>
        <v>0</v>
      </c>
      <c r="DM51" s="84">
        <f t="shared" si="49"/>
        <v>0</v>
      </c>
      <c r="DN51" s="84">
        <f t="shared" si="50"/>
        <v>0</v>
      </c>
      <c r="DR51" s="3">
        <f t="shared" si="37"/>
        <v>2030</v>
      </c>
      <c r="DS51" s="28">
        <v>0</v>
      </c>
      <c r="DT51" s="28">
        <f t="shared" si="39"/>
        <v>0</v>
      </c>
      <c r="DU51" s="28">
        <v>0</v>
      </c>
      <c r="DV51" s="28">
        <f t="shared" si="38"/>
        <v>0</v>
      </c>
      <c r="DW51" s="28">
        <v>0</v>
      </c>
      <c r="DY51" s="84">
        <f>DT51*TechnicalInputs!$B$144*TechnicalInputs!$B$134+TechnicalInputs!$B$135*TechnicalInputs!$B$145*TransactionCosts!DU51+TransactionCosts!DW51*TechnicalInputs!$B$136*TechnicalInputs!$B$146</f>
        <v>0</v>
      </c>
      <c r="DZ51" s="89">
        <f t="shared" si="35"/>
        <v>0</v>
      </c>
      <c r="EA51" s="39">
        <f>DZ51*TechnicalInputs!$B$90*TechnicalInputs!$D$5</f>
        <v>0</v>
      </c>
      <c r="EB51" s="49">
        <f>DT51*TechnicalInputs!$B$139*TechnicalInputs!$B$144+TechnicalInputs!$B$140*TechnicalInputs!$B$145*TransactionCosts!DU51+TransactionCosts!DW51*TechnicalInputs!$B$141*TechnicalInputs!$B$146</f>
        <v>0</v>
      </c>
      <c r="EC51" s="49">
        <f t="shared" si="36"/>
        <v>0</v>
      </c>
    </row>
    <row r="52" spans="1:133">
      <c r="A52" s="3" t="s">
        <v>191</v>
      </c>
      <c r="B52" s="65">
        <f t="shared" si="6"/>
        <v>0.25</v>
      </c>
      <c r="C52" s="3" t="s">
        <v>204</v>
      </c>
      <c r="D52" s="65">
        <f t="shared" si="7"/>
        <v>0.35000000000000003</v>
      </c>
      <c r="E52" s="3">
        <v>1</v>
      </c>
      <c r="F52" s="65">
        <f t="shared" si="82"/>
        <v>0.4</v>
      </c>
      <c r="G52" s="3" t="s">
        <v>202</v>
      </c>
      <c r="H52" s="65">
        <v>0.25</v>
      </c>
      <c r="I52" s="65">
        <f t="shared" si="9"/>
        <v>8.7500000000000008E-3</v>
      </c>
      <c r="J52" s="3">
        <f>TechnicalInputs!$D$31</f>
        <v>0</v>
      </c>
      <c r="K52" s="3">
        <f>TechnicalInputs!$D$34</f>
        <v>2</v>
      </c>
      <c r="L52" s="3">
        <f t="shared" si="10"/>
        <v>2</v>
      </c>
      <c r="M52" s="1"/>
      <c r="N52" s="40">
        <f t="shared" si="83"/>
        <v>0</v>
      </c>
      <c r="O52" s="40">
        <f t="shared" si="51"/>
        <v>0</v>
      </c>
      <c r="P52" s="40">
        <f t="shared" si="51"/>
        <v>0</v>
      </c>
      <c r="Q52" s="40">
        <f t="shared" si="51"/>
        <v>0</v>
      </c>
      <c r="R52" s="40">
        <f t="shared" si="51"/>
        <v>0</v>
      </c>
      <c r="S52" s="40">
        <f t="shared" si="51"/>
        <v>0</v>
      </c>
      <c r="T52" s="40">
        <f t="shared" si="51"/>
        <v>0</v>
      </c>
      <c r="U52" s="40">
        <f t="shared" si="51"/>
        <v>0</v>
      </c>
      <c r="V52" s="40">
        <f t="shared" si="51"/>
        <v>0</v>
      </c>
      <c r="W52" s="40">
        <f t="shared" si="51"/>
        <v>0</v>
      </c>
      <c r="X52" s="40">
        <f t="shared" si="51"/>
        <v>0</v>
      </c>
      <c r="Y52" s="40">
        <f t="shared" si="51"/>
        <v>0</v>
      </c>
      <c r="Z52" s="40">
        <f t="shared" si="51"/>
        <v>0</v>
      </c>
      <c r="AA52" s="40">
        <f t="shared" si="51"/>
        <v>0</v>
      </c>
      <c r="AB52" s="40">
        <f t="shared" si="51"/>
        <v>0</v>
      </c>
      <c r="AC52" s="40">
        <f t="shared" si="51"/>
        <v>0</v>
      </c>
      <c r="AD52" s="40">
        <f t="shared" si="51"/>
        <v>0</v>
      </c>
      <c r="AE52" s="40">
        <f t="shared" si="40"/>
        <v>0</v>
      </c>
      <c r="AF52" s="40">
        <f t="shared" si="40"/>
        <v>0</v>
      </c>
      <c r="AG52" s="40">
        <f t="shared" si="40"/>
        <v>0</v>
      </c>
      <c r="AH52" s="40">
        <f t="shared" si="40"/>
        <v>0</v>
      </c>
      <c r="AI52" s="40">
        <f>(N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J52" s="40">
        <f>(O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K52" s="40">
        <f>(P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L52" s="40">
        <f>(Q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M52" s="40">
        <f>(R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N52" s="40">
        <f>(S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O52" s="40">
        <f>(T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P52" s="40">
        <f>(U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Q52" s="40">
        <f>(V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R52" s="40">
        <f>(W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S52" s="40">
        <f>(X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T52" s="40">
        <f>(Y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U52" s="40">
        <f>(Z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V52" s="40">
        <f>(AA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W52" s="40">
        <f>(AB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X52" s="40">
        <f>(AC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Y52" s="40">
        <f>(AD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AZ52" s="40">
        <f>(AE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BA52" s="40">
        <f>(AF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BB52" s="40">
        <f>(AG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BC52" s="40">
        <f>(AH52*IF($G52="credit",TechnicalInputs!$D$22,IF($G52="Debit",TechnicalInputs!$D$24,IF($G52="EFT",TechnicalInputs!$D$26,0)))+IF($G52="credit",TechnicalInputs!$D$21,IF($G52="debit",TechnicalInputs!$D$23,IF($G52="eft",TechnicalInputs!$D$25)))+IF(TransactionCosts!$C52="online",TechnicalInputs!$D$28,TechnicalInputs!$D$27))*$E52</f>
        <v>0.11</v>
      </c>
      <c r="BD52" s="28">
        <f t="shared" si="12"/>
        <v>0</v>
      </c>
      <c r="BE52" s="28">
        <f t="shared" si="13"/>
        <v>0</v>
      </c>
      <c r="BF52" s="28">
        <f t="shared" si="14"/>
        <v>0</v>
      </c>
      <c r="BG52" s="28">
        <f t="shared" si="15"/>
        <v>0</v>
      </c>
      <c r="BH52" s="28">
        <f t="shared" si="16"/>
        <v>0</v>
      </c>
      <c r="BI52" s="28">
        <f t="shared" si="17"/>
        <v>0</v>
      </c>
      <c r="BJ52" s="28">
        <f t="shared" si="18"/>
        <v>0</v>
      </c>
      <c r="BK52" s="28">
        <f t="shared" si="19"/>
        <v>0</v>
      </c>
      <c r="BL52" s="28">
        <f t="shared" si="20"/>
        <v>0</v>
      </c>
      <c r="BM52" s="28">
        <f t="shared" si="21"/>
        <v>0</v>
      </c>
      <c r="BN52" s="28">
        <f t="shared" si="22"/>
        <v>0</v>
      </c>
      <c r="BO52" s="28">
        <f t="shared" si="23"/>
        <v>0</v>
      </c>
      <c r="BP52" s="28">
        <f t="shared" si="24"/>
        <v>0</v>
      </c>
      <c r="BQ52" s="28">
        <f t="shared" si="25"/>
        <v>0</v>
      </c>
      <c r="BR52" s="28">
        <f t="shared" si="26"/>
        <v>0</v>
      </c>
      <c r="BS52" s="28">
        <f t="shared" si="27"/>
        <v>0</v>
      </c>
      <c r="BT52" s="28">
        <f t="shared" si="28"/>
        <v>0</v>
      </c>
      <c r="BU52" s="28">
        <f t="shared" si="29"/>
        <v>0</v>
      </c>
      <c r="BV52" s="28">
        <f t="shared" si="30"/>
        <v>0</v>
      </c>
      <c r="BW52" s="28">
        <f t="shared" si="31"/>
        <v>0</v>
      </c>
      <c r="BX52" s="28">
        <f t="shared" si="32"/>
        <v>0</v>
      </c>
      <c r="BY52" s="83">
        <f t="shared" si="33"/>
        <v>0</v>
      </c>
      <c r="BZ52" s="83">
        <f t="shared" si="52"/>
        <v>0</v>
      </c>
      <c r="CA52" s="83">
        <f t="shared" si="53"/>
        <v>0</v>
      </c>
      <c r="CB52" s="83">
        <f t="shared" si="54"/>
        <v>0</v>
      </c>
      <c r="CC52" s="83">
        <f t="shared" si="55"/>
        <v>0</v>
      </c>
      <c r="CD52" s="83">
        <f t="shared" si="56"/>
        <v>0</v>
      </c>
      <c r="CE52" s="83">
        <f t="shared" si="57"/>
        <v>0</v>
      </c>
      <c r="CF52" s="83">
        <f t="shared" si="58"/>
        <v>0</v>
      </c>
      <c r="CG52" s="83">
        <f t="shared" si="59"/>
        <v>0</v>
      </c>
      <c r="CH52" s="83">
        <f t="shared" si="60"/>
        <v>0</v>
      </c>
      <c r="CI52" s="83">
        <f t="shared" si="61"/>
        <v>0</v>
      </c>
      <c r="CJ52" s="83">
        <f t="shared" si="62"/>
        <v>0</v>
      </c>
      <c r="CK52" s="83">
        <f t="shared" si="63"/>
        <v>0</v>
      </c>
      <c r="CL52" s="83">
        <f t="shared" si="64"/>
        <v>0</v>
      </c>
      <c r="CM52" s="83">
        <f t="shared" si="65"/>
        <v>0</v>
      </c>
      <c r="CN52" s="83">
        <f t="shared" si="66"/>
        <v>0</v>
      </c>
      <c r="CO52" s="83">
        <f t="shared" si="41"/>
        <v>0</v>
      </c>
      <c r="CP52" s="83">
        <f t="shared" si="42"/>
        <v>0</v>
      </c>
      <c r="CQ52" s="83">
        <f t="shared" si="43"/>
        <v>0</v>
      </c>
      <c r="CR52" s="83">
        <f t="shared" si="44"/>
        <v>0</v>
      </c>
      <c r="CS52" s="83">
        <f t="shared" si="45"/>
        <v>0</v>
      </c>
      <c r="CT52" s="84">
        <f t="shared" si="34"/>
        <v>0</v>
      </c>
      <c r="CU52" s="84">
        <f t="shared" si="67"/>
        <v>0</v>
      </c>
      <c r="CV52" s="84">
        <f t="shared" si="68"/>
        <v>0</v>
      </c>
      <c r="CW52" s="84">
        <f t="shared" si="69"/>
        <v>0</v>
      </c>
      <c r="CX52" s="84">
        <f t="shared" si="70"/>
        <v>0</v>
      </c>
      <c r="CY52" s="84">
        <f t="shared" si="71"/>
        <v>0</v>
      </c>
      <c r="CZ52" s="84">
        <f t="shared" si="72"/>
        <v>0</v>
      </c>
      <c r="DA52" s="84">
        <f t="shared" si="73"/>
        <v>0</v>
      </c>
      <c r="DB52" s="84">
        <f t="shared" si="74"/>
        <v>0</v>
      </c>
      <c r="DC52" s="84">
        <f t="shared" si="75"/>
        <v>0</v>
      </c>
      <c r="DD52" s="84">
        <f t="shared" si="76"/>
        <v>0</v>
      </c>
      <c r="DE52" s="84">
        <f t="shared" si="77"/>
        <v>0</v>
      </c>
      <c r="DF52" s="84">
        <f t="shared" si="78"/>
        <v>0</v>
      </c>
      <c r="DG52" s="84">
        <f t="shared" si="79"/>
        <v>0</v>
      </c>
      <c r="DH52" s="84">
        <f t="shared" si="80"/>
        <v>0</v>
      </c>
      <c r="DI52" s="84">
        <f t="shared" si="81"/>
        <v>0</v>
      </c>
      <c r="DJ52" s="84">
        <f t="shared" si="46"/>
        <v>0</v>
      </c>
      <c r="DK52" s="84">
        <f t="shared" si="47"/>
        <v>0</v>
      </c>
      <c r="DL52" s="84">
        <f t="shared" si="48"/>
        <v>0</v>
      </c>
      <c r="DM52" s="84">
        <f t="shared" si="49"/>
        <v>0</v>
      </c>
      <c r="DN52" s="84">
        <f t="shared" si="50"/>
        <v>0</v>
      </c>
      <c r="DR52" s="3">
        <f t="shared" si="37"/>
        <v>2031</v>
      </c>
      <c r="DS52" s="28">
        <v>0</v>
      </c>
      <c r="DT52" s="28">
        <f t="shared" si="39"/>
        <v>0</v>
      </c>
      <c r="DU52" s="28">
        <v>0</v>
      </c>
      <c r="DV52" s="28">
        <f t="shared" si="38"/>
        <v>0</v>
      </c>
      <c r="DW52" s="28">
        <v>0</v>
      </c>
      <c r="DY52" s="84">
        <f>DT52*TechnicalInputs!$B$144*TechnicalInputs!$B$134+TechnicalInputs!$B$135*TechnicalInputs!$B$145*TransactionCosts!DU52+TransactionCosts!DW52*TechnicalInputs!$B$136*TechnicalInputs!$B$146</f>
        <v>0</v>
      </c>
      <c r="DZ52" s="89">
        <f t="shared" si="35"/>
        <v>0</v>
      </c>
      <c r="EA52" s="39">
        <f>DZ52*TechnicalInputs!$B$90*TechnicalInputs!$D$5</f>
        <v>0</v>
      </c>
      <c r="EB52" s="49">
        <f>DT52*TechnicalInputs!$B$139*TechnicalInputs!$B$144+TechnicalInputs!$B$140*TechnicalInputs!$B$145*TransactionCosts!DU52+TransactionCosts!DW52*TechnicalInputs!$B$141*TechnicalInputs!$B$146</f>
        <v>0</v>
      </c>
      <c r="EC52" s="49">
        <f t="shared" si="36"/>
        <v>0</v>
      </c>
    </row>
    <row r="53" spans="1:133">
      <c r="A53" s="3" t="s">
        <v>191</v>
      </c>
      <c r="B53" s="65">
        <f t="shared" si="6"/>
        <v>0.25</v>
      </c>
      <c r="C53" s="3" t="s">
        <v>204</v>
      </c>
      <c r="D53" s="65">
        <f t="shared" si="7"/>
        <v>0.35000000000000003</v>
      </c>
      <c r="E53" s="3">
        <v>2</v>
      </c>
      <c r="F53" s="65">
        <f t="shared" si="82"/>
        <v>0.4</v>
      </c>
      <c r="G53" s="3" t="s">
        <v>202</v>
      </c>
      <c r="H53" s="65">
        <v>0.25</v>
      </c>
      <c r="I53" s="65">
        <f t="shared" si="9"/>
        <v>8.7500000000000008E-3</v>
      </c>
      <c r="J53" s="3">
        <f>TechnicalInputs!$D$31</f>
        <v>0</v>
      </c>
      <c r="K53" s="3">
        <f>TechnicalInputs!$D$34</f>
        <v>2</v>
      </c>
      <c r="L53" s="3">
        <f t="shared" si="10"/>
        <v>2</v>
      </c>
      <c r="M53" s="1"/>
      <c r="N53" s="40">
        <f t="shared" si="83"/>
        <v>0</v>
      </c>
      <c r="O53" s="40">
        <f t="shared" si="51"/>
        <v>0</v>
      </c>
      <c r="P53" s="40">
        <f t="shared" si="51"/>
        <v>0</v>
      </c>
      <c r="Q53" s="40">
        <f t="shared" si="51"/>
        <v>0</v>
      </c>
      <c r="R53" s="40">
        <f t="shared" si="51"/>
        <v>0</v>
      </c>
      <c r="S53" s="40">
        <f t="shared" si="51"/>
        <v>0</v>
      </c>
      <c r="T53" s="40">
        <f t="shared" si="51"/>
        <v>0</v>
      </c>
      <c r="U53" s="40">
        <f t="shared" si="51"/>
        <v>0</v>
      </c>
      <c r="V53" s="40">
        <f t="shared" si="51"/>
        <v>0</v>
      </c>
      <c r="W53" s="40">
        <f t="shared" si="51"/>
        <v>0</v>
      </c>
      <c r="X53" s="40">
        <f t="shared" si="51"/>
        <v>0</v>
      </c>
      <c r="Y53" s="40">
        <f t="shared" si="51"/>
        <v>0</v>
      </c>
      <c r="Z53" s="40">
        <f t="shared" si="51"/>
        <v>0</v>
      </c>
      <c r="AA53" s="40">
        <f t="shared" si="51"/>
        <v>0</v>
      </c>
      <c r="AB53" s="40">
        <f t="shared" si="51"/>
        <v>0</v>
      </c>
      <c r="AC53" s="40">
        <f t="shared" si="51"/>
        <v>0</v>
      </c>
      <c r="AD53" s="40">
        <f t="shared" si="51"/>
        <v>0</v>
      </c>
      <c r="AE53" s="40">
        <f t="shared" si="40"/>
        <v>0</v>
      </c>
      <c r="AF53" s="40">
        <f t="shared" si="40"/>
        <v>0</v>
      </c>
      <c r="AG53" s="40">
        <f t="shared" si="40"/>
        <v>0</v>
      </c>
      <c r="AH53" s="40">
        <f t="shared" si="40"/>
        <v>0</v>
      </c>
      <c r="AI53" s="40">
        <f>(N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J53" s="40">
        <f>(O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K53" s="40">
        <f>(P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L53" s="40">
        <f>(Q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M53" s="40">
        <f>(R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N53" s="40">
        <f>(S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O53" s="40">
        <f>(T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P53" s="40">
        <f>(U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Q53" s="40">
        <f>(V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R53" s="40">
        <f>(W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S53" s="40">
        <f>(X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T53" s="40">
        <f>(Y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U53" s="40">
        <f>(Z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V53" s="40">
        <f>(AA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W53" s="40">
        <f>(AB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X53" s="40">
        <f>(AC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Y53" s="40">
        <f>(AD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AZ53" s="40">
        <f>(AE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BA53" s="40">
        <f>(AF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BB53" s="40">
        <f>(AG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BC53" s="40">
        <f>(AH53*IF($G53="credit",TechnicalInputs!$D$22,IF($G53="Debit",TechnicalInputs!$D$24,IF($G53="EFT",TechnicalInputs!$D$26,0)))+IF($G53="credit",TechnicalInputs!$D$21,IF($G53="debit",TechnicalInputs!$D$23,IF($G53="eft",TechnicalInputs!$D$25)))+IF(TransactionCosts!$C53="online",TechnicalInputs!$D$28,TechnicalInputs!$D$27))*$E53</f>
        <v>0.22</v>
      </c>
      <c r="BD53" s="28">
        <f t="shared" si="12"/>
        <v>0</v>
      </c>
      <c r="BE53" s="28">
        <f t="shared" si="13"/>
        <v>0</v>
      </c>
      <c r="BF53" s="28">
        <f t="shared" si="14"/>
        <v>0</v>
      </c>
      <c r="BG53" s="28">
        <f t="shared" si="15"/>
        <v>0</v>
      </c>
      <c r="BH53" s="28">
        <f t="shared" si="16"/>
        <v>0</v>
      </c>
      <c r="BI53" s="28">
        <f t="shared" si="17"/>
        <v>0</v>
      </c>
      <c r="BJ53" s="28">
        <f t="shared" si="18"/>
        <v>0</v>
      </c>
      <c r="BK53" s="28">
        <f t="shared" si="19"/>
        <v>0</v>
      </c>
      <c r="BL53" s="28">
        <f t="shared" si="20"/>
        <v>0</v>
      </c>
      <c r="BM53" s="28">
        <f t="shared" si="21"/>
        <v>0</v>
      </c>
      <c r="BN53" s="28">
        <f t="shared" si="22"/>
        <v>0</v>
      </c>
      <c r="BO53" s="28">
        <f t="shared" si="23"/>
        <v>0</v>
      </c>
      <c r="BP53" s="28">
        <f t="shared" si="24"/>
        <v>0</v>
      </c>
      <c r="BQ53" s="28">
        <f t="shared" si="25"/>
        <v>0</v>
      </c>
      <c r="BR53" s="28">
        <f t="shared" si="26"/>
        <v>0</v>
      </c>
      <c r="BS53" s="28">
        <f t="shared" si="27"/>
        <v>0</v>
      </c>
      <c r="BT53" s="28">
        <f t="shared" si="28"/>
        <v>0</v>
      </c>
      <c r="BU53" s="28">
        <f t="shared" si="29"/>
        <v>0</v>
      </c>
      <c r="BV53" s="28">
        <f t="shared" si="30"/>
        <v>0</v>
      </c>
      <c r="BW53" s="28">
        <f t="shared" si="31"/>
        <v>0</v>
      </c>
      <c r="BX53" s="28">
        <f t="shared" si="32"/>
        <v>0</v>
      </c>
      <c r="BY53" s="83">
        <f t="shared" si="33"/>
        <v>0</v>
      </c>
      <c r="BZ53" s="83">
        <f t="shared" si="52"/>
        <v>0</v>
      </c>
      <c r="CA53" s="83">
        <f t="shared" si="53"/>
        <v>0</v>
      </c>
      <c r="CB53" s="83">
        <f t="shared" si="54"/>
        <v>0</v>
      </c>
      <c r="CC53" s="83">
        <f t="shared" si="55"/>
        <v>0</v>
      </c>
      <c r="CD53" s="83">
        <f t="shared" si="56"/>
        <v>0</v>
      </c>
      <c r="CE53" s="83">
        <f t="shared" si="57"/>
        <v>0</v>
      </c>
      <c r="CF53" s="83">
        <f t="shared" si="58"/>
        <v>0</v>
      </c>
      <c r="CG53" s="83">
        <f t="shared" si="59"/>
        <v>0</v>
      </c>
      <c r="CH53" s="83">
        <f t="shared" si="60"/>
        <v>0</v>
      </c>
      <c r="CI53" s="83">
        <f t="shared" si="61"/>
        <v>0</v>
      </c>
      <c r="CJ53" s="83">
        <f t="shared" si="62"/>
        <v>0</v>
      </c>
      <c r="CK53" s="83">
        <f t="shared" si="63"/>
        <v>0</v>
      </c>
      <c r="CL53" s="83">
        <f t="shared" si="64"/>
        <v>0</v>
      </c>
      <c r="CM53" s="83">
        <f t="shared" si="65"/>
        <v>0</v>
      </c>
      <c r="CN53" s="83">
        <f t="shared" si="66"/>
        <v>0</v>
      </c>
      <c r="CO53" s="83">
        <f t="shared" si="41"/>
        <v>0</v>
      </c>
      <c r="CP53" s="83">
        <f t="shared" si="42"/>
        <v>0</v>
      </c>
      <c r="CQ53" s="83">
        <f t="shared" si="43"/>
        <v>0</v>
      </c>
      <c r="CR53" s="83">
        <f t="shared" si="44"/>
        <v>0</v>
      </c>
      <c r="CS53" s="83">
        <f t="shared" si="45"/>
        <v>0</v>
      </c>
      <c r="CT53" s="84">
        <f t="shared" si="34"/>
        <v>0</v>
      </c>
      <c r="CU53" s="84">
        <f t="shared" si="67"/>
        <v>0</v>
      </c>
      <c r="CV53" s="84">
        <f t="shared" si="68"/>
        <v>0</v>
      </c>
      <c r="CW53" s="84">
        <f t="shared" si="69"/>
        <v>0</v>
      </c>
      <c r="CX53" s="84">
        <f t="shared" si="70"/>
        <v>0</v>
      </c>
      <c r="CY53" s="84">
        <f t="shared" si="71"/>
        <v>0</v>
      </c>
      <c r="CZ53" s="84">
        <f t="shared" si="72"/>
        <v>0</v>
      </c>
      <c r="DA53" s="84">
        <f t="shared" si="73"/>
        <v>0</v>
      </c>
      <c r="DB53" s="84">
        <f t="shared" si="74"/>
        <v>0</v>
      </c>
      <c r="DC53" s="84">
        <f t="shared" si="75"/>
        <v>0</v>
      </c>
      <c r="DD53" s="84">
        <f t="shared" si="76"/>
        <v>0</v>
      </c>
      <c r="DE53" s="84">
        <f t="shared" si="77"/>
        <v>0</v>
      </c>
      <c r="DF53" s="84">
        <f t="shared" si="78"/>
        <v>0</v>
      </c>
      <c r="DG53" s="84">
        <f t="shared" si="79"/>
        <v>0</v>
      </c>
      <c r="DH53" s="84">
        <f t="shared" si="80"/>
        <v>0</v>
      </c>
      <c r="DI53" s="84">
        <f t="shared" si="81"/>
        <v>0</v>
      </c>
      <c r="DJ53" s="84">
        <f t="shared" si="46"/>
        <v>0</v>
      </c>
      <c r="DK53" s="84">
        <f t="shared" si="47"/>
        <v>0</v>
      </c>
      <c r="DL53" s="84">
        <f t="shared" si="48"/>
        <v>0</v>
      </c>
      <c r="DM53" s="84">
        <f t="shared" si="49"/>
        <v>0</v>
      </c>
      <c r="DN53" s="84">
        <f t="shared" si="50"/>
        <v>0</v>
      </c>
      <c r="DR53" s="3">
        <f t="shared" si="37"/>
        <v>2032</v>
      </c>
      <c r="DS53" s="28">
        <v>0</v>
      </c>
      <c r="DT53" s="28">
        <f t="shared" si="39"/>
        <v>0</v>
      </c>
      <c r="DU53" s="28">
        <v>0</v>
      </c>
      <c r="DV53" s="28">
        <f t="shared" si="38"/>
        <v>0</v>
      </c>
      <c r="DW53" s="28">
        <v>0</v>
      </c>
      <c r="DY53" s="84">
        <f>DT53*TechnicalInputs!$B$144*TechnicalInputs!$B$134+TechnicalInputs!$B$135*TechnicalInputs!$B$145*TransactionCosts!DU53+TransactionCosts!DW53*TechnicalInputs!$B$136*TechnicalInputs!$B$146</f>
        <v>0</v>
      </c>
      <c r="DZ53" s="89">
        <f t="shared" si="35"/>
        <v>0</v>
      </c>
      <c r="EA53" s="39">
        <f>DZ53*TechnicalInputs!$B$90*TechnicalInputs!$D$5</f>
        <v>0</v>
      </c>
      <c r="EB53" s="49">
        <f>DT53*TechnicalInputs!$B$139*TechnicalInputs!$B$144+TechnicalInputs!$B$140*TechnicalInputs!$B$145*TransactionCosts!DU53+TransactionCosts!DW53*TechnicalInputs!$B$141*TechnicalInputs!$B$146</f>
        <v>0</v>
      </c>
      <c r="EC53" s="49">
        <f t="shared" si="36"/>
        <v>0</v>
      </c>
    </row>
    <row r="54" spans="1:133">
      <c r="A54" s="3" t="s">
        <v>191</v>
      </c>
      <c r="B54" s="65">
        <f t="shared" si="6"/>
        <v>0.25</v>
      </c>
      <c r="C54" s="3" t="s">
        <v>204</v>
      </c>
      <c r="D54" s="65">
        <f t="shared" si="7"/>
        <v>0.35000000000000003</v>
      </c>
      <c r="E54" s="3">
        <v>4</v>
      </c>
      <c r="F54" s="65">
        <f t="shared" si="82"/>
        <v>0.19999999999999996</v>
      </c>
      <c r="G54" s="3" t="s">
        <v>202</v>
      </c>
      <c r="H54" s="65">
        <v>0.25</v>
      </c>
      <c r="I54" s="65">
        <f t="shared" si="9"/>
        <v>4.3749999999999995E-3</v>
      </c>
      <c r="J54" s="3">
        <f>TechnicalInputs!$D$31</f>
        <v>0</v>
      </c>
      <c r="K54" s="3">
        <f>TechnicalInputs!$D$34</f>
        <v>2</v>
      </c>
      <c r="L54" s="3">
        <f t="shared" si="10"/>
        <v>2</v>
      </c>
      <c r="M54" s="1"/>
      <c r="N54" s="40">
        <f t="shared" si="83"/>
        <v>0</v>
      </c>
      <c r="O54" s="40">
        <f t="shared" si="51"/>
        <v>0</v>
      </c>
      <c r="P54" s="40">
        <f t="shared" si="51"/>
        <v>0</v>
      </c>
      <c r="Q54" s="40">
        <f t="shared" si="51"/>
        <v>0</v>
      </c>
      <c r="R54" s="40">
        <f t="shared" si="51"/>
        <v>0</v>
      </c>
      <c r="S54" s="40">
        <f t="shared" si="51"/>
        <v>0</v>
      </c>
      <c r="T54" s="40">
        <f t="shared" si="51"/>
        <v>0</v>
      </c>
      <c r="U54" s="40">
        <f t="shared" si="51"/>
        <v>0</v>
      </c>
      <c r="V54" s="40">
        <f t="shared" si="51"/>
        <v>0</v>
      </c>
      <c r="W54" s="40">
        <f t="shared" si="51"/>
        <v>0</v>
      </c>
      <c r="X54" s="40">
        <f t="shared" si="51"/>
        <v>0</v>
      </c>
      <c r="Y54" s="40">
        <f t="shared" si="51"/>
        <v>0</v>
      </c>
      <c r="Z54" s="40">
        <f t="shared" si="51"/>
        <v>0</v>
      </c>
      <c r="AA54" s="40">
        <f t="shared" si="51"/>
        <v>0</v>
      </c>
      <c r="AB54" s="40">
        <f t="shared" si="51"/>
        <v>0</v>
      </c>
      <c r="AC54" s="40">
        <f t="shared" si="51"/>
        <v>0</v>
      </c>
      <c r="AD54" s="40">
        <f t="shared" si="51"/>
        <v>0</v>
      </c>
      <c r="AE54" s="40">
        <f t="shared" si="40"/>
        <v>0</v>
      </c>
      <c r="AF54" s="40">
        <f t="shared" si="40"/>
        <v>0</v>
      </c>
      <c r="AG54" s="40">
        <f t="shared" si="40"/>
        <v>0</v>
      </c>
      <c r="AH54" s="40">
        <f t="shared" si="40"/>
        <v>0</v>
      </c>
      <c r="AI54" s="40">
        <f>(N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J54" s="40">
        <f>(O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K54" s="40">
        <f>(P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L54" s="40">
        <f>(Q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M54" s="40">
        <f>(R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N54" s="40">
        <f>(S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O54" s="40">
        <f>(T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P54" s="40">
        <f>(U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Q54" s="40">
        <f>(V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R54" s="40">
        <f>(W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S54" s="40">
        <f>(X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T54" s="40">
        <f>(Y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U54" s="40">
        <f>(Z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V54" s="40">
        <f>(AA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W54" s="40">
        <f>(AB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X54" s="40">
        <f>(AC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Y54" s="40">
        <f>(AD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AZ54" s="40">
        <f>(AE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BA54" s="40">
        <f>(AF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BB54" s="40">
        <f>(AG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BC54" s="40">
        <f>(AH54*IF($G54="credit",TechnicalInputs!$D$22,IF($G54="Debit",TechnicalInputs!$D$24,IF($G54="EFT",TechnicalInputs!$D$26,0)))+IF($G54="credit",TechnicalInputs!$D$21,IF($G54="debit",TechnicalInputs!$D$23,IF($G54="eft",TechnicalInputs!$D$25)))+IF(TransactionCosts!$C54="online",TechnicalInputs!$D$28,TechnicalInputs!$D$27))*$E54</f>
        <v>0.44</v>
      </c>
      <c r="BD54" s="28">
        <f t="shared" si="12"/>
        <v>0</v>
      </c>
      <c r="BE54" s="28">
        <f t="shared" si="13"/>
        <v>0</v>
      </c>
      <c r="BF54" s="28">
        <f t="shared" si="14"/>
        <v>0</v>
      </c>
      <c r="BG54" s="28">
        <f t="shared" si="15"/>
        <v>0</v>
      </c>
      <c r="BH54" s="28">
        <f t="shared" si="16"/>
        <v>0</v>
      </c>
      <c r="BI54" s="28">
        <f t="shared" si="17"/>
        <v>0</v>
      </c>
      <c r="BJ54" s="28">
        <f t="shared" si="18"/>
        <v>0</v>
      </c>
      <c r="BK54" s="28">
        <f t="shared" si="19"/>
        <v>0</v>
      </c>
      <c r="BL54" s="28">
        <f t="shared" si="20"/>
        <v>0</v>
      </c>
      <c r="BM54" s="28">
        <f t="shared" si="21"/>
        <v>0</v>
      </c>
      <c r="BN54" s="28">
        <f t="shared" si="22"/>
        <v>0</v>
      </c>
      <c r="BO54" s="28">
        <f t="shared" si="23"/>
        <v>0</v>
      </c>
      <c r="BP54" s="28">
        <f t="shared" si="24"/>
        <v>0</v>
      </c>
      <c r="BQ54" s="28">
        <f t="shared" si="25"/>
        <v>0</v>
      </c>
      <c r="BR54" s="28">
        <f t="shared" si="26"/>
        <v>0</v>
      </c>
      <c r="BS54" s="28">
        <f t="shared" si="27"/>
        <v>0</v>
      </c>
      <c r="BT54" s="28">
        <f t="shared" si="28"/>
        <v>0</v>
      </c>
      <c r="BU54" s="28">
        <f t="shared" si="29"/>
        <v>0</v>
      </c>
      <c r="BV54" s="28">
        <f t="shared" si="30"/>
        <v>0</v>
      </c>
      <c r="BW54" s="28">
        <f t="shared" si="31"/>
        <v>0</v>
      </c>
      <c r="BX54" s="28">
        <f t="shared" si="32"/>
        <v>0</v>
      </c>
      <c r="BY54" s="83">
        <f t="shared" si="33"/>
        <v>0</v>
      </c>
      <c r="BZ54" s="83">
        <f t="shared" si="52"/>
        <v>0</v>
      </c>
      <c r="CA54" s="83">
        <f t="shared" si="53"/>
        <v>0</v>
      </c>
      <c r="CB54" s="83">
        <f t="shared" si="54"/>
        <v>0</v>
      </c>
      <c r="CC54" s="83">
        <f t="shared" si="55"/>
        <v>0</v>
      </c>
      <c r="CD54" s="83">
        <f t="shared" si="56"/>
        <v>0</v>
      </c>
      <c r="CE54" s="83">
        <f t="shared" si="57"/>
        <v>0</v>
      </c>
      <c r="CF54" s="83">
        <f t="shared" si="58"/>
        <v>0</v>
      </c>
      <c r="CG54" s="83">
        <f t="shared" si="59"/>
        <v>0</v>
      </c>
      <c r="CH54" s="83">
        <f t="shared" si="60"/>
        <v>0</v>
      </c>
      <c r="CI54" s="83">
        <f t="shared" si="61"/>
        <v>0</v>
      </c>
      <c r="CJ54" s="83">
        <f t="shared" si="62"/>
        <v>0</v>
      </c>
      <c r="CK54" s="83">
        <f t="shared" si="63"/>
        <v>0</v>
      </c>
      <c r="CL54" s="83">
        <f t="shared" si="64"/>
        <v>0</v>
      </c>
      <c r="CM54" s="83">
        <f t="shared" si="65"/>
        <v>0</v>
      </c>
      <c r="CN54" s="83">
        <f t="shared" si="66"/>
        <v>0</v>
      </c>
      <c r="CO54" s="83">
        <f t="shared" si="41"/>
        <v>0</v>
      </c>
      <c r="CP54" s="83">
        <f t="shared" si="42"/>
        <v>0</v>
      </c>
      <c r="CQ54" s="83">
        <f t="shared" si="43"/>
        <v>0</v>
      </c>
      <c r="CR54" s="83">
        <f t="shared" si="44"/>
        <v>0</v>
      </c>
      <c r="CS54" s="83">
        <f t="shared" si="45"/>
        <v>0</v>
      </c>
      <c r="CT54" s="84">
        <f t="shared" si="34"/>
        <v>0</v>
      </c>
      <c r="CU54" s="84">
        <f t="shared" si="67"/>
        <v>0</v>
      </c>
      <c r="CV54" s="84">
        <f t="shared" si="68"/>
        <v>0</v>
      </c>
      <c r="CW54" s="84">
        <f t="shared" si="69"/>
        <v>0</v>
      </c>
      <c r="CX54" s="84">
        <f t="shared" si="70"/>
        <v>0</v>
      </c>
      <c r="CY54" s="84">
        <f t="shared" si="71"/>
        <v>0</v>
      </c>
      <c r="CZ54" s="84">
        <f t="shared" si="72"/>
        <v>0</v>
      </c>
      <c r="DA54" s="84">
        <f t="shared" si="73"/>
        <v>0</v>
      </c>
      <c r="DB54" s="84">
        <f t="shared" si="74"/>
        <v>0</v>
      </c>
      <c r="DC54" s="84">
        <f t="shared" si="75"/>
        <v>0</v>
      </c>
      <c r="DD54" s="84">
        <f t="shared" si="76"/>
        <v>0</v>
      </c>
      <c r="DE54" s="84">
        <f t="shared" si="77"/>
        <v>0</v>
      </c>
      <c r="DF54" s="84">
        <f t="shared" si="78"/>
        <v>0</v>
      </c>
      <c r="DG54" s="84">
        <f t="shared" si="79"/>
        <v>0</v>
      </c>
      <c r="DH54" s="84">
        <f t="shared" si="80"/>
        <v>0</v>
      </c>
      <c r="DI54" s="84">
        <f t="shared" si="81"/>
        <v>0</v>
      </c>
      <c r="DJ54" s="84">
        <f t="shared" si="46"/>
        <v>0</v>
      </c>
      <c r="DK54" s="84">
        <f t="shared" si="47"/>
        <v>0</v>
      </c>
      <c r="DL54" s="84">
        <f t="shared" si="48"/>
        <v>0</v>
      </c>
      <c r="DM54" s="84">
        <f t="shared" si="49"/>
        <v>0</v>
      </c>
      <c r="DN54" s="84">
        <f t="shared" si="50"/>
        <v>0</v>
      </c>
      <c r="DR54" s="3">
        <f t="shared" si="37"/>
        <v>2033</v>
      </c>
      <c r="DS54" s="28">
        <v>0</v>
      </c>
      <c r="DT54" s="28">
        <f t="shared" si="39"/>
        <v>0</v>
      </c>
      <c r="DU54" s="28">
        <v>0</v>
      </c>
      <c r="DV54" s="28">
        <f t="shared" si="38"/>
        <v>0</v>
      </c>
      <c r="DW54" s="28">
        <v>0</v>
      </c>
      <c r="DY54" s="84">
        <f>DT54*TechnicalInputs!$B$144*TechnicalInputs!$B$134+TechnicalInputs!$B$135*TechnicalInputs!$B$145*TransactionCosts!DU54+TransactionCosts!DW54*TechnicalInputs!$B$136*TechnicalInputs!$B$146</f>
        <v>0</v>
      </c>
      <c r="DZ54" s="89">
        <f t="shared" si="35"/>
        <v>0</v>
      </c>
      <c r="EA54" s="39">
        <f>DZ54*TechnicalInputs!$B$90*TechnicalInputs!$D$5</f>
        <v>0</v>
      </c>
      <c r="EB54" s="49">
        <f>DT54*TechnicalInputs!$B$139*TechnicalInputs!$B$144+TechnicalInputs!$B$140*TechnicalInputs!$B$145*TransactionCosts!DU54+TransactionCosts!DW54*TechnicalInputs!$B$141*TechnicalInputs!$B$146</f>
        <v>0</v>
      </c>
      <c r="EC54" s="49">
        <f t="shared" si="36"/>
        <v>0</v>
      </c>
    </row>
    <row r="55" spans="1:133">
      <c r="A55" s="3" t="s">
        <v>207</v>
      </c>
      <c r="B55" s="65">
        <f t="shared" si="6"/>
        <v>0.1</v>
      </c>
      <c r="C55" s="3" t="s">
        <v>203</v>
      </c>
      <c r="D55" s="65">
        <f>LOOKUP(C55,$B$10:$B$11,$C$10:$C$11)</f>
        <v>0.25</v>
      </c>
      <c r="E55" s="3">
        <v>1</v>
      </c>
      <c r="F55" s="65">
        <f>LOOKUP(E55,$C$23:$C$25,$D$23:$D$25)</f>
        <v>0.4</v>
      </c>
      <c r="G55" s="3" t="s">
        <v>201</v>
      </c>
      <c r="H55" s="65">
        <v>1</v>
      </c>
      <c r="I55" s="65">
        <f t="shared" si="9"/>
        <v>1.0000000000000002E-2</v>
      </c>
      <c r="J55" s="3">
        <f>TechnicalInputs!$D$30</f>
        <v>3</v>
      </c>
      <c r="K55" s="3">
        <f>TechnicalInputs!$D$33</f>
        <v>1</v>
      </c>
      <c r="L55" s="3">
        <f t="shared" si="10"/>
        <v>4</v>
      </c>
      <c r="M55" s="1"/>
      <c r="N55" s="40">
        <f t="shared" si="83"/>
        <v>0</v>
      </c>
      <c r="O55" s="40">
        <f t="shared" si="51"/>
        <v>0</v>
      </c>
      <c r="P55" s="40">
        <f t="shared" si="51"/>
        <v>0</v>
      </c>
      <c r="Q55" s="40">
        <f t="shared" si="51"/>
        <v>0</v>
      </c>
      <c r="R55" s="40">
        <f t="shared" si="51"/>
        <v>0</v>
      </c>
      <c r="S55" s="40">
        <f t="shared" si="51"/>
        <v>0</v>
      </c>
      <c r="T55" s="40">
        <f t="shared" si="51"/>
        <v>0</v>
      </c>
      <c r="U55" s="40">
        <f t="shared" si="51"/>
        <v>0</v>
      </c>
      <c r="V55" s="40">
        <f t="shared" si="51"/>
        <v>0</v>
      </c>
      <c r="W55" s="40">
        <f t="shared" si="51"/>
        <v>0</v>
      </c>
      <c r="X55" s="40">
        <f t="shared" si="51"/>
        <v>0</v>
      </c>
      <c r="Y55" s="40">
        <f t="shared" si="51"/>
        <v>0</v>
      </c>
      <c r="Z55" s="40">
        <f t="shared" si="51"/>
        <v>0</v>
      </c>
      <c r="AA55" s="40">
        <f t="shared" si="51"/>
        <v>0</v>
      </c>
      <c r="AB55" s="40">
        <f t="shared" si="51"/>
        <v>0</v>
      </c>
      <c r="AC55" s="40">
        <f t="shared" si="51"/>
        <v>0</v>
      </c>
      <c r="AD55" s="40">
        <f t="shared" si="51"/>
        <v>0</v>
      </c>
      <c r="AE55" s="40">
        <f t="shared" si="40"/>
        <v>0</v>
      </c>
      <c r="AF55" s="40">
        <f t="shared" si="40"/>
        <v>0</v>
      </c>
      <c r="AG55" s="40">
        <f t="shared" si="40"/>
        <v>0</v>
      </c>
      <c r="AH55" s="40">
        <f t="shared" si="40"/>
        <v>0</v>
      </c>
      <c r="AI55" s="40">
        <f>(N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P$12*12</f>
        <v>60.9</v>
      </c>
      <c r="AJ55" s="40">
        <f>(O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Q$12*12</f>
        <v>48.9</v>
      </c>
      <c r="AK55" s="40">
        <f>(P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R$12*12</f>
        <v>36.9</v>
      </c>
      <c r="AL55" s="40">
        <f>(Q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S$12*12</f>
        <v>24.9</v>
      </c>
      <c r="AM55" s="40">
        <f>(R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T$12*12</f>
        <v>18.899999999999999</v>
      </c>
      <c r="AN55" s="40">
        <f>(S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U$12*12</f>
        <v>12.9</v>
      </c>
      <c r="AO55" s="40">
        <f>(T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V$12*12</f>
        <v>6.9</v>
      </c>
      <c r="AP55" s="40">
        <f>(U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W$12*12</f>
        <v>6.9</v>
      </c>
      <c r="AQ55" s="40">
        <f>(V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X$12*12</f>
        <v>6.9</v>
      </c>
      <c r="AR55" s="40">
        <f>(W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Y$12*12</f>
        <v>6.9</v>
      </c>
      <c r="AS55" s="40">
        <f>(X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Z$12*12</f>
        <v>6.9</v>
      </c>
      <c r="AT55" s="40">
        <f>(Y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AA$12*12</f>
        <v>6.9</v>
      </c>
      <c r="AU55" s="40">
        <f>(Z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AB$12*12</f>
        <v>6.9</v>
      </c>
      <c r="AV55" s="40">
        <f>(AA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AC$12*12</f>
        <v>6.9</v>
      </c>
      <c r="AW55" s="40">
        <f>(AB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AD$12*12</f>
        <v>6.9</v>
      </c>
      <c r="AX55" s="40">
        <f>(AC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AE$12*12</f>
        <v>6.9</v>
      </c>
      <c r="AY55" s="40">
        <f>(AD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AF$12*12</f>
        <v>6.9</v>
      </c>
      <c r="AZ55" s="40">
        <f>(AE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AG$12*12</f>
        <v>6.9</v>
      </c>
      <c r="BA55" s="40">
        <f>(AF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AH$12*12</f>
        <v>6.9</v>
      </c>
      <c r="BB55" s="40">
        <f>(AG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AI$12*12</f>
        <v>6.9</v>
      </c>
      <c r="BC55" s="40">
        <f>(AH55*IF($G55="credit",TechnicalInputs!$D$22,IF($G55="Debit",TechnicalInputs!$D$24,IF($G55="EFT",TechnicalInputs!$D$26,0)))+IF($G55="credit",TechnicalInputs!$D$21,IF($G55="debit",TechnicalInputs!$D$23,IF($G55="eft",TechnicalInputs!$D$25)))+IF(TransactionCosts!$C55="online",TechnicalInputs!$D$28,TechnicalInputs!$D$27))*$E55+AJ$12*12</f>
        <v>6.9</v>
      </c>
      <c r="BD55" s="28">
        <f t="shared" si="12"/>
        <v>0</v>
      </c>
      <c r="BE55" s="28">
        <f t="shared" si="13"/>
        <v>0</v>
      </c>
      <c r="BF55" s="28">
        <f t="shared" si="14"/>
        <v>0</v>
      </c>
      <c r="BG55" s="28">
        <f t="shared" si="15"/>
        <v>0</v>
      </c>
      <c r="BH55" s="28">
        <f t="shared" si="16"/>
        <v>0</v>
      </c>
      <c r="BI55" s="28">
        <f t="shared" si="17"/>
        <v>0</v>
      </c>
      <c r="BJ55" s="28">
        <f t="shared" si="18"/>
        <v>0</v>
      </c>
      <c r="BK55" s="28">
        <f t="shared" si="19"/>
        <v>0</v>
      </c>
      <c r="BL55" s="28">
        <f t="shared" si="20"/>
        <v>0</v>
      </c>
      <c r="BM55" s="28">
        <f t="shared" si="21"/>
        <v>0</v>
      </c>
      <c r="BN55" s="28">
        <f t="shared" si="22"/>
        <v>0</v>
      </c>
      <c r="BO55" s="28">
        <f t="shared" si="23"/>
        <v>0</v>
      </c>
      <c r="BP55" s="28">
        <f t="shared" si="24"/>
        <v>0</v>
      </c>
      <c r="BQ55" s="28">
        <f t="shared" si="25"/>
        <v>0</v>
      </c>
      <c r="BR55" s="28">
        <f t="shared" si="26"/>
        <v>0</v>
      </c>
      <c r="BS55" s="28">
        <f t="shared" si="27"/>
        <v>0</v>
      </c>
      <c r="BT55" s="28">
        <f t="shared" si="28"/>
        <v>0</v>
      </c>
      <c r="BU55" s="28">
        <f t="shared" si="29"/>
        <v>0</v>
      </c>
      <c r="BV55" s="28">
        <f t="shared" si="30"/>
        <v>0</v>
      </c>
      <c r="BW55" s="28">
        <f t="shared" si="31"/>
        <v>0</v>
      </c>
      <c r="BX55" s="28">
        <f t="shared" si="32"/>
        <v>0</v>
      </c>
      <c r="BY55" s="83">
        <f t="shared" si="33"/>
        <v>0</v>
      </c>
      <c r="BZ55" s="83">
        <f t="shared" si="52"/>
        <v>0</v>
      </c>
      <c r="CA55" s="83">
        <f t="shared" si="53"/>
        <v>0</v>
      </c>
      <c r="CB55" s="83">
        <f t="shared" si="54"/>
        <v>0</v>
      </c>
      <c r="CC55" s="83">
        <f t="shared" si="55"/>
        <v>0</v>
      </c>
      <c r="CD55" s="83">
        <f t="shared" si="56"/>
        <v>0</v>
      </c>
      <c r="CE55" s="83">
        <f t="shared" si="57"/>
        <v>0</v>
      </c>
      <c r="CF55" s="83">
        <f t="shared" si="58"/>
        <v>0</v>
      </c>
      <c r="CG55" s="83">
        <f t="shared" si="59"/>
        <v>0</v>
      </c>
      <c r="CH55" s="83">
        <f t="shared" si="60"/>
        <v>0</v>
      </c>
      <c r="CI55" s="83">
        <f t="shared" si="61"/>
        <v>0</v>
      </c>
      <c r="CJ55" s="83">
        <f t="shared" si="62"/>
        <v>0</v>
      </c>
      <c r="CK55" s="83">
        <f t="shared" si="63"/>
        <v>0</v>
      </c>
      <c r="CL55" s="83">
        <f t="shared" si="64"/>
        <v>0</v>
      </c>
      <c r="CM55" s="83">
        <f t="shared" si="65"/>
        <v>0</v>
      </c>
      <c r="CN55" s="83">
        <f t="shared" si="66"/>
        <v>0</v>
      </c>
      <c r="CO55" s="83">
        <f t="shared" si="41"/>
        <v>0</v>
      </c>
      <c r="CP55" s="83">
        <f t="shared" si="42"/>
        <v>0</v>
      </c>
      <c r="CQ55" s="83">
        <f t="shared" si="43"/>
        <v>0</v>
      </c>
      <c r="CR55" s="83">
        <f t="shared" si="44"/>
        <v>0</v>
      </c>
      <c r="CS55" s="83">
        <f t="shared" si="45"/>
        <v>0</v>
      </c>
      <c r="CT55" s="84">
        <f t="shared" si="34"/>
        <v>0</v>
      </c>
      <c r="CU55" s="84">
        <f t="shared" si="67"/>
        <v>0</v>
      </c>
      <c r="CV55" s="84">
        <f t="shared" si="68"/>
        <v>0</v>
      </c>
      <c r="CW55" s="84">
        <f t="shared" si="69"/>
        <v>0</v>
      </c>
      <c r="CX55" s="84">
        <f t="shared" si="70"/>
        <v>0</v>
      </c>
      <c r="CY55" s="84">
        <f t="shared" si="71"/>
        <v>0</v>
      </c>
      <c r="CZ55" s="84">
        <f t="shared" si="72"/>
        <v>0</v>
      </c>
      <c r="DA55" s="84">
        <f t="shared" si="73"/>
        <v>0</v>
      </c>
      <c r="DB55" s="84">
        <f t="shared" si="74"/>
        <v>0</v>
      </c>
      <c r="DC55" s="84">
        <f t="shared" si="75"/>
        <v>0</v>
      </c>
      <c r="DD55" s="84">
        <f t="shared" si="76"/>
        <v>0</v>
      </c>
      <c r="DE55" s="84">
        <f t="shared" si="77"/>
        <v>0</v>
      </c>
      <c r="DF55" s="84">
        <f t="shared" si="78"/>
        <v>0</v>
      </c>
      <c r="DG55" s="84">
        <f t="shared" si="79"/>
        <v>0</v>
      </c>
      <c r="DH55" s="84">
        <f t="shared" si="80"/>
        <v>0</v>
      </c>
      <c r="DI55" s="84">
        <f t="shared" si="81"/>
        <v>0</v>
      </c>
      <c r="DJ55" s="84">
        <f t="shared" si="46"/>
        <v>0</v>
      </c>
      <c r="DK55" s="84">
        <f t="shared" si="47"/>
        <v>0</v>
      </c>
      <c r="DL55" s="84">
        <f t="shared" si="48"/>
        <v>0</v>
      </c>
      <c r="DM55" s="84">
        <f t="shared" si="49"/>
        <v>0</v>
      </c>
      <c r="DN55" s="84">
        <f t="shared" si="50"/>
        <v>0</v>
      </c>
      <c r="DR55" s="3">
        <f t="shared" si="37"/>
        <v>2034</v>
      </c>
      <c r="DS55" s="28">
        <v>0</v>
      </c>
      <c r="DT55" s="28">
        <f t="shared" si="39"/>
        <v>0</v>
      </c>
      <c r="DU55" s="28">
        <v>0</v>
      </c>
      <c r="DV55" s="28">
        <f t="shared" si="38"/>
        <v>0</v>
      </c>
      <c r="DW55" s="28">
        <v>0</v>
      </c>
      <c r="DY55" s="84">
        <f>DT55*TechnicalInputs!$B$144*TechnicalInputs!$B$134+TechnicalInputs!$B$135*TechnicalInputs!$B$145*TransactionCosts!DU55+TransactionCosts!DW55*TechnicalInputs!$B$136*TechnicalInputs!$B$146</f>
        <v>0</v>
      </c>
      <c r="DZ55" s="89">
        <f t="shared" si="35"/>
        <v>0</v>
      </c>
      <c r="EA55" s="39">
        <f>DZ55*TechnicalInputs!$B$90*TechnicalInputs!$D$5</f>
        <v>0</v>
      </c>
      <c r="EB55" s="49">
        <f>DT55*TechnicalInputs!$B$139*TechnicalInputs!$B$144+TechnicalInputs!$B$140*TechnicalInputs!$B$145*TransactionCosts!DU55+TransactionCosts!DW55*TechnicalInputs!$B$141*TechnicalInputs!$B$146</f>
        <v>0</v>
      </c>
      <c r="EC55" s="49">
        <f t="shared" si="36"/>
        <v>0</v>
      </c>
    </row>
    <row r="56" spans="1:133">
      <c r="A56" s="3" t="s">
        <v>207</v>
      </c>
      <c r="B56" s="65">
        <f t="shared" si="6"/>
        <v>0.1</v>
      </c>
      <c r="C56" s="3" t="s">
        <v>203</v>
      </c>
      <c r="D56" s="65">
        <f t="shared" ref="D56:D66" si="84">LOOKUP(C56,$B$10:$B$11,$C$10:$C$11)</f>
        <v>0.25</v>
      </c>
      <c r="E56" s="3">
        <v>2</v>
      </c>
      <c r="F56" s="65">
        <f>LOOKUP(E56,$C$23:$C$25,$D$23:$D$25)</f>
        <v>0.4</v>
      </c>
      <c r="G56" s="3" t="s">
        <v>201</v>
      </c>
      <c r="H56" s="65">
        <v>1</v>
      </c>
      <c r="I56" s="65">
        <f t="shared" si="9"/>
        <v>1.0000000000000002E-2</v>
      </c>
      <c r="J56" s="3">
        <f>TechnicalInputs!$D$30</f>
        <v>3</v>
      </c>
      <c r="K56" s="3">
        <f>TechnicalInputs!$D$33</f>
        <v>1</v>
      </c>
      <c r="L56" s="3">
        <f t="shared" si="10"/>
        <v>4</v>
      </c>
      <c r="M56" s="1"/>
      <c r="N56" s="40">
        <f t="shared" si="83"/>
        <v>0</v>
      </c>
      <c r="O56" s="40">
        <f t="shared" si="51"/>
        <v>0</v>
      </c>
      <c r="P56" s="40">
        <f t="shared" si="51"/>
        <v>0</v>
      </c>
      <c r="Q56" s="40">
        <f t="shared" si="51"/>
        <v>0</v>
      </c>
      <c r="R56" s="40">
        <f t="shared" si="51"/>
        <v>0</v>
      </c>
      <c r="S56" s="40">
        <f t="shared" si="51"/>
        <v>0</v>
      </c>
      <c r="T56" s="40">
        <f t="shared" si="51"/>
        <v>0</v>
      </c>
      <c r="U56" s="40">
        <f t="shared" si="51"/>
        <v>0</v>
      </c>
      <c r="V56" s="40">
        <f t="shared" si="51"/>
        <v>0</v>
      </c>
      <c r="W56" s="40">
        <f t="shared" si="51"/>
        <v>0</v>
      </c>
      <c r="X56" s="40">
        <f t="shared" si="51"/>
        <v>0</v>
      </c>
      <c r="Y56" s="40">
        <f t="shared" si="51"/>
        <v>0</v>
      </c>
      <c r="Z56" s="40">
        <f t="shared" si="51"/>
        <v>0</v>
      </c>
      <c r="AA56" s="40">
        <f t="shared" si="51"/>
        <v>0</v>
      </c>
      <c r="AB56" s="40">
        <f t="shared" si="51"/>
        <v>0</v>
      </c>
      <c r="AC56" s="40">
        <f t="shared" si="51"/>
        <v>0</v>
      </c>
      <c r="AD56" s="40">
        <f t="shared" si="51"/>
        <v>0</v>
      </c>
      <c r="AE56" s="40">
        <f t="shared" si="40"/>
        <v>0</v>
      </c>
      <c r="AF56" s="40">
        <f t="shared" si="40"/>
        <v>0</v>
      </c>
      <c r="AG56" s="40">
        <f t="shared" si="40"/>
        <v>0</v>
      </c>
      <c r="AH56" s="40">
        <f t="shared" si="40"/>
        <v>0</v>
      </c>
      <c r="AI56" s="40">
        <f>(N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P$12*12</f>
        <v>61.8</v>
      </c>
      <c r="AJ56" s="40">
        <f>(O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Q$12*12</f>
        <v>49.8</v>
      </c>
      <c r="AK56" s="40">
        <f>(P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R$12*12</f>
        <v>37.799999999999997</v>
      </c>
      <c r="AL56" s="40">
        <f>(Q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S$12*12</f>
        <v>25.8</v>
      </c>
      <c r="AM56" s="40">
        <f>(R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T$12*12</f>
        <v>19.8</v>
      </c>
      <c r="AN56" s="40">
        <f>(S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U$12*12</f>
        <v>13.8</v>
      </c>
      <c r="AO56" s="40">
        <f>(T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V$12*12</f>
        <v>7.8</v>
      </c>
      <c r="AP56" s="40">
        <f>(U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W$12*12</f>
        <v>7.8</v>
      </c>
      <c r="AQ56" s="40">
        <f>(V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X$12*12</f>
        <v>7.8</v>
      </c>
      <c r="AR56" s="40">
        <f>(W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Y$12*12</f>
        <v>7.8</v>
      </c>
      <c r="AS56" s="40">
        <f>(X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Z$12*12</f>
        <v>7.8</v>
      </c>
      <c r="AT56" s="40">
        <f>(Y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AA$12*12</f>
        <v>7.8</v>
      </c>
      <c r="AU56" s="40">
        <f>(Z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AB$12*12</f>
        <v>7.8</v>
      </c>
      <c r="AV56" s="40">
        <f>(AA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AC$12*12</f>
        <v>7.8</v>
      </c>
      <c r="AW56" s="40">
        <f>(AB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AD$12*12</f>
        <v>7.8</v>
      </c>
      <c r="AX56" s="40">
        <f>(AC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AE$12*12</f>
        <v>7.8</v>
      </c>
      <c r="AY56" s="40">
        <f>(AD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AF$12*12</f>
        <v>7.8</v>
      </c>
      <c r="AZ56" s="40">
        <f>(AE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AG$12*12</f>
        <v>7.8</v>
      </c>
      <c r="BA56" s="40">
        <f>(AF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AH$12*12</f>
        <v>7.8</v>
      </c>
      <c r="BB56" s="40">
        <f>(AG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AI$12*12</f>
        <v>7.8</v>
      </c>
      <c r="BC56" s="40">
        <f>(AH56*IF($G56="credit",TechnicalInputs!$D$22,IF($G56="Debit",TechnicalInputs!$D$24,IF($G56="EFT",TechnicalInputs!$D$26,0)))+IF($G56="credit",TechnicalInputs!$D$21,IF($G56="debit",TechnicalInputs!$D$23,IF($G56="eft",TechnicalInputs!$D$25)))+IF(TransactionCosts!$C56="online",TechnicalInputs!$D$28,TechnicalInputs!$D$27))*$E56+AJ$12*12</f>
        <v>7.8</v>
      </c>
      <c r="BD56" s="28">
        <f t="shared" si="12"/>
        <v>0</v>
      </c>
      <c r="BE56" s="28">
        <f t="shared" si="13"/>
        <v>0</v>
      </c>
      <c r="BF56" s="28">
        <f t="shared" si="14"/>
        <v>0</v>
      </c>
      <c r="BG56" s="28">
        <f t="shared" si="15"/>
        <v>0</v>
      </c>
      <c r="BH56" s="28">
        <f t="shared" si="16"/>
        <v>0</v>
      </c>
      <c r="BI56" s="28">
        <f t="shared" si="17"/>
        <v>0</v>
      </c>
      <c r="BJ56" s="28">
        <f t="shared" si="18"/>
        <v>0</v>
      </c>
      <c r="BK56" s="28">
        <f t="shared" si="19"/>
        <v>0</v>
      </c>
      <c r="BL56" s="28">
        <f t="shared" si="20"/>
        <v>0</v>
      </c>
      <c r="BM56" s="28">
        <f t="shared" si="21"/>
        <v>0</v>
      </c>
      <c r="BN56" s="28">
        <f t="shared" si="22"/>
        <v>0</v>
      </c>
      <c r="BO56" s="28">
        <f t="shared" si="23"/>
        <v>0</v>
      </c>
      <c r="BP56" s="28">
        <f t="shared" si="24"/>
        <v>0</v>
      </c>
      <c r="BQ56" s="28">
        <f t="shared" si="25"/>
        <v>0</v>
      </c>
      <c r="BR56" s="28">
        <f t="shared" si="26"/>
        <v>0</v>
      </c>
      <c r="BS56" s="28">
        <f t="shared" si="27"/>
        <v>0</v>
      </c>
      <c r="BT56" s="28">
        <f t="shared" si="28"/>
        <v>0</v>
      </c>
      <c r="BU56" s="28">
        <f t="shared" si="29"/>
        <v>0</v>
      </c>
      <c r="BV56" s="28">
        <f t="shared" si="30"/>
        <v>0</v>
      </c>
      <c r="BW56" s="28">
        <f t="shared" si="31"/>
        <v>0</v>
      </c>
      <c r="BX56" s="28">
        <f t="shared" si="32"/>
        <v>0</v>
      </c>
      <c r="BY56" s="83">
        <f t="shared" si="33"/>
        <v>0</v>
      </c>
      <c r="BZ56" s="83">
        <f t="shared" si="52"/>
        <v>0</v>
      </c>
      <c r="CA56" s="83">
        <f t="shared" si="53"/>
        <v>0</v>
      </c>
      <c r="CB56" s="83">
        <f t="shared" si="54"/>
        <v>0</v>
      </c>
      <c r="CC56" s="83">
        <f t="shared" si="55"/>
        <v>0</v>
      </c>
      <c r="CD56" s="83">
        <f t="shared" si="56"/>
        <v>0</v>
      </c>
      <c r="CE56" s="83">
        <f t="shared" si="57"/>
        <v>0</v>
      </c>
      <c r="CF56" s="83">
        <f t="shared" si="58"/>
        <v>0</v>
      </c>
      <c r="CG56" s="83">
        <f t="shared" si="59"/>
        <v>0</v>
      </c>
      <c r="CH56" s="83">
        <f t="shared" si="60"/>
        <v>0</v>
      </c>
      <c r="CI56" s="83">
        <f t="shared" si="61"/>
        <v>0</v>
      </c>
      <c r="CJ56" s="83">
        <f t="shared" si="62"/>
        <v>0</v>
      </c>
      <c r="CK56" s="83">
        <f t="shared" si="63"/>
        <v>0</v>
      </c>
      <c r="CL56" s="83">
        <f t="shared" si="64"/>
        <v>0</v>
      </c>
      <c r="CM56" s="83">
        <f t="shared" si="65"/>
        <v>0</v>
      </c>
      <c r="CN56" s="83">
        <f t="shared" si="66"/>
        <v>0</v>
      </c>
      <c r="CO56" s="83">
        <f t="shared" si="41"/>
        <v>0</v>
      </c>
      <c r="CP56" s="83">
        <f t="shared" si="42"/>
        <v>0</v>
      </c>
      <c r="CQ56" s="83">
        <f t="shared" si="43"/>
        <v>0</v>
      </c>
      <c r="CR56" s="83">
        <f t="shared" si="44"/>
        <v>0</v>
      </c>
      <c r="CS56" s="83">
        <f t="shared" si="45"/>
        <v>0</v>
      </c>
      <c r="CT56" s="84">
        <f t="shared" si="34"/>
        <v>0</v>
      </c>
      <c r="CU56" s="84">
        <f t="shared" si="67"/>
        <v>0</v>
      </c>
      <c r="CV56" s="84">
        <f t="shared" si="68"/>
        <v>0</v>
      </c>
      <c r="CW56" s="84">
        <f t="shared" si="69"/>
        <v>0</v>
      </c>
      <c r="CX56" s="84">
        <f t="shared" si="70"/>
        <v>0</v>
      </c>
      <c r="CY56" s="84">
        <f t="shared" si="71"/>
        <v>0</v>
      </c>
      <c r="CZ56" s="84">
        <f t="shared" si="72"/>
        <v>0</v>
      </c>
      <c r="DA56" s="84">
        <f t="shared" si="73"/>
        <v>0</v>
      </c>
      <c r="DB56" s="84">
        <f t="shared" si="74"/>
        <v>0</v>
      </c>
      <c r="DC56" s="84">
        <f t="shared" si="75"/>
        <v>0</v>
      </c>
      <c r="DD56" s="84">
        <f t="shared" si="76"/>
        <v>0</v>
      </c>
      <c r="DE56" s="84">
        <f t="shared" si="77"/>
        <v>0</v>
      </c>
      <c r="DF56" s="84">
        <f t="shared" si="78"/>
        <v>0</v>
      </c>
      <c r="DG56" s="84">
        <f t="shared" si="79"/>
        <v>0</v>
      </c>
      <c r="DH56" s="84">
        <f t="shared" si="80"/>
        <v>0</v>
      </c>
      <c r="DI56" s="84">
        <f t="shared" si="81"/>
        <v>0</v>
      </c>
      <c r="DJ56" s="84">
        <f t="shared" si="46"/>
        <v>0</v>
      </c>
      <c r="DK56" s="84">
        <f t="shared" si="47"/>
        <v>0</v>
      </c>
      <c r="DL56" s="84">
        <f t="shared" si="48"/>
        <v>0</v>
      </c>
      <c r="DM56" s="84">
        <f t="shared" si="49"/>
        <v>0</v>
      </c>
      <c r="DN56" s="84">
        <f t="shared" si="50"/>
        <v>0</v>
      </c>
      <c r="DR56" s="3">
        <f t="shared" si="37"/>
        <v>2035</v>
      </c>
      <c r="DS56" s="28">
        <v>0</v>
      </c>
      <c r="DT56" s="28">
        <f t="shared" si="39"/>
        <v>0</v>
      </c>
      <c r="DU56" s="28">
        <v>0</v>
      </c>
      <c r="DV56" s="28">
        <f t="shared" si="38"/>
        <v>0</v>
      </c>
      <c r="DW56" s="28">
        <v>0</v>
      </c>
      <c r="DY56" s="84">
        <f>DT56*TechnicalInputs!$B$144*TechnicalInputs!$B$134+TechnicalInputs!$B$135*TechnicalInputs!$B$145*TransactionCosts!DU56+TransactionCosts!DW56*TechnicalInputs!$B$136*TechnicalInputs!$B$146</f>
        <v>0</v>
      </c>
      <c r="DZ56" s="89">
        <f t="shared" si="35"/>
        <v>0</v>
      </c>
      <c r="EA56" s="39">
        <f>DZ56*TechnicalInputs!$B$90*TechnicalInputs!$D$5</f>
        <v>0</v>
      </c>
      <c r="EB56" s="49">
        <f>DT56*TechnicalInputs!$B$139*TechnicalInputs!$B$144+TechnicalInputs!$B$140*TechnicalInputs!$B$145*TransactionCosts!DU56+TransactionCosts!DW56*TechnicalInputs!$B$141*TechnicalInputs!$B$146</f>
        <v>0</v>
      </c>
      <c r="EC56" s="49">
        <f t="shared" si="36"/>
        <v>0</v>
      </c>
    </row>
    <row r="57" spans="1:133">
      <c r="A57" s="3" t="s">
        <v>207</v>
      </c>
      <c r="B57" s="65">
        <f t="shared" si="6"/>
        <v>0.1</v>
      </c>
      <c r="C57" s="3" t="s">
        <v>203</v>
      </c>
      <c r="D57" s="65">
        <f t="shared" si="84"/>
        <v>0.25</v>
      </c>
      <c r="E57" s="3">
        <v>4</v>
      </c>
      <c r="F57" s="65">
        <f>LOOKUP(E57,$C$23:$C$25,$D$23:$D$25)</f>
        <v>0.19999999999999996</v>
      </c>
      <c r="G57" s="3" t="s">
        <v>201</v>
      </c>
      <c r="H57" s="65">
        <v>1</v>
      </c>
      <c r="I57" s="65">
        <f t="shared" si="9"/>
        <v>4.9999999999999992E-3</v>
      </c>
      <c r="J57" s="3">
        <f>TechnicalInputs!$D$30</f>
        <v>3</v>
      </c>
      <c r="K57" s="3">
        <f>TechnicalInputs!$D$33</f>
        <v>1</v>
      </c>
      <c r="L57" s="3">
        <f t="shared" si="10"/>
        <v>4</v>
      </c>
      <c r="M57" s="1"/>
      <c r="N57" s="40">
        <f t="shared" si="83"/>
        <v>0</v>
      </c>
      <c r="O57" s="40">
        <f t="shared" si="51"/>
        <v>0</v>
      </c>
      <c r="P57" s="40">
        <f t="shared" si="51"/>
        <v>0</v>
      </c>
      <c r="Q57" s="40">
        <f t="shared" si="51"/>
        <v>0</v>
      </c>
      <c r="R57" s="40">
        <f t="shared" si="51"/>
        <v>0</v>
      </c>
      <c r="S57" s="40">
        <f t="shared" si="51"/>
        <v>0</v>
      </c>
      <c r="T57" s="40">
        <f t="shared" si="51"/>
        <v>0</v>
      </c>
      <c r="U57" s="40">
        <f t="shared" si="51"/>
        <v>0</v>
      </c>
      <c r="V57" s="40">
        <f t="shared" si="51"/>
        <v>0</v>
      </c>
      <c r="W57" s="40">
        <f t="shared" si="51"/>
        <v>0</v>
      </c>
      <c r="X57" s="40">
        <f t="shared" si="51"/>
        <v>0</v>
      </c>
      <c r="Y57" s="40">
        <f t="shared" si="51"/>
        <v>0</v>
      </c>
      <c r="Z57" s="40">
        <f t="shared" si="51"/>
        <v>0</v>
      </c>
      <c r="AA57" s="40">
        <f t="shared" si="51"/>
        <v>0</v>
      </c>
      <c r="AB57" s="40">
        <f t="shared" si="51"/>
        <v>0</v>
      </c>
      <c r="AC57" s="40">
        <f t="shared" si="51"/>
        <v>0</v>
      </c>
      <c r="AD57" s="40">
        <f t="shared" si="51"/>
        <v>0</v>
      </c>
      <c r="AE57" s="40">
        <f t="shared" si="40"/>
        <v>0</v>
      </c>
      <c r="AF57" s="40">
        <f t="shared" si="40"/>
        <v>0</v>
      </c>
      <c r="AG57" s="40">
        <f t="shared" si="40"/>
        <v>0</v>
      </c>
      <c r="AH57" s="40">
        <f t="shared" si="40"/>
        <v>0</v>
      </c>
      <c r="AI57" s="40">
        <f>(N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P$12*12</f>
        <v>63.6</v>
      </c>
      <c r="AJ57" s="40">
        <f>(O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Q$12*12</f>
        <v>51.6</v>
      </c>
      <c r="AK57" s="40">
        <f>(P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R$12*12</f>
        <v>39.6</v>
      </c>
      <c r="AL57" s="40">
        <f>(Q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S$12*12</f>
        <v>27.6</v>
      </c>
      <c r="AM57" s="40">
        <f>(R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T$12*12</f>
        <v>21.6</v>
      </c>
      <c r="AN57" s="40">
        <f>(S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U$12*12</f>
        <v>15.6</v>
      </c>
      <c r="AO57" s="40">
        <f>(T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V$12*12</f>
        <v>9.6</v>
      </c>
      <c r="AP57" s="40">
        <f>(U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W$12*12</f>
        <v>9.6</v>
      </c>
      <c r="AQ57" s="40">
        <f>(V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X$12*12</f>
        <v>9.6</v>
      </c>
      <c r="AR57" s="40">
        <f>(W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Y$12*12</f>
        <v>9.6</v>
      </c>
      <c r="AS57" s="40">
        <f>(X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Z$12*12</f>
        <v>9.6</v>
      </c>
      <c r="AT57" s="40">
        <f>(Y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AA$12*12</f>
        <v>9.6</v>
      </c>
      <c r="AU57" s="40">
        <f>(Z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AB$12*12</f>
        <v>9.6</v>
      </c>
      <c r="AV57" s="40">
        <f>(AA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AC$12*12</f>
        <v>9.6</v>
      </c>
      <c r="AW57" s="40">
        <f>(AB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AD$12*12</f>
        <v>9.6</v>
      </c>
      <c r="AX57" s="40">
        <f>(AC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AE$12*12</f>
        <v>9.6</v>
      </c>
      <c r="AY57" s="40">
        <f>(AD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AF$12*12</f>
        <v>9.6</v>
      </c>
      <c r="AZ57" s="40">
        <f>(AE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AG$12*12</f>
        <v>9.6</v>
      </c>
      <c r="BA57" s="40">
        <f>(AF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AH$12*12</f>
        <v>9.6</v>
      </c>
      <c r="BB57" s="40">
        <f>(AG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AI$12*12</f>
        <v>9.6</v>
      </c>
      <c r="BC57" s="40">
        <f>(AH57*IF($G57="credit",TechnicalInputs!$D$22,IF($G57="Debit",TechnicalInputs!$D$24,IF($G57="EFT",TechnicalInputs!$D$26,0)))+IF($G57="credit",TechnicalInputs!$D$21,IF($G57="debit",TechnicalInputs!$D$23,IF($G57="eft",TechnicalInputs!$D$25)))+IF(TransactionCosts!$C57="online",TechnicalInputs!$D$28,TechnicalInputs!$D$27))*$E57+AJ$12*12</f>
        <v>9.6</v>
      </c>
      <c r="BD57" s="28">
        <f t="shared" si="12"/>
        <v>0</v>
      </c>
      <c r="BE57" s="28">
        <f t="shared" si="13"/>
        <v>0</v>
      </c>
      <c r="BF57" s="28">
        <f t="shared" si="14"/>
        <v>0</v>
      </c>
      <c r="BG57" s="28">
        <f t="shared" si="15"/>
        <v>0</v>
      </c>
      <c r="BH57" s="28">
        <f t="shared" si="16"/>
        <v>0</v>
      </c>
      <c r="BI57" s="28">
        <f t="shared" si="17"/>
        <v>0</v>
      </c>
      <c r="BJ57" s="28">
        <f t="shared" si="18"/>
        <v>0</v>
      </c>
      <c r="BK57" s="28">
        <f t="shared" si="19"/>
        <v>0</v>
      </c>
      <c r="BL57" s="28">
        <f t="shared" si="20"/>
        <v>0</v>
      </c>
      <c r="BM57" s="28">
        <f t="shared" si="21"/>
        <v>0</v>
      </c>
      <c r="BN57" s="28">
        <f t="shared" si="22"/>
        <v>0</v>
      </c>
      <c r="BO57" s="28">
        <f t="shared" si="23"/>
        <v>0</v>
      </c>
      <c r="BP57" s="28">
        <f t="shared" si="24"/>
        <v>0</v>
      </c>
      <c r="BQ57" s="28">
        <f t="shared" si="25"/>
        <v>0</v>
      </c>
      <c r="BR57" s="28">
        <f t="shared" si="26"/>
        <v>0</v>
      </c>
      <c r="BS57" s="28">
        <f t="shared" si="27"/>
        <v>0</v>
      </c>
      <c r="BT57" s="28">
        <f t="shared" si="28"/>
        <v>0</v>
      </c>
      <c r="BU57" s="28">
        <f t="shared" si="29"/>
        <v>0</v>
      </c>
      <c r="BV57" s="28">
        <f t="shared" si="30"/>
        <v>0</v>
      </c>
      <c r="BW57" s="28">
        <f t="shared" si="31"/>
        <v>0</v>
      </c>
      <c r="BX57" s="28">
        <f t="shared" si="32"/>
        <v>0</v>
      </c>
      <c r="BY57" s="83">
        <f t="shared" si="33"/>
        <v>0</v>
      </c>
      <c r="BZ57" s="83">
        <f t="shared" si="52"/>
        <v>0</v>
      </c>
      <c r="CA57" s="83">
        <f t="shared" si="53"/>
        <v>0</v>
      </c>
      <c r="CB57" s="83">
        <f t="shared" si="54"/>
        <v>0</v>
      </c>
      <c r="CC57" s="83">
        <f t="shared" si="55"/>
        <v>0</v>
      </c>
      <c r="CD57" s="83">
        <f t="shared" si="56"/>
        <v>0</v>
      </c>
      <c r="CE57" s="83">
        <f t="shared" si="57"/>
        <v>0</v>
      </c>
      <c r="CF57" s="83">
        <f t="shared" si="58"/>
        <v>0</v>
      </c>
      <c r="CG57" s="83">
        <f t="shared" si="59"/>
        <v>0</v>
      </c>
      <c r="CH57" s="83">
        <f t="shared" si="60"/>
        <v>0</v>
      </c>
      <c r="CI57" s="83">
        <f t="shared" si="61"/>
        <v>0</v>
      </c>
      <c r="CJ57" s="83">
        <f t="shared" si="62"/>
        <v>0</v>
      </c>
      <c r="CK57" s="83">
        <f t="shared" si="63"/>
        <v>0</v>
      </c>
      <c r="CL57" s="83">
        <f t="shared" si="64"/>
        <v>0</v>
      </c>
      <c r="CM57" s="83">
        <f t="shared" si="65"/>
        <v>0</v>
      </c>
      <c r="CN57" s="83">
        <f t="shared" si="66"/>
        <v>0</v>
      </c>
      <c r="CO57" s="83">
        <f t="shared" si="41"/>
        <v>0</v>
      </c>
      <c r="CP57" s="83">
        <f t="shared" si="42"/>
        <v>0</v>
      </c>
      <c r="CQ57" s="83">
        <f t="shared" si="43"/>
        <v>0</v>
      </c>
      <c r="CR57" s="83">
        <f t="shared" si="44"/>
        <v>0</v>
      </c>
      <c r="CS57" s="83">
        <f t="shared" si="45"/>
        <v>0</v>
      </c>
      <c r="CT57" s="84">
        <f t="shared" si="34"/>
        <v>0</v>
      </c>
      <c r="CU57" s="84">
        <f t="shared" si="67"/>
        <v>0</v>
      </c>
      <c r="CV57" s="84">
        <f t="shared" si="68"/>
        <v>0</v>
      </c>
      <c r="CW57" s="84">
        <f t="shared" si="69"/>
        <v>0</v>
      </c>
      <c r="CX57" s="84">
        <f t="shared" si="70"/>
        <v>0</v>
      </c>
      <c r="CY57" s="84">
        <f t="shared" si="71"/>
        <v>0</v>
      </c>
      <c r="CZ57" s="84">
        <f t="shared" si="72"/>
        <v>0</v>
      </c>
      <c r="DA57" s="84">
        <f t="shared" si="73"/>
        <v>0</v>
      </c>
      <c r="DB57" s="84">
        <f t="shared" si="74"/>
        <v>0</v>
      </c>
      <c r="DC57" s="84">
        <f t="shared" si="75"/>
        <v>0</v>
      </c>
      <c r="DD57" s="84">
        <f t="shared" si="76"/>
        <v>0</v>
      </c>
      <c r="DE57" s="84">
        <f t="shared" si="77"/>
        <v>0</v>
      </c>
      <c r="DF57" s="84">
        <f t="shared" si="78"/>
        <v>0</v>
      </c>
      <c r="DG57" s="84">
        <f t="shared" si="79"/>
        <v>0</v>
      </c>
      <c r="DH57" s="84">
        <f t="shared" si="80"/>
        <v>0</v>
      </c>
      <c r="DI57" s="84">
        <f t="shared" si="81"/>
        <v>0</v>
      </c>
      <c r="DJ57" s="84">
        <f t="shared" si="46"/>
        <v>0</v>
      </c>
      <c r="DK57" s="84">
        <f t="shared" si="47"/>
        <v>0</v>
      </c>
      <c r="DL57" s="84">
        <f t="shared" si="48"/>
        <v>0</v>
      </c>
      <c r="DM57" s="84">
        <f t="shared" si="49"/>
        <v>0</v>
      </c>
      <c r="DN57" s="84">
        <f t="shared" si="50"/>
        <v>0</v>
      </c>
    </row>
    <row r="58" spans="1:133">
      <c r="A58" s="3" t="s">
        <v>207</v>
      </c>
      <c r="B58" s="65">
        <f t="shared" si="6"/>
        <v>0.1</v>
      </c>
      <c r="C58" s="3" t="s">
        <v>204</v>
      </c>
      <c r="D58" s="65">
        <f t="shared" si="84"/>
        <v>0.75</v>
      </c>
      <c r="E58" s="3">
        <v>1</v>
      </c>
      <c r="F58" s="65">
        <f>LOOKUP(E58,$C$26:$C$28,$D$26:$D$28)</f>
        <v>0.4</v>
      </c>
      <c r="G58" s="3" t="s">
        <v>198</v>
      </c>
      <c r="H58" s="65">
        <v>0.25</v>
      </c>
      <c r="I58" s="65">
        <f t="shared" si="9"/>
        <v>7.5000000000000015E-3</v>
      </c>
      <c r="J58" s="3">
        <f>TechnicalInputs!$D$31</f>
        <v>0</v>
      </c>
      <c r="K58" s="3">
        <f>TechnicalInputs!$D$34</f>
        <v>2</v>
      </c>
      <c r="L58" s="3">
        <f t="shared" si="10"/>
        <v>2</v>
      </c>
      <c r="M58" s="1"/>
      <c r="N58" s="40">
        <f t="shared" si="83"/>
        <v>0</v>
      </c>
      <c r="O58" s="40">
        <f t="shared" si="51"/>
        <v>0</v>
      </c>
      <c r="P58" s="40">
        <f t="shared" si="51"/>
        <v>0</v>
      </c>
      <c r="Q58" s="40">
        <f t="shared" si="51"/>
        <v>0</v>
      </c>
      <c r="R58" s="40">
        <f t="shared" si="51"/>
        <v>0</v>
      </c>
      <c r="S58" s="40">
        <f t="shared" si="51"/>
        <v>0</v>
      </c>
      <c r="T58" s="40">
        <f t="shared" si="51"/>
        <v>0</v>
      </c>
      <c r="U58" s="40">
        <f t="shared" si="51"/>
        <v>0</v>
      </c>
      <c r="V58" s="40">
        <f t="shared" si="51"/>
        <v>0</v>
      </c>
      <c r="W58" s="40">
        <f t="shared" si="51"/>
        <v>0</v>
      </c>
      <c r="X58" s="40">
        <f t="shared" si="51"/>
        <v>0</v>
      </c>
      <c r="Y58" s="40">
        <f t="shared" si="51"/>
        <v>0</v>
      </c>
      <c r="Z58" s="40">
        <f t="shared" si="51"/>
        <v>0</v>
      </c>
      <c r="AA58" s="40">
        <f t="shared" si="51"/>
        <v>0</v>
      </c>
      <c r="AB58" s="40">
        <f t="shared" si="51"/>
        <v>0</v>
      </c>
      <c r="AC58" s="40">
        <f t="shared" si="51"/>
        <v>0</v>
      </c>
      <c r="AD58" s="40">
        <f t="shared" si="51"/>
        <v>0</v>
      </c>
      <c r="AE58" s="40">
        <f t="shared" si="40"/>
        <v>0</v>
      </c>
      <c r="AF58" s="40">
        <f t="shared" si="40"/>
        <v>0</v>
      </c>
      <c r="AG58" s="40">
        <f t="shared" si="40"/>
        <v>0</v>
      </c>
      <c r="AH58" s="40">
        <f t="shared" si="40"/>
        <v>0</v>
      </c>
      <c r="AI58" s="40">
        <f>(N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P$12*12</f>
        <v>60.11</v>
      </c>
      <c r="AJ58" s="40">
        <f>(O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Q$12*12</f>
        <v>48.11</v>
      </c>
      <c r="AK58" s="40">
        <f>(P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R$12*12</f>
        <v>36.11</v>
      </c>
      <c r="AL58" s="40">
        <f>(Q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S$12*12</f>
        <v>24.11</v>
      </c>
      <c r="AM58" s="40">
        <f>(R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T$12*12</f>
        <v>18.11</v>
      </c>
      <c r="AN58" s="40">
        <f>(S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U$12*12</f>
        <v>12.11</v>
      </c>
      <c r="AO58" s="40">
        <f>(T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V$12*12</f>
        <v>6.11</v>
      </c>
      <c r="AP58" s="40">
        <f>(U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W$12*12</f>
        <v>6.11</v>
      </c>
      <c r="AQ58" s="40">
        <f>(V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X$12*12</f>
        <v>6.11</v>
      </c>
      <c r="AR58" s="40">
        <f>(W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Y$12*12</f>
        <v>6.11</v>
      </c>
      <c r="AS58" s="40">
        <f>(X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Z$12*12</f>
        <v>6.11</v>
      </c>
      <c r="AT58" s="40">
        <f>(Y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AA$12*12</f>
        <v>6.11</v>
      </c>
      <c r="AU58" s="40">
        <f>(Z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AB$12*12</f>
        <v>6.11</v>
      </c>
      <c r="AV58" s="40">
        <f>(AA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AC$12*12</f>
        <v>6.11</v>
      </c>
      <c r="AW58" s="40">
        <f>(AB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AD$12*12</f>
        <v>6.11</v>
      </c>
      <c r="AX58" s="40">
        <f>(AC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AE$12*12</f>
        <v>6.11</v>
      </c>
      <c r="AY58" s="40">
        <f>(AD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AF$12*12</f>
        <v>6.11</v>
      </c>
      <c r="AZ58" s="40">
        <f>(AE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AG$12*12</f>
        <v>6.11</v>
      </c>
      <c r="BA58" s="40">
        <f>(AF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AH$12*12</f>
        <v>6.11</v>
      </c>
      <c r="BB58" s="40">
        <f>(AG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AI$12*12</f>
        <v>6.11</v>
      </c>
      <c r="BC58" s="40">
        <f>(AH58*IF($G58="credit",TechnicalInputs!$D$22,IF($G58="Debit",TechnicalInputs!$D$24,IF($G58="EFT",TechnicalInputs!$D$26,0)))+IF($G58="credit",TechnicalInputs!$D$21,IF($G58="debit",TechnicalInputs!$D$23,IF($G58="eft",TechnicalInputs!$D$25)))+IF(TransactionCosts!$C58="online",TechnicalInputs!$D$28,TechnicalInputs!$D$27))*$E58+AJ$12*12</f>
        <v>6.11</v>
      </c>
      <c r="BD58" s="28">
        <f t="shared" si="12"/>
        <v>0</v>
      </c>
      <c r="BE58" s="28">
        <f t="shared" si="13"/>
        <v>0</v>
      </c>
      <c r="BF58" s="28">
        <f t="shared" si="14"/>
        <v>0</v>
      </c>
      <c r="BG58" s="28">
        <f t="shared" si="15"/>
        <v>0</v>
      </c>
      <c r="BH58" s="28">
        <f t="shared" si="16"/>
        <v>0</v>
      </c>
      <c r="BI58" s="28">
        <f t="shared" si="17"/>
        <v>0</v>
      </c>
      <c r="BJ58" s="28">
        <f t="shared" si="18"/>
        <v>0</v>
      </c>
      <c r="BK58" s="28">
        <f t="shared" si="19"/>
        <v>0</v>
      </c>
      <c r="BL58" s="28">
        <f t="shared" si="20"/>
        <v>0</v>
      </c>
      <c r="BM58" s="28">
        <f t="shared" si="21"/>
        <v>0</v>
      </c>
      <c r="BN58" s="28">
        <f t="shared" si="22"/>
        <v>0</v>
      </c>
      <c r="BO58" s="28">
        <f t="shared" si="23"/>
        <v>0</v>
      </c>
      <c r="BP58" s="28">
        <f t="shared" si="24"/>
        <v>0</v>
      </c>
      <c r="BQ58" s="28">
        <f t="shared" si="25"/>
        <v>0</v>
      </c>
      <c r="BR58" s="28">
        <f t="shared" si="26"/>
        <v>0</v>
      </c>
      <c r="BS58" s="28">
        <f t="shared" si="27"/>
        <v>0</v>
      </c>
      <c r="BT58" s="28">
        <f t="shared" si="28"/>
        <v>0</v>
      </c>
      <c r="BU58" s="28">
        <f t="shared" si="29"/>
        <v>0</v>
      </c>
      <c r="BV58" s="28">
        <f t="shared" si="30"/>
        <v>0</v>
      </c>
      <c r="BW58" s="28">
        <f t="shared" si="31"/>
        <v>0</v>
      </c>
      <c r="BX58" s="28">
        <f t="shared" si="32"/>
        <v>0</v>
      </c>
      <c r="BY58" s="83">
        <f t="shared" si="33"/>
        <v>0</v>
      </c>
      <c r="BZ58" s="83">
        <f t="shared" si="52"/>
        <v>0</v>
      </c>
      <c r="CA58" s="83">
        <f t="shared" si="53"/>
        <v>0</v>
      </c>
      <c r="CB58" s="83">
        <f t="shared" si="54"/>
        <v>0</v>
      </c>
      <c r="CC58" s="83">
        <f t="shared" si="55"/>
        <v>0</v>
      </c>
      <c r="CD58" s="83">
        <f t="shared" si="56"/>
        <v>0</v>
      </c>
      <c r="CE58" s="83">
        <f t="shared" si="57"/>
        <v>0</v>
      </c>
      <c r="CF58" s="83">
        <f t="shared" si="58"/>
        <v>0</v>
      </c>
      <c r="CG58" s="83">
        <f t="shared" si="59"/>
        <v>0</v>
      </c>
      <c r="CH58" s="83">
        <f t="shared" si="60"/>
        <v>0</v>
      </c>
      <c r="CI58" s="83">
        <f t="shared" si="61"/>
        <v>0</v>
      </c>
      <c r="CJ58" s="83">
        <f t="shared" si="62"/>
        <v>0</v>
      </c>
      <c r="CK58" s="83">
        <f t="shared" si="63"/>
        <v>0</v>
      </c>
      <c r="CL58" s="83">
        <f t="shared" si="64"/>
        <v>0</v>
      </c>
      <c r="CM58" s="83">
        <f t="shared" si="65"/>
        <v>0</v>
      </c>
      <c r="CN58" s="83">
        <f t="shared" si="66"/>
        <v>0</v>
      </c>
      <c r="CO58" s="83">
        <f t="shared" si="41"/>
        <v>0</v>
      </c>
      <c r="CP58" s="83">
        <f t="shared" si="42"/>
        <v>0</v>
      </c>
      <c r="CQ58" s="83">
        <f t="shared" si="43"/>
        <v>0</v>
      </c>
      <c r="CR58" s="83">
        <f t="shared" si="44"/>
        <v>0</v>
      </c>
      <c r="CS58" s="83">
        <f t="shared" si="45"/>
        <v>0</v>
      </c>
      <c r="CT58" s="84">
        <f t="shared" si="34"/>
        <v>0</v>
      </c>
      <c r="CU58" s="84">
        <f t="shared" si="67"/>
        <v>0</v>
      </c>
      <c r="CV58" s="84">
        <f t="shared" si="68"/>
        <v>0</v>
      </c>
      <c r="CW58" s="84">
        <f t="shared" si="69"/>
        <v>0</v>
      </c>
      <c r="CX58" s="84">
        <f t="shared" si="70"/>
        <v>0</v>
      </c>
      <c r="CY58" s="84">
        <f t="shared" si="71"/>
        <v>0</v>
      </c>
      <c r="CZ58" s="84">
        <f t="shared" si="72"/>
        <v>0</v>
      </c>
      <c r="DA58" s="84">
        <f t="shared" si="73"/>
        <v>0</v>
      </c>
      <c r="DB58" s="84">
        <f t="shared" si="74"/>
        <v>0</v>
      </c>
      <c r="DC58" s="84">
        <f t="shared" si="75"/>
        <v>0</v>
      </c>
      <c r="DD58" s="84">
        <f t="shared" si="76"/>
        <v>0</v>
      </c>
      <c r="DE58" s="84">
        <f t="shared" si="77"/>
        <v>0</v>
      </c>
      <c r="DF58" s="84">
        <f t="shared" si="78"/>
        <v>0</v>
      </c>
      <c r="DG58" s="84">
        <f t="shared" si="79"/>
        <v>0</v>
      </c>
      <c r="DH58" s="84">
        <f t="shared" si="80"/>
        <v>0</v>
      </c>
      <c r="DI58" s="84">
        <f t="shared" si="81"/>
        <v>0</v>
      </c>
      <c r="DJ58" s="84">
        <f t="shared" si="46"/>
        <v>0</v>
      </c>
      <c r="DK58" s="84">
        <f t="shared" si="47"/>
        <v>0</v>
      </c>
      <c r="DL58" s="84">
        <f t="shared" si="48"/>
        <v>0</v>
      </c>
      <c r="DM58" s="84">
        <f t="shared" si="49"/>
        <v>0</v>
      </c>
      <c r="DN58" s="84">
        <f t="shared" si="50"/>
        <v>0</v>
      </c>
    </row>
    <row r="59" spans="1:133">
      <c r="A59" s="3" t="s">
        <v>207</v>
      </c>
      <c r="B59" s="65">
        <f t="shared" si="6"/>
        <v>0.1</v>
      </c>
      <c r="C59" s="3" t="s">
        <v>204</v>
      </c>
      <c r="D59" s="65">
        <f t="shared" si="84"/>
        <v>0.75</v>
      </c>
      <c r="E59" s="3">
        <v>2</v>
      </c>
      <c r="F59" s="65">
        <f t="shared" ref="F59:F66" si="85">LOOKUP(E59,$C$26:$C$28,$D$26:$D$28)</f>
        <v>0.4</v>
      </c>
      <c r="G59" s="3" t="s">
        <v>198</v>
      </c>
      <c r="H59" s="65">
        <v>0.25</v>
      </c>
      <c r="I59" s="65">
        <f t="shared" si="9"/>
        <v>7.5000000000000015E-3</v>
      </c>
      <c r="J59" s="3">
        <f>TechnicalInputs!$D$31</f>
        <v>0</v>
      </c>
      <c r="K59" s="3">
        <f>TechnicalInputs!$D$34</f>
        <v>2</v>
      </c>
      <c r="L59" s="3">
        <f t="shared" si="10"/>
        <v>2</v>
      </c>
      <c r="M59" s="1"/>
      <c r="N59" s="40">
        <f t="shared" si="83"/>
        <v>0</v>
      </c>
      <c r="O59" s="40">
        <f t="shared" si="51"/>
        <v>0</v>
      </c>
      <c r="P59" s="40">
        <f t="shared" si="51"/>
        <v>0</v>
      </c>
      <c r="Q59" s="40">
        <f t="shared" si="51"/>
        <v>0</v>
      </c>
      <c r="R59" s="40">
        <f t="shared" si="51"/>
        <v>0</v>
      </c>
      <c r="S59" s="40">
        <f t="shared" si="51"/>
        <v>0</v>
      </c>
      <c r="T59" s="40">
        <f t="shared" si="51"/>
        <v>0</v>
      </c>
      <c r="U59" s="40">
        <f t="shared" si="51"/>
        <v>0</v>
      </c>
      <c r="V59" s="40">
        <f t="shared" si="51"/>
        <v>0</v>
      </c>
      <c r="W59" s="40">
        <f t="shared" si="51"/>
        <v>0</v>
      </c>
      <c r="X59" s="40">
        <f t="shared" si="51"/>
        <v>0</v>
      </c>
      <c r="Y59" s="40">
        <f t="shared" si="51"/>
        <v>0</v>
      </c>
      <c r="Z59" s="40">
        <f t="shared" si="51"/>
        <v>0</v>
      </c>
      <c r="AA59" s="40">
        <f t="shared" si="51"/>
        <v>0</v>
      </c>
      <c r="AB59" s="40">
        <f t="shared" si="51"/>
        <v>0</v>
      </c>
      <c r="AC59" s="40">
        <f t="shared" si="51"/>
        <v>0</v>
      </c>
      <c r="AD59" s="40">
        <f t="shared" ref="AD59:AH67" si="86">AF$10/$E59</f>
        <v>0</v>
      </c>
      <c r="AE59" s="40">
        <f t="shared" si="86"/>
        <v>0</v>
      </c>
      <c r="AF59" s="40">
        <f t="shared" si="86"/>
        <v>0</v>
      </c>
      <c r="AG59" s="40">
        <f t="shared" si="86"/>
        <v>0</v>
      </c>
      <c r="AH59" s="40">
        <f t="shared" si="86"/>
        <v>0</v>
      </c>
      <c r="AI59" s="40">
        <f>(N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P$12*12</f>
        <v>60.22</v>
      </c>
      <c r="AJ59" s="40">
        <f>(O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Q$12*12</f>
        <v>48.22</v>
      </c>
      <c r="AK59" s="40">
        <f>(P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R$12*12</f>
        <v>36.22</v>
      </c>
      <c r="AL59" s="40">
        <f>(Q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S$12*12</f>
        <v>24.22</v>
      </c>
      <c r="AM59" s="40">
        <f>(R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T$12*12</f>
        <v>18.22</v>
      </c>
      <c r="AN59" s="40">
        <f>(S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U$12*12</f>
        <v>12.22</v>
      </c>
      <c r="AO59" s="40">
        <f>(T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V$12*12</f>
        <v>6.22</v>
      </c>
      <c r="AP59" s="40">
        <f>(U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W$12*12</f>
        <v>6.22</v>
      </c>
      <c r="AQ59" s="40">
        <f>(V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X$12*12</f>
        <v>6.22</v>
      </c>
      <c r="AR59" s="40">
        <f>(W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Y$12*12</f>
        <v>6.22</v>
      </c>
      <c r="AS59" s="40">
        <f>(X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Z$12*12</f>
        <v>6.22</v>
      </c>
      <c r="AT59" s="40">
        <f>(Y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AA$12*12</f>
        <v>6.22</v>
      </c>
      <c r="AU59" s="40">
        <f>(Z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AB$12*12</f>
        <v>6.22</v>
      </c>
      <c r="AV59" s="40">
        <f>(AA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AC$12*12</f>
        <v>6.22</v>
      </c>
      <c r="AW59" s="40">
        <f>(AB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AD$12*12</f>
        <v>6.22</v>
      </c>
      <c r="AX59" s="40">
        <f>(AC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AE$12*12</f>
        <v>6.22</v>
      </c>
      <c r="AY59" s="40">
        <f>(AD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AF$12*12</f>
        <v>6.22</v>
      </c>
      <c r="AZ59" s="40">
        <f>(AE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AG$12*12</f>
        <v>6.22</v>
      </c>
      <c r="BA59" s="40">
        <f>(AF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AH$12*12</f>
        <v>6.22</v>
      </c>
      <c r="BB59" s="40">
        <f>(AG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AI$12*12</f>
        <v>6.22</v>
      </c>
      <c r="BC59" s="40">
        <f>(AH59*IF($G59="credit",TechnicalInputs!$D$22,IF($G59="Debit",TechnicalInputs!$D$24,IF($G59="EFT",TechnicalInputs!$D$26,0)))+IF($G59="credit",TechnicalInputs!$D$21,IF($G59="debit",TechnicalInputs!$D$23,IF($G59="eft",TechnicalInputs!$D$25)))+IF(TransactionCosts!$C59="online",TechnicalInputs!$D$28,TechnicalInputs!$D$27))*$E59+AJ$12*12</f>
        <v>6.22</v>
      </c>
      <c r="BD59" s="28">
        <f t="shared" si="12"/>
        <v>0</v>
      </c>
      <c r="BE59" s="28">
        <f t="shared" si="13"/>
        <v>0</v>
      </c>
      <c r="BF59" s="28">
        <f t="shared" si="14"/>
        <v>0</v>
      </c>
      <c r="BG59" s="28">
        <f t="shared" si="15"/>
        <v>0</v>
      </c>
      <c r="BH59" s="28">
        <f t="shared" si="16"/>
        <v>0</v>
      </c>
      <c r="BI59" s="28">
        <f t="shared" si="17"/>
        <v>0</v>
      </c>
      <c r="BJ59" s="28">
        <f t="shared" si="18"/>
        <v>0</v>
      </c>
      <c r="BK59" s="28">
        <f t="shared" si="19"/>
        <v>0</v>
      </c>
      <c r="BL59" s="28">
        <f t="shared" si="20"/>
        <v>0</v>
      </c>
      <c r="BM59" s="28">
        <f t="shared" si="21"/>
        <v>0</v>
      </c>
      <c r="BN59" s="28">
        <f t="shared" si="22"/>
        <v>0</v>
      </c>
      <c r="BO59" s="28">
        <f t="shared" si="23"/>
        <v>0</v>
      </c>
      <c r="BP59" s="28">
        <f t="shared" si="24"/>
        <v>0</v>
      </c>
      <c r="BQ59" s="28">
        <f t="shared" si="25"/>
        <v>0</v>
      </c>
      <c r="BR59" s="28">
        <f t="shared" si="26"/>
        <v>0</v>
      </c>
      <c r="BS59" s="28">
        <f t="shared" si="27"/>
        <v>0</v>
      </c>
      <c r="BT59" s="28">
        <f t="shared" si="28"/>
        <v>0</v>
      </c>
      <c r="BU59" s="28">
        <f t="shared" si="29"/>
        <v>0</v>
      </c>
      <c r="BV59" s="28">
        <f t="shared" si="30"/>
        <v>0</v>
      </c>
      <c r="BW59" s="28">
        <f t="shared" si="31"/>
        <v>0</v>
      </c>
      <c r="BX59" s="28">
        <f t="shared" si="32"/>
        <v>0</v>
      </c>
      <c r="BY59" s="83">
        <f t="shared" si="33"/>
        <v>0</v>
      </c>
      <c r="BZ59" s="83">
        <f t="shared" si="52"/>
        <v>0</v>
      </c>
      <c r="CA59" s="83">
        <f t="shared" si="53"/>
        <v>0</v>
      </c>
      <c r="CB59" s="83">
        <f t="shared" si="54"/>
        <v>0</v>
      </c>
      <c r="CC59" s="83">
        <f t="shared" si="55"/>
        <v>0</v>
      </c>
      <c r="CD59" s="83">
        <f t="shared" si="56"/>
        <v>0</v>
      </c>
      <c r="CE59" s="83">
        <f t="shared" si="57"/>
        <v>0</v>
      </c>
      <c r="CF59" s="83">
        <f t="shared" si="58"/>
        <v>0</v>
      </c>
      <c r="CG59" s="83">
        <f t="shared" si="59"/>
        <v>0</v>
      </c>
      <c r="CH59" s="83">
        <f t="shared" si="60"/>
        <v>0</v>
      </c>
      <c r="CI59" s="83">
        <f t="shared" si="61"/>
        <v>0</v>
      </c>
      <c r="CJ59" s="83">
        <f t="shared" si="62"/>
        <v>0</v>
      </c>
      <c r="CK59" s="83">
        <f t="shared" si="63"/>
        <v>0</v>
      </c>
      <c r="CL59" s="83">
        <f t="shared" si="64"/>
        <v>0</v>
      </c>
      <c r="CM59" s="83">
        <f t="shared" si="65"/>
        <v>0</v>
      </c>
      <c r="CN59" s="83">
        <f t="shared" si="66"/>
        <v>0</v>
      </c>
      <c r="CO59" s="83">
        <f t="shared" si="41"/>
        <v>0</v>
      </c>
      <c r="CP59" s="83">
        <f t="shared" si="42"/>
        <v>0</v>
      </c>
      <c r="CQ59" s="83">
        <f t="shared" si="43"/>
        <v>0</v>
      </c>
      <c r="CR59" s="83">
        <f t="shared" si="44"/>
        <v>0</v>
      </c>
      <c r="CS59" s="83">
        <f t="shared" si="45"/>
        <v>0</v>
      </c>
      <c r="CT59" s="84">
        <f t="shared" si="34"/>
        <v>0</v>
      </c>
      <c r="CU59" s="84">
        <f t="shared" si="67"/>
        <v>0</v>
      </c>
      <c r="CV59" s="84">
        <f t="shared" si="68"/>
        <v>0</v>
      </c>
      <c r="CW59" s="84">
        <f t="shared" si="69"/>
        <v>0</v>
      </c>
      <c r="CX59" s="84">
        <f t="shared" si="70"/>
        <v>0</v>
      </c>
      <c r="CY59" s="84">
        <f t="shared" si="71"/>
        <v>0</v>
      </c>
      <c r="CZ59" s="84">
        <f t="shared" si="72"/>
        <v>0</v>
      </c>
      <c r="DA59" s="84">
        <f t="shared" si="73"/>
        <v>0</v>
      </c>
      <c r="DB59" s="84">
        <f t="shared" si="74"/>
        <v>0</v>
      </c>
      <c r="DC59" s="84">
        <f t="shared" si="75"/>
        <v>0</v>
      </c>
      <c r="DD59" s="84">
        <f t="shared" si="76"/>
        <v>0</v>
      </c>
      <c r="DE59" s="84">
        <f t="shared" si="77"/>
        <v>0</v>
      </c>
      <c r="DF59" s="84">
        <f t="shared" si="78"/>
        <v>0</v>
      </c>
      <c r="DG59" s="84">
        <f t="shared" si="79"/>
        <v>0</v>
      </c>
      <c r="DH59" s="84">
        <f t="shared" si="80"/>
        <v>0</v>
      </c>
      <c r="DI59" s="84">
        <f t="shared" si="81"/>
        <v>0</v>
      </c>
      <c r="DJ59" s="84">
        <f t="shared" si="46"/>
        <v>0</v>
      </c>
      <c r="DK59" s="84">
        <f t="shared" si="47"/>
        <v>0</v>
      </c>
      <c r="DL59" s="84">
        <f t="shared" si="48"/>
        <v>0</v>
      </c>
      <c r="DM59" s="84">
        <f t="shared" si="49"/>
        <v>0</v>
      </c>
      <c r="DN59" s="84">
        <f t="shared" si="50"/>
        <v>0</v>
      </c>
    </row>
    <row r="60" spans="1:133">
      <c r="A60" s="3" t="s">
        <v>207</v>
      </c>
      <c r="B60" s="65">
        <f t="shared" si="6"/>
        <v>0.1</v>
      </c>
      <c r="C60" s="3" t="s">
        <v>204</v>
      </c>
      <c r="D60" s="65">
        <f t="shared" si="84"/>
        <v>0.75</v>
      </c>
      <c r="E60" s="3">
        <v>4</v>
      </c>
      <c r="F60" s="65">
        <f t="shared" si="85"/>
        <v>0.19999999999999996</v>
      </c>
      <c r="G60" s="3" t="s">
        <v>198</v>
      </c>
      <c r="H60" s="65">
        <v>0.25</v>
      </c>
      <c r="I60" s="65">
        <f t="shared" si="9"/>
        <v>3.7499999999999999E-3</v>
      </c>
      <c r="J60" s="3">
        <f>TechnicalInputs!$D$31</f>
        <v>0</v>
      </c>
      <c r="K60" s="3">
        <f>TechnicalInputs!$D$34</f>
        <v>2</v>
      </c>
      <c r="L60" s="3">
        <f t="shared" si="10"/>
        <v>2</v>
      </c>
      <c r="M60" s="1"/>
      <c r="N60" s="40">
        <f t="shared" si="83"/>
        <v>0</v>
      </c>
      <c r="O60" s="40">
        <f t="shared" ref="O60:AD67" si="87">Q$10/$E60</f>
        <v>0</v>
      </c>
      <c r="P60" s="40">
        <f t="shared" si="87"/>
        <v>0</v>
      </c>
      <c r="Q60" s="40">
        <f t="shared" si="87"/>
        <v>0</v>
      </c>
      <c r="R60" s="40">
        <f t="shared" si="87"/>
        <v>0</v>
      </c>
      <c r="S60" s="40">
        <f t="shared" si="87"/>
        <v>0</v>
      </c>
      <c r="T60" s="40">
        <f t="shared" si="87"/>
        <v>0</v>
      </c>
      <c r="U60" s="40">
        <f t="shared" si="87"/>
        <v>0</v>
      </c>
      <c r="V60" s="40">
        <f t="shared" si="87"/>
        <v>0</v>
      </c>
      <c r="W60" s="40">
        <f t="shared" si="87"/>
        <v>0</v>
      </c>
      <c r="X60" s="40">
        <f t="shared" si="87"/>
        <v>0</v>
      </c>
      <c r="Y60" s="40">
        <f t="shared" si="87"/>
        <v>0</v>
      </c>
      <c r="Z60" s="40">
        <f t="shared" si="87"/>
        <v>0</v>
      </c>
      <c r="AA60" s="40">
        <f t="shared" si="87"/>
        <v>0</v>
      </c>
      <c r="AB60" s="40">
        <f t="shared" si="87"/>
        <v>0</v>
      </c>
      <c r="AC60" s="40">
        <f t="shared" si="87"/>
        <v>0</v>
      </c>
      <c r="AD60" s="40">
        <f t="shared" si="87"/>
        <v>0</v>
      </c>
      <c r="AE60" s="40">
        <f t="shared" si="86"/>
        <v>0</v>
      </c>
      <c r="AF60" s="40">
        <f t="shared" si="86"/>
        <v>0</v>
      </c>
      <c r="AG60" s="40">
        <f t="shared" si="86"/>
        <v>0</v>
      </c>
      <c r="AH60" s="40">
        <f t="shared" si="86"/>
        <v>0</v>
      </c>
      <c r="AI60" s="40">
        <f>(N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P$12*12</f>
        <v>60.44</v>
      </c>
      <c r="AJ60" s="40">
        <f>(O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Q$12*12</f>
        <v>48.44</v>
      </c>
      <c r="AK60" s="40">
        <f>(P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R$12*12</f>
        <v>36.44</v>
      </c>
      <c r="AL60" s="40">
        <f>(Q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S$12*12</f>
        <v>24.44</v>
      </c>
      <c r="AM60" s="40">
        <f>(R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T$12*12</f>
        <v>18.440000000000001</v>
      </c>
      <c r="AN60" s="40">
        <f>(S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U$12*12</f>
        <v>12.44</v>
      </c>
      <c r="AO60" s="40">
        <f>(T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V$12*12</f>
        <v>6.44</v>
      </c>
      <c r="AP60" s="40">
        <f>(U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W$12*12</f>
        <v>6.44</v>
      </c>
      <c r="AQ60" s="40">
        <f>(V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X$12*12</f>
        <v>6.44</v>
      </c>
      <c r="AR60" s="40">
        <f>(W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Y$12*12</f>
        <v>6.44</v>
      </c>
      <c r="AS60" s="40">
        <f>(X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Z$12*12</f>
        <v>6.44</v>
      </c>
      <c r="AT60" s="40">
        <f>(Y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AA$12*12</f>
        <v>6.44</v>
      </c>
      <c r="AU60" s="40">
        <f>(Z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AB$12*12</f>
        <v>6.44</v>
      </c>
      <c r="AV60" s="40">
        <f>(AA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AC$12*12</f>
        <v>6.44</v>
      </c>
      <c r="AW60" s="40">
        <f>(AB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AD$12*12</f>
        <v>6.44</v>
      </c>
      <c r="AX60" s="40">
        <f>(AC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AE$12*12</f>
        <v>6.44</v>
      </c>
      <c r="AY60" s="40">
        <f>(AD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AF$12*12</f>
        <v>6.44</v>
      </c>
      <c r="AZ60" s="40">
        <f>(AE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AG$12*12</f>
        <v>6.44</v>
      </c>
      <c r="BA60" s="40">
        <f>(AF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AH$12*12</f>
        <v>6.44</v>
      </c>
      <c r="BB60" s="40">
        <f>(AG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AI$12*12</f>
        <v>6.44</v>
      </c>
      <c r="BC60" s="40">
        <f>(AH60*IF($G60="credit",TechnicalInputs!$D$22,IF($G60="Debit",TechnicalInputs!$D$24,IF($G60="EFT",TechnicalInputs!$D$26,0)))+IF($G60="credit",TechnicalInputs!$D$21,IF($G60="debit",TechnicalInputs!$D$23,IF($G60="eft",TechnicalInputs!$D$25)))+IF(TransactionCosts!$C60="online",TechnicalInputs!$D$28,TechnicalInputs!$D$27))*$E60+AJ$12*12</f>
        <v>6.44</v>
      </c>
      <c r="BD60" s="28">
        <f t="shared" si="12"/>
        <v>0</v>
      </c>
      <c r="BE60" s="28">
        <f t="shared" si="13"/>
        <v>0</v>
      </c>
      <c r="BF60" s="28">
        <f t="shared" si="14"/>
        <v>0</v>
      </c>
      <c r="BG60" s="28">
        <f t="shared" si="15"/>
        <v>0</v>
      </c>
      <c r="BH60" s="28">
        <f t="shared" si="16"/>
        <v>0</v>
      </c>
      <c r="BI60" s="28">
        <f t="shared" si="17"/>
        <v>0</v>
      </c>
      <c r="BJ60" s="28">
        <f t="shared" si="18"/>
        <v>0</v>
      </c>
      <c r="BK60" s="28">
        <f t="shared" si="19"/>
        <v>0</v>
      </c>
      <c r="BL60" s="28">
        <f t="shared" si="20"/>
        <v>0</v>
      </c>
      <c r="BM60" s="28">
        <f t="shared" si="21"/>
        <v>0</v>
      </c>
      <c r="BN60" s="28">
        <f t="shared" si="22"/>
        <v>0</v>
      </c>
      <c r="BO60" s="28">
        <f t="shared" si="23"/>
        <v>0</v>
      </c>
      <c r="BP60" s="28">
        <f t="shared" si="24"/>
        <v>0</v>
      </c>
      <c r="BQ60" s="28">
        <f t="shared" si="25"/>
        <v>0</v>
      </c>
      <c r="BR60" s="28">
        <f t="shared" si="26"/>
        <v>0</v>
      </c>
      <c r="BS60" s="28">
        <f t="shared" si="27"/>
        <v>0</v>
      </c>
      <c r="BT60" s="28">
        <f t="shared" si="28"/>
        <v>0</v>
      </c>
      <c r="BU60" s="28">
        <f t="shared" si="29"/>
        <v>0</v>
      </c>
      <c r="BV60" s="28">
        <f t="shared" si="30"/>
        <v>0</v>
      </c>
      <c r="BW60" s="28">
        <f t="shared" si="31"/>
        <v>0</v>
      </c>
      <c r="BX60" s="28">
        <f t="shared" si="32"/>
        <v>0</v>
      </c>
      <c r="BY60" s="83">
        <f t="shared" si="33"/>
        <v>0</v>
      </c>
      <c r="BZ60" s="83">
        <f t="shared" si="52"/>
        <v>0</v>
      </c>
      <c r="CA60" s="83">
        <f t="shared" si="53"/>
        <v>0</v>
      </c>
      <c r="CB60" s="83">
        <f t="shared" si="54"/>
        <v>0</v>
      </c>
      <c r="CC60" s="83">
        <f t="shared" si="55"/>
        <v>0</v>
      </c>
      <c r="CD60" s="83">
        <f t="shared" si="56"/>
        <v>0</v>
      </c>
      <c r="CE60" s="83">
        <f t="shared" si="57"/>
        <v>0</v>
      </c>
      <c r="CF60" s="83">
        <f t="shared" si="58"/>
        <v>0</v>
      </c>
      <c r="CG60" s="83">
        <f t="shared" si="59"/>
        <v>0</v>
      </c>
      <c r="CH60" s="83">
        <f t="shared" si="60"/>
        <v>0</v>
      </c>
      <c r="CI60" s="83">
        <f t="shared" si="61"/>
        <v>0</v>
      </c>
      <c r="CJ60" s="83">
        <f t="shared" si="62"/>
        <v>0</v>
      </c>
      <c r="CK60" s="83">
        <f t="shared" si="63"/>
        <v>0</v>
      </c>
      <c r="CL60" s="83">
        <f t="shared" si="64"/>
        <v>0</v>
      </c>
      <c r="CM60" s="83">
        <f t="shared" si="65"/>
        <v>0</v>
      </c>
      <c r="CN60" s="83">
        <f t="shared" si="66"/>
        <v>0</v>
      </c>
      <c r="CO60" s="83">
        <f t="shared" si="41"/>
        <v>0</v>
      </c>
      <c r="CP60" s="83">
        <f t="shared" si="42"/>
        <v>0</v>
      </c>
      <c r="CQ60" s="83">
        <f t="shared" si="43"/>
        <v>0</v>
      </c>
      <c r="CR60" s="83">
        <f t="shared" si="44"/>
        <v>0</v>
      </c>
      <c r="CS60" s="83">
        <f t="shared" si="45"/>
        <v>0</v>
      </c>
      <c r="CT60" s="84">
        <f t="shared" si="34"/>
        <v>0</v>
      </c>
      <c r="CU60" s="84">
        <f t="shared" si="67"/>
        <v>0</v>
      </c>
      <c r="CV60" s="84">
        <f t="shared" si="68"/>
        <v>0</v>
      </c>
      <c r="CW60" s="84">
        <f t="shared" si="69"/>
        <v>0</v>
      </c>
      <c r="CX60" s="84">
        <f t="shared" si="70"/>
        <v>0</v>
      </c>
      <c r="CY60" s="84">
        <f t="shared" si="71"/>
        <v>0</v>
      </c>
      <c r="CZ60" s="84">
        <f t="shared" si="72"/>
        <v>0</v>
      </c>
      <c r="DA60" s="84">
        <f t="shared" si="73"/>
        <v>0</v>
      </c>
      <c r="DB60" s="84">
        <f t="shared" si="74"/>
        <v>0</v>
      </c>
      <c r="DC60" s="84">
        <f t="shared" si="75"/>
        <v>0</v>
      </c>
      <c r="DD60" s="84">
        <f t="shared" si="76"/>
        <v>0</v>
      </c>
      <c r="DE60" s="84">
        <f t="shared" si="77"/>
        <v>0</v>
      </c>
      <c r="DF60" s="84">
        <f t="shared" si="78"/>
        <v>0</v>
      </c>
      <c r="DG60" s="84">
        <f t="shared" si="79"/>
        <v>0</v>
      </c>
      <c r="DH60" s="84">
        <f t="shared" si="80"/>
        <v>0</v>
      </c>
      <c r="DI60" s="84">
        <f t="shared" si="81"/>
        <v>0</v>
      </c>
      <c r="DJ60" s="84">
        <f t="shared" si="46"/>
        <v>0</v>
      </c>
      <c r="DK60" s="84">
        <f t="shared" si="47"/>
        <v>0</v>
      </c>
      <c r="DL60" s="84">
        <f t="shared" si="48"/>
        <v>0</v>
      </c>
      <c r="DM60" s="84">
        <f t="shared" si="49"/>
        <v>0</v>
      </c>
      <c r="DN60" s="84">
        <f t="shared" si="50"/>
        <v>0</v>
      </c>
    </row>
    <row r="61" spans="1:133">
      <c r="A61" s="3" t="s">
        <v>207</v>
      </c>
      <c r="B61" s="65">
        <f t="shared" si="6"/>
        <v>0.1</v>
      </c>
      <c r="C61" s="3" t="s">
        <v>204</v>
      </c>
      <c r="D61" s="65">
        <f t="shared" si="84"/>
        <v>0.75</v>
      </c>
      <c r="E61" s="3">
        <v>1</v>
      </c>
      <c r="F61" s="65">
        <f t="shared" si="85"/>
        <v>0.4</v>
      </c>
      <c r="G61" s="3" t="s">
        <v>199</v>
      </c>
      <c r="H61" s="65">
        <v>0.5</v>
      </c>
      <c r="I61" s="65">
        <f t="shared" si="9"/>
        <v>1.5000000000000003E-2</v>
      </c>
      <c r="J61" s="3">
        <f>TechnicalInputs!$D$31</f>
        <v>0</v>
      </c>
      <c r="K61" s="3">
        <f>TechnicalInputs!$D$34</f>
        <v>2</v>
      </c>
      <c r="L61" s="3">
        <f t="shared" si="10"/>
        <v>2</v>
      </c>
      <c r="M61" s="1"/>
      <c r="N61" s="40">
        <f t="shared" si="83"/>
        <v>0</v>
      </c>
      <c r="O61" s="40">
        <f t="shared" si="87"/>
        <v>0</v>
      </c>
      <c r="P61" s="40">
        <f t="shared" si="87"/>
        <v>0</v>
      </c>
      <c r="Q61" s="40">
        <f t="shared" si="87"/>
        <v>0</v>
      </c>
      <c r="R61" s="40">
        <f t="shared" si="87"/>
        <v>0</v>
      </c>
      <c r="S61" s="40">
        <f t="shared" si="87"/>
        <v>0</v>
      </c>
      <c r="T61" s="40">
        <f t="shared" si="87"/>
        <v>0</v>
      </c>
      <c r="U61" s="40">
        <f t="shared" si="87"/>
        <v>0</v>
      </c>
      <c r="V61" s="40">
        <f t="shared" si="87"/>
        <v>0</v>
      </c>
      <c r="W61" s="40">
        <f t="shared" si="87"/>
        <v>0</v>
      </c>
      <c r="X61" s="40">
        <f t="shared" si="87"/>
        <v>0</v>
      </c>
      <c r="Y61" s="40">
        <f t="shared" si="87"/>
        <v>0</v>
      </c>
      <c r="Z61" s="40">
        <f t="shared" si="87"/>
        <v>0</v>
      </c>
      <c r="AA61" s="40">
        <f t="shared" si="87"/>
        <v>0</v>
      </c>
      <c r="AB61" s="40">
        <f t="shared" si="87"/>
        <v>0</v>
      </c>
      <c r="AC61" s="40">
        <f t="shared" si="87"/>
        <v>0</v>
      </c>
      <c r="AD61" s="40">
        <f t="shared" si="87"/>
        <v>0</v>
      </c>
      <c r="AE61" s="40">
        <f t="shared" si="86"/>
        <v>0</v>
      </c>
      <c r="AF61" s="40">
        <f t="shared" si="86"/>
        <v>0</v>
      </c>
      <c r="AG61" s="40">
        <f t="shared" si="86"/>
        <v>0</v>
      </c>
      <c r="AH61" s="40">
        <f t="shared" si="86"/>
        <v>0</v>
      </c>
      <c r="AI61" s="40">
        <f>(N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P$12*12</f>
        <v>60.11</v>
      </c>
      <c r="AJ61" s="40">
        <f>(O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Q$12*12</f>
        <v>48.11</v>
      </c>
      <c r="AK61" s="40">
        <f>(P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R$12*12</f>
        <v>36.11</v>
      </c>
      <c r="AL61" s="40">
        <f>(Q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S$12*12</f>
        <v>24.11</v>
      </c>
      <c r="AM61" s="40">
        <f>(R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T$12*12</f>
        <v>18.11</v>
      </c>
      <c r="AN61" s="40">
        <f>(S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U$12*12</f>
        <v>12.11</v>
      </c>
      <c r="AO61" s="40">
        <f>(T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V$12*12</f>
        <v>6.11</v>
      </c>
      <c r="AP61" s="40">
        <f>(U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W$12*12</f>
        <v>6.11</v>
      </c>
      <c r="AQ61" s="40">
        <f>(V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X$12*12</f>
        <v>6.11</v>
      </c>
      <c r="AR61" s="40">
        <f>(W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Y$12*12</f>
        <v>6.11</v>
      </c>
      <c r="AS61" s="40">
        <f>(X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Z$12*12</f>
        <v>6.11</v>
      </c>
      <c r="AT61" s="40">
        <f>(Y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AA$12*12</f>
        <v>6.11</v>
      </c>
      <c r="AU61" s="40">
        <f>(Z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AB$12*12</f>
        <v>6.11</v>
      </c>
      <c r="AV61" s="40">
        <f>(AA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AC$12*12</f>
        <v>6.11</v>
      </c>
      <c r="AW61" s="40">
        <f>(AB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AD$12*12</f>
        <v>6.11</v>
      </c>
      <c r="AX61" s="40">
        <f>(AC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AE$12*12</f>
        <v>6.11</v>
      </c>
      <c r="AY61" s="40">
        <f>(AD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AF$12*12</f>
        <v>6.11</v>
      </c>
      <c r="AZ61" s="40">
        <f>(AE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AG$12*12</f>
        <v>6.11</v>
      </c>
      <c r="BA61" s="40">
        <f>(AF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AH$12*12</f>
        <v>6.11</v>
      </c>
      <c r="BB61" s="40">
        <f>(AG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AI$12*12</f>
        <v>6.11</v>
      </c>
      <c r="BC61" s="40">
        <f>(AH61*IF($G61="credit",TechnicalInputs!$D$22,IF($G61="Debit",TechnicalInputs!$D$24,IF($G61="EFT",TechnicalInputs!$D$26,0)))+IF($G61="credit",TechnicalInputs!$D$21,IF($G61="debit",TechnicalInputs!$D$23,IF($G61="eft",TechnicalInputs!$D$25)))+IF(TransactionCosts!$C61="online",TechnicalInputs!$D$28,TechnicalInputs!$D$27))*$E61+AJ$12*12</f>
        <v>6.11</v>
      </c>
      <c r="BD61" s="28">
        <f t="shared" si="12"/>
        <v>0</v>
      </c>
      <c r="BE61" s="28">
        <f t="shared" si="13"/>
        <v>0</v>
      </c>
      <c r="BF61" s="28">
        <f t="shared" si="14"/>
        <v>0</v>
      </c>
      <c r="BG61" s="28">
        <f t="shared" si="15"/>
        <v>0</v>
      </c>
      <c r="BH61" s="28">
        <f t="shared" si="16"/>
        <v>0</v>
      </c>
      <c r="BI61" s="28">
        <f t="shared" si="17"/>
        <v>0</v>
      </c>
      <c r="BJ61" s="28">
        <f t="shared" si="18"/>
        <v>0</v>
      </c>
      <c r="BK61" s="28">
        <f t="shared" si="19"/>
        <v>0</v>
      </c>
      <c r="BL61" s="28">
        <f t="shared" si="20"/>
        <v>0</v>
      </c>
      <c r="BM61" s="28">
        <f t="shared" si="21"/>
        <v>0</v>
      </c>
      <c r="BN61" s="28">
        <f t="shared" si="22"/>
        <v>0</v>
      </c>
      <c r="BO61" s="28">
        <f t="shared" si="23"/>
        <v>0</v>
      </c>
      <c r="BP61" s="28">
        <f t="shared" si="24"/>
        <v>0</v>
      </c>
      <c r="BQ61" s="28">
        <f t="shared" si="25"/>
        <v>0</v>
      </c>
      <c r="BR61" s="28">
        <f t="shared" si="26"/>
        <v>0</v>
      </c>
      <c r="BS61" s="28">
        <f t="shared" si="27"/>
        <v>0</v>
      </c>
      <c r="BT61" s="28">
        <f t="shared" si="28"/>
        <v>0</v>
      </c>
      <c r="BU61" s="28">
        <f t="shared" si="29"/>
        <v>0</v>
      </c>
      <c r="BV61" s="28">
        <f t="shared" si="30"/>
        <v>0</v>
      </c>
      <c r="BW61" s="28">
        <f t="shared" si="31"/>
        <v>0</v>
      </c>
      <c r="BX61" s="28">
        <f t="shared" si="32"/>
        <v>0</v>
      </c>
      <c r="BY61" s="83">
        <f t="shared" si="33"/>
        <v>0</v>
      </c>
      <c r="BZ61" s="83">
        <f t="shared" si="52"/>
        <v>0</v>
      </c>
      <c r="CA61" s="83">
        <f t="shared" si="53"/>
        <v>0</v>
      </c>
      <c r="CB61" s="83">
        <f t="shared" si="54"/>
        <v>0</v>
      </c>
      <c r="CC61" s="83">
        <f t="shared" si="55"/>
        <v>0</v>
      </c>
      <c r="CD61" s="83">
        <f t="shared" si="56"/>
        <v>0</v>
      </c>
      <c r="CE61" s="83">
        <f t="shared" si="57"/>
        <v>0</v>
      </c>
      <c r="CF61" s="83">
        <f t="shared" si="58"/>
        <v>0</v>
      </c>
      <c r="CG61" s="83">
        <f t="shared" si="59"/>
        <v>0</v>
      </c>
      <c r="CH61" s="83">
        <f t="shared" si="60"/>
        <v>0</v>
      </c>
      <c r="CI61" s="83">
        <f t="shared" si="61"/>
        <v>0</v>
      </c>
      <c r="CJ61" s="83">
        <f t="shared" si="62"/>
        <v>0</v>
      </c>
      <c r="CK61" s="83">
        <f t="shared" si="63"/>
        <v>0</v>
      </c>
      <c r="CL61" s="83">
        <f t="shared" si="64"/>
        <v>0</v>
      </c>
      <c r="CM61" s="83">
        <f t="shared" si="65"/>
        <v>0</v>
      </c>
      <c r="CN61" s="83">
        <f t="shared" si="66"/>
        <v>0</v>
      </c>
      <c r="CO61" s="83">
        <f t="shared" si="41"/>
        <v>0</v>
      </c>
      <c r="CP61" s="83">
        <f t="shared" si="42"/>
        <v>0</v>
      </c>
      <c r="CQ61" s="83">
        <f t="shared" si="43"/>
        <v>0</v>
      </c>
      <c r="CR61" s="83">
        <f t="shared" si="44"/>
        <v>0</v>
      </c>
      <c r="CS61" s="83">
        <f t="shared" si="45"/>
        <v>0</v>
      </c>
      <c r="CT61" s="84">
        <f t="shared" si="34"/>
        <v>0</v>
      </c>
      <c r="CU61" s="84">
        <f t="shared" si="67"/>
        <v>0</v>
      </c>
      <c r="CV61" s="84">
        <f t="shared" si="68"/>
        <v>0</v>
      </c>
      <c r="CW61" s="84">
        <f t="shared" si="69"/>
        <v>0</v>
      </c>
      <c r="CX61" s="84">
        <f t="shared" si="70"/>
        <v>0</v>
      </c>
      <c r="CY61" s="84">
        <f t="shared" si="71"/>
        <v>0</v>
      </c>
      <c r="CZ61" s="84">
        <f t="shared" si="72"/>
        <v>0</v>
      </c>
      <c r="DA61" s="84">
        <f t="shared" si="73"/>
        <v>0</v>
      </c>
      <c r="DB61" s="84">
        <f t="shared" si="74"/>
        <v>0</v>
      </c>
      <c r="DC61" s="84">
        <f t="shared" si="75"/>
        <v>0</v>
      </c>
      <c r="DD61" s="84">
        <f t="shared" si="76"/>
        <v>0</v>
      </c>
      <c r="DE61" s="84">
        <f t="shared" si="77"/>
        <v>0</v>
      </c>
      <c r="DF61" s="84">
        <f t="shared" si="78"/>
        <v>0</v>
      </c>
      <c r="DG61" s="84">
        <f t="shared" si="79"/>
        <v>0</v>
      </c>
      <c r="DH61" s="84">
        <f t="shared" si="80"/>
        <v>0</v>
      </c>
      <c r="DI61" s="84">
        <f t="shared" si="81"/>
        <v>0</v>
      </c>
      <c r="DJ61" s="84">
        <f t="shared" si="46"/>
        <v>0</v>
      </c>
      <c r="DK61" s="84">
        <f t="shared" si="47"/>
        <v>0</v>
      </c>
      <c r="DL61" s="84">
        <f t="shared" si="48"/>
        <v>0</v>
      </c>
      <c r="DM61" s="84">
        <f t="shared" si="49"/>
        <v>0</v>
      </c>
      <c r="DN61" s="84">
        <f t="shared" si="50"/>
        <v>0</v>
      </c>
    </row>
    <row r="62" spans="1:133">
      <c r="A62" s="3" t="s">
        <v>207</v>
      </c>
      <c r="B62" s="65">
        <f t="shared" si="6"/>
        <v>0.1</v>
      </c>
      <c r="C62" s="3" t="s">
        <v>204</v>
      </c>
      <c r="D62" s="65">
        <f t="shared" si="84"/>
        <v>0.75</v>
      </c>
      <c r="E62" s="3">
        <v>2</v>
      </c>
      <c r="F62" s="65">
        <f t="shared" si="85"/>
        <v>0.4</v>
      </c>
      <c r="G62" s="3" t="s">
        <v>199</v>
      </c>
      <c r="H62" s="65">
        <v>0.5</v>
      </c>
      <c r="I62" s="65">
        <f t="shared" si="9"/>
        <v>1.5000000000000003E-2</v>
      </c>
      <c r="J62" s="3">
        <f>TechnicalInputs!$D$31</f>
        <v>0</v>
      </c>
      <c r="K62" s="3">
        <f>TechnicalInputs!$D$34</f>
        <v>2</v>
      </c>
      <c r="L62" s="3">
        <f t="shared" si="10"/>
        <v>2</v>
      </c>
      <c r="M62" s="1"/>
      <c r="N62" s="40">
        <f t="shared" si="83"/>
        <v>0</v>
      </c>
      <c r="O62" s="40">
        <f t="shared" si="87"/>
        <v>0</v>
      </c>
      <c r="P62" s="40">
        <f t="shared" si="87"/>
        <v>0</v>
      </c>
      <c r="Q62" s="40">
        <f t="shared" si="87"/>
        <v>0</v>
      </c>
      <c r="R62" s="40">
        <f t="shared" si="87"/>
        <v>0</v>
      </c>
      <c r="S62" s="40">
        <f t="shared" si="87"/>
        <v>0</v>
      </c>
      <c r="T62" s="40">
        <f t="shared" si="87"/>
        <v>0</v>
      </c>
      <c r="U62" s="40">
        <f t="shared" si="87"/>
        <v>0</v>
      </c>
      <c r="V62" s="40">
        <f t="shared" si="87"/>
        <v>0</v>
      </c>
      <c r="W62" s="40">
        <f t="shared" si="87"/>
        <v>0</v>
      </c>
      <c r="X62" s="40">
        <f t="shared" si="87"/>
        <v>0</v>
      </c>
      <c r="Y62" s="40">
        <f t="shared" si="87"/>
        <v>0</v>
      </c>
      <c r="Z62" s="40">
        <f t="shared" si="87"/>
        <v>0</v>
      </c>
      <c r="AA62" s="40">
        <f t="shared" si="87"/>
        <v>0</v>
      </c>
      <c r="AB62" s="40">
        <f t="shared" si="87"/>
        <v>0</v>
      </c>
      <c r="AC62" s="40">
        <f t="shared" si="87"/>
        <v>0</v>
      </c>
      <c r="AD62" s="40">
        <f t="shared" si="87"/>
        <v>0</v>
      </c>
      <c r="AE62" s="40">
        <f t="shared" si="86"/>
        <v>0</v>
      </c>
      <c r="AF62" s="40">
        <f t="shared" si="86"/>
        <v>0</v>
      </c>
      <c r="AG62" s="40">
        <f t="shared" si="86"/>
        <v>0</v>
      </c>
      <c r="AH62" s="40">
        <f t="shared" si="86"/>
        <v>0</v>
      </c>
      <c r="AI62" s="40">
        <f>(N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P$12*12</f>
        <v>60.22</v>
      </c>
      <c r="AJ62" s="40">
        <f>(O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Q$12*12</f>
        <v>48.22</v>
      </c>
      <c r="AK62" s="40">
        <f>(P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R$12*12</f>
        <v>36.22</v>
      </c>
      <c r="AL62" s="40">
        <f>(Q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S$12*12</f>
        <v>24.22</v>
      </c>
      <c r="AM62" s="40">
        <f>(R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T$12*12</f>
        <v>18.22</v>
      </c>
      <c r="AN62" s="40">
        <f>(S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U$12*12</f>
        <v>12.22</v>
      </c>
      <c r="AO62" s="40">
        <f>(T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V$12*12</f>
        <v>6.22</v>
      </c>
      <c r="AP62" s="40">
        <f>(U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W$12*12</f>
        <v>6.22</v>
      </c>
      <c r="AQ62" s="40">
        <f>(V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X$12*12</f>
        <v>6.22</v>
      </c>
      <c r="AR62" s="40">
        <f>(W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Y$12*12</f>
        <v>6.22</v>
      </c>
      <c r="AS62" s="40">
        <f>(X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Z$12*12</f>
        <v>6.22</v>
      </c>
      <c r="AT62" s="40">
        <f>(Y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AA$12*12</f>
        <v>6.22</v>
      </c>
      <c r="AU62" s="40">
        <f>(Z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AB$12*12</f>
        <v>6.22</v>
      </c>
      <c r="AV62" s="40">
        <f>(AA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AC$12*12</f>
        <v>6.22</v>
      </c>
      <c r="AW62" s="40">
        <f>(AB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AD$12*12</f>
        <v>6.22</v>
      </c>
      <c r="AX62" s="40">
        <f>(AC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AE$12*12</f>
        <v>6.22</v>
      </c>
      <c r="AY62" s="40">
        <f>(AD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AF$12*12</f>
        <v>6.22</v>
      </c>
      <c r="AZ62" s="40">
        <f>(AE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AG$12*12</f>
        <v>6.22</v>
      </c>
      <c r="BA62" s="40">
        <f>(AF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AH$12*12</f>
        <v>6.22</v>
      </c>
      <c r="BB62" s="40">
        <f>(AG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AI$12*12</f>
        <v>6.22</v>
      </c>
      <c r="BC62" s="40">
        <f>(AH62*IF($G62="credit",TechnicalInputs!$D$22,IF($G62="Debit",TechnicalInputs!$D$24,IF($G62="EFT",TechnicalInputs!$D$26,0)))+IF($G62="credit",TechnicalInputs!$D$21,IF($G62="debit",TechnicalInputs!$D$23,IF($G62="eft",TechnicalInputs!$D$25)))+IF(TransactionCosts!$C62="online",TechnicalInputs!$D$28,TechnicalInputs!$D$27))*$E62+AJ$12*12</f>
        <v>6.22</v>
      </c>
      <c r="BD62" s="28">
        <f t="shared" si="12"/>
        <v>0</v>
      </c>
      <c r="BE62" s="28">
        <f t="shared" si="13"/>
        <v>0</v>
      </c>
      <c r="BF62" s="28">
        <f t="shared" si="14"/>
        <v>0</v>
      </c>
      <c r="BG62" s="28">
        <f t="shared" si="15"/>
        <v>0</v>
      </c>
      <c r="BH62" s="28">
        <f t="shared" si="16"/>
        <v>0</v>
      </c>
      <c r="BI62" s="28">
        <f t="shared" si="17"/>
        <v>0</v>
      </c>
      <c r="BJ62" s="28">
        <f t="shared" si="18"/>
        <v>0</v>
      </c>
      <c r="BK62" s="28">
        <f t="shared" si="19"/>
        <v>0</v>
      </c>
      <c r="BL62" s="28">
        <f t="shared" si="20"/>
        <v>0</v>
      </c>
      <c r="BM62" s="28">
        <f t="shared" si="21"/>
        <v>0</v>
      </c>
      <c r="BN62" s="28">
        <f t="shared" si="22"/>
        <v>0</v>
      </c>
      <c r="BO62" s="28">
        <f t="shared" si="23"/>
        <v>0</v>
      </c>
      <c r="BP62" s="28">
        <f t="shared" si="24"/>
        <v>0</v>
      </c>
      <c r="BQ62" s="28">
        <f t="shared" si="25"/>
        <v>0</v>
      </c>
      <c r="BR62" s="28">
        <f t="shared" si="26"/>
        <v>0</v>
      </c>
      <c r="BS62" s="28">
        <f t="shared" si="27"/>
        <v>0</v>
      </c>
      <c r="BT62" s="28">
        <f t="shared" si="28"/>
        <v>0</v>
      </c>
      <c r="BU62" s="28">
        <f t="shared" si="29"/>
        <v>0</v>
      </c>
      <c r="BV62" s="28">
        <f t="shared" si="30"/>
        <v>0</v>
      </c>
      <c r="BW62" s="28">
        <f t="shared" si="31"/>
        <v>0</v>
      </c>
      <c r="BX62" s="28">
        <f t="shared" si="32"/>
        <v>0</v>
      </c>
      <c r="BY62" s="83">
        <f t="shared" si="33"/>
        <v>0</v>
      </c>
      <c r="BZ62" s="83">
        <f t="shared" si="52"/>
        <v>0</v>
      </c>
      <c r="CA62" s="83">
        <f t="shared" si="53"/>
        <v>0</v>
      </c>
      <c r="CB62" s="83">
        <f t="shared" si="54"/>
        <v>0</v>
      </c>
      <c r="CC62" s="83">
        <f t="shared" si="55"/>
        <v>0</v>
      </c>
      <c r="CD62" s="83">
        <f t="shared" si="56"/>
        <v>0</v>
      </c>
      <c r="CE62" s="83">
        <f t="shared" si="57"/>
        <v>0</v>
      </c>
      <c r="CF62" s="83">
        <f t="shared" si="58"/>
        <v>0</v>
      </c>
      <c r="CG62" s="83">
        <f t="shared" si="59"/>
        <v>0</v>
      </c>
      <c r="CH62" s="83">
        <f t="shared" si="60"/>
        <v>0</v>
      </c>
      <c r="CI62" s="83">
        <f t="shared" si="61"/>
        <v>0</v>
      </c>
      <c r="CJ62" s="83">
        <f t="shared" si="62"/>
        <v>0</v>
      </c>
      <c r="CK62" s="83">
        <f t="shared" si="63"/>
        <v>0</v>
      </c>
      <c r="CL62" s="83">
        <f t="shared" si="64"/>
        <v>0</v>
      </c>
      <c r="CM62" s="83">
        <f t="shared" si="65"/>
        <v>0</v>
      </c>
      <c r="CN62" s="83">
        <f t="shared" si="66"/>
        <v>0</v>
      </c>
      <c r="CO62" s="83">
        <f t="shared" si="41"/>
        <v>0</v>
      </c>
      <c r="CP62" s="83">
        <f t="shared" si="42"/>
        <v>0</v>
      </c>
      <c r="CQ62" s="83">
        <f t="shared" si="43"/>
        <v>0</v>
      </c>
      <c r="CR62" s="83">
        <f t="shared" si="44"/>
        <v>0</v>
      </c>
      <c r="CS62" s="83">
        <f t="shared" si="45"/>
        <v>0</v>
      </c>
      <c r="CT62" s="84">
        <f t="shared" si="34"/>
        <v>0</v>
      </c>
      <c r="CU62" s="84">
        <f t="shared" si="67"/>
        <v>0</v>
      </c>
      <c r="CV62" s="84">
        <f t="shared" si="68"/>
        <v>0</v>
      </c>
      <c r="CW62" s="84">
        <f t="shared" si="69"/>
        <v>0</v>
      </c>
      <c r="CX62" s="84">
        <f t="shared" si="70"/>
        <v>0</v>
      </c>
      <c r="CY62" s="84">
        <f t="shared" si="71"/>
        <v>0</v>
      </c>
      <c r="CZ62" s="84">
        <f t="shared" si="72"/>
        <v>0</v>
      </c>
      <c r="DA62" s="84">
        <f t="shared" si="73"/>
        <v>0</v>
      </c>
      <c r="DB62" s="84">
        <f t="shared" si="74"/>
        <v>0</v>
      </c>
      <c r="DC62" s="84">
        <f t="shared" si="75"/>
        <v>0</v>
      </c>
      <c r="DD62" s="84">
        <f t="shared" si="76"/>
        <v>0</v>
      </c>
      <c r="DE62" s="84">
        <f t="shared" si="77"/>
        <v>0</v>
      </c>
      <c r="DF62" s="84">
        <f t="shared" si="78"/>
        <v>0</v>
      </c>
      <c r="DG62" s="84">
        <f t="shared" si="79"/>
        <v>0</v>
      </c>
      <c r="DH62" s="84">
        <f t="shared" si="80"/>
        <v>0</v>
      </c>
      <c r="DI62" s="84">
        <f t="shared" si="81"/>
        <v>0</v>
      </c>
      <c r="DJ62" s="84">
        <f t="shared" si="46"/>
        <v>0</v>
      </c>
      <c r="DK62" s="84">
        <f t="shared" si="47"/>
        <v>0</v>
      </c>
      <c r="DL62" s="84">
        <f t="shared" si="48"/>
        <v>0</v>
      </c>
      <c r="DM62" s="84">
        <f t="shared" si="49"/>
        <v>0</v>
      </c>
      <c r="DN62" s="84">
        <f t="shared" si="50"/>
        <v>0</v>
      </c>
    </row>
    <row r="63" spans="1:133">
      <c r="A63" s="3" t="s">
        <v>207</v>
      </c>
      <c r="B63" s="65">
        <f t="shared" si="6"/>
        <v>0.1</v>
      </c>
      <c r="C63" s="3" t="s">
        <v>204</v>
      </c>
      <c r="D63" s="65">
        <f t="shared" si="84"/>
        <v>0.75</v>
      </c>
      <c r="E63" s="3">
        <v>4</v>
      </c>
      <c r="F63" s="65">
        <f t="shared" si="85"/>
        <v>0.19999999999999996</v>
      </c>
      <c r="G63" s="3" t="s">
        <v>199</v>
      </c>
      <c r="H63" s="65">
        <v>0.5</v>
      </c>
      <c r="I63" s="65">
        <f t="shared" si="9"/>
        <v>7.4999999999999997E-3</v>
      </c>
      <c r="J63" s="3">
        <f>TechnicalInputs!$D$31</f>
        <v>0</v>
      </c>
      <c r="K63" s="3">
        <f>TechnicalInputs!$D$34</f>
        <v>2</v>
      </c>
      <c r="L63" s="3">
        <f t="shared" si="10"/>
        <v>2</v>
      </c>
      <c r="M63" s="1"/>
      <c r="N63" s="40">
        <f t="shared" si="83"/>
        <v>0</v>
      </c>
      <c r="O63" s="40">
        <f t="shared" si="87"/>
        <v>0</v>
      </c>
      <c r="P63" s="40">
        <f t="shared" si="87"/>
        <v>0</v>
      </c>
      <c r="Q63" s="40">
        <f t="shared" si="87"/>
        <v>0</v>
      </c>
      <c r="R63" s="40">
        <f t="shared" si="87"/>
        <v>0</v>
      </c>
      <c r="S63" s="40">
        <f t="shared" si="87"/>
        <v>0</v>
      </c>
      <c r="T63" s="40">
        <f t="shared" si="87"/>
        <v>0</v>
      </c>
      <c r="U63" s="40">
        <f t="shared" si="87"/>
        <v>0</v>
      </c>
      <c r="V63" s="40">
        <f t="shared" si="87"/>
        <v>0</v>
      </c>
      <c r="W63" s="40">
        <f t="shared" si="87"/>
        <v>0</v>
      </c>
      <c r="X63" s="40">
        <f t="shared" si="87"/>
        <v>0</v>
      </c>
      <c r="Y63" s="40">
        <f t="shared" si="87"/>
        <v>0</v>
      </c>
      <c r="Z63" s="40">
        <f t="shared" si="87"/>
        <v>0</v>
      </c>
      <c r="AA63" s="40">
        <f t="shared" si="87"/>
        <v>0</v>
      </c>
      <c r="AB63" s="40">
        <f t="shared" si="87"/>
        <v>0</v>
      </c>
      <c r="AC63" s="40">
        <f t="shared" si="87"/>
        <v>0</v>
      </c>
      <c r="AD63" s="40">
        <f t="shared" si="87"/>
        <v>0</v>
      </c>
      <c r="AE63" s="40">
        <f t="shared" si="86"/>
        <v>0</v>
      </c>
      <c r="AF63" s="40">
        <f t="shared" si="86"/>
        <v>0</v>
      </c>
      <c r="AG63" s="40">
        <f t="shared" si="86"/>
        <v>0</v>
      </c>
      <c r="AH63" s="40">
        <f t="shared" si="86"/>
        <v>0</v>
      </c>
      <c r="AI63" s="40">
        <f>(N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P$12*12</f>
        <v>60.44</v>
      </c>
      <c r="AJ63" s="40">
        <f>(O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Q$12*12</f>
        <v>48.44</v>
      </c>
      <c r="AK63" s="40">
        <f>(P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R$12*12</f>
        <v>36.44</v>
      </c>
      <c r="AL63" s="40">
        <f>(Q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S$12*12</f>
        <v>24.44</v>
      </c>
      <c r="AM63" s="40">
        <f>(R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T$12*12</f>
        <v>18.440000000000001</v>
      </c>
      <c r="AN63" s="40">
        <f>(S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U$12*12</f>
        <v>12.44</v>
      </c>
      <c r="AO63" s="40">
        <f>(T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V$12*12</f>
        <v>6.44</v>
      </c>
      <c r="AP63" s="40">
        <f>(U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W$12*12</f>
        <v>6.44</v>
      </c>
      <c r="AQ63" s="40">
        <f>(V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X$12*12</f>
        <v>6.44</v>
      </c>
      <c r="AR63" s="40">
        <f>(W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Y$12*12</f>
        <v>6.44</v>
      </c>
      <c r="AS63" s="40">
        <f>(X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Z$12*12</f>
        <v>6.44</v>
      </c>
      <c r="AT63" s="40">
        <f>(Y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AA$12*12</f>
        <v>6.44</v>
      </c>
      <c r="AU63" s="40">
        <f>(Z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AB$12*12</f>
        <v>6.44</v>
      </c>
      <c r="AV63" s="40">
        <f>(AA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AC$12*12</f>
        <v>6.44</v>
      </c>
      <c r="AW63" s="40">
        <f>(AB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AD$12*12</f>
        <v>6.44</v>
      </c>
      <c r="AX63" s="40">
        <f>(AC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AE$12*12</f>
        <v>6.44</v>
      </c>
      <c r="AY63" s="40">
        <f>(AD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AF$12*12</f>
        <v>6.44</v>
      </c>
      <c r="AZ63" s="40">
        <f>(AE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AG$12*12</f>
        <v>6.44</v>
      </c>
      <c r="BA63" s="40">
        <f>(AF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AH$12*12</f>
        <v>6.44</v>
      </c>
      <c r="BB63" s="40">
        <f>(AG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AI$12*12</f>
        <v>6.44</v>
      </c>
      <c r="BC63" s="40">
        <f>(AH63*IF($G63="credit",TechnicalInputs!$D$22,IF($G63="Debit",TechnicalInputs!$D$24,IF($G63="EFT",TechnicalInputs!$D$26,0)))+IF($G63="credit",TechnicalInputs!$D$21,IF($G63="debit",TechnicalInputs!$D$23,IF($G63="eft",TechnicalInputs!$D$25)))+IF(TransactionCosts!$C63="online",TechnicalInputs!$D$28,TechnicalInputs!$D$27))*$E63+AJ$12*12</f>
        <v>6.44</v>
      </c>
      <c r="BD63" s="28">
        <f t="shared" si="12"/>
        <v>0</v>
      </c>
      <c r="BE63" s="28">
        <f t="shared" si="13"/>
        <v>0</v>
      </c>
      <c r="BF63" s="28">
        <f t="shared" si="14"/>
        <v>0</v>
      </c>
      <c r="BG63" s="28">
        <f t="shared" si="15"/>
        <v>0</v>
      </c>
      <c r="BH63" s="28">
        <f t="shared" si="16"/>
        <v>0</v>
      </c>
      <c r="BI63" s="28">
        <f t="shared" si="17"/>
        <v>0</v>
      </c>
      <c r="BJ63" s="28">
        <f t="shared" si="18"/>
        <v>0</v>
      </c>
      <c r="BK63" s="28">
        <f t="shared" si="19"/>
        <v>0</v>
      </c>
      <c r="BL63" s="28">
        <f t="shared" si="20"/>
        <v>0</v>
      </c>
      <c r="BM63" s="28">
        <f t="shared" si="21"/>
        <v>0</v>
      </c>
      <c r="BN63" s="28">
        <f t="shared" si="22"/>
        <v>0</v>
      </c>
      <c r="BO63" s="28">
        <f t="shared" si="23"/>
        <v>0</v>
      </c>
      <c r="BP63" s="28">
        <f t="shared" si="24"/>
        <v>0</v>
      </c>
      <c r="BQ63" s="28">
        <f t="shared" si="25"/>
        <v>0</v>
      </c>
      <c r="BR63" s="28">
        <f t="shared" si="26"/>
        <v>0</v>
      </c>
      <c r="BS63" s="28">
        <f t="shared" si="27"/>
        <v>0</v>
      </c>
      <c r="BT63" s="28">
        <f t="shared" si="28"/>
        <v>0</v>
      </c>
      <c r="BU63" s="28">
        <f t="shared" si="29"/>
        <v>0</v>
      </c>
      <c r="BV63" s="28">
        <f t="shared" si="30"/>
        <v>0</v>
      </c>
      <c r="BW63" s="28">
        <f t="shared" si="31"/>
        <v>0</v>
      </c>
      <c r="BX63" s="28">
        <f t="shared" si="32"/>
        <v>0</v>
      </c>
      <c r="BY63" s="83">
        <f t="shared" si="33"/>
        <v>0</v>
      </c>
      <c r="BZ63" s="83">
        <f t="shared" si="52"/>
        <v>0</v>
      </c>
      <c r="CA63" s="83">
        <f t="shared" si="53"/>
        <v>0</v>
      </c>
      <c r="CB63" s="83">
        <f t="shared" si="54"/>
        <v>0</v>
      </c>
      <c r="CC63" s="83">
        <f t="shared" si="55"/>
        <v>0</v>
      </c>
      <c r="CD63" s="83">
        <f t="shared" si="56"/>
        <v>0</v>
      </c>
      <c r="CE63" s="83">
        <f t="shared" si="57"/>
        <v>0</v>
      </c>
      <c r="CF63" s="83">
        <f t="shared" si="58"/>
        <v>0</v>
      </c>
      <c r="CG63" s="83">
        <f t="shared" si="59"/>
        <v>0</v>
      </c>
      <c r="CH63" s="83">
        <f t="shared" si="60"/>
        <v>0</v>
      </c>
      <c r="CI63" s="83">
        <f t="shared" si="61"/>
        <v>0</v>
      </c>
      <c r="CJ63" s="83">
        <f t="shared" si="62"/>
        <v>0</v>
      </c>
      <c r="CK63" s="83">
        <f t="shared" si="63"/>
        <v>0</v>
      </c>
      <c r="CL63" s="83">
        <f t="shared" si="64"/>
        <v>0</v>
      </c>
      <c r="CM63" s="83">
        <f t="shared" si="65"/>
        <v>0</v>
      </c>
      <c r="CN63" s="83">
        <f t="shared" si="66"/>
        <v>0</v>
      </c>
      <c r="CO63" s="83">
        <f t="shared" si="41"/>
        <v>0</v>
      </c>
      <c r="CP63" s="83">
        <f t="shared" si="42"/>
        <v>0</v>
      </c>
      <c r="CQ63" s="83">
        <f t="shared" si="43"/>
        <v>0</v>
      </c>
      <c r="CR63" s="83">
        <f t="shared" si="44"/>
        <v>0</v>
      </c>
      <c r="CS63" s="83">
        <f t="shared" si="45"/>
        <v>0</v>
      </c>
      <c r="CT63" s="84">
        <f t="shared" si="34"/>
        <v>0</v>
      </c>
      <c r="CU63" s="84">
        <f t="shared" si="67"/>
        <v>0</v>
      </c>
      <c r="CV63" s="84">
        <f t="shared" si="68"/>
        <v>0</v>
      </c>
      <c r="CW63" s="84">
        <f t="shared" si="69"/>
        <v>0</v>
      </c>
      <c r="CX63" s="84">
        <f t="shared" si="70"/>
        <v>0</v>
      </c>
      <c r="CY63" s="84">
        <f t="shared" si="71"/>
        <v>0</v>
      </c>
      <c r="CZ63" s="84">
        <f t="shared" si="72"/>
        <v>0</v>
      </c>
      <c r="DA63" s="84">
        <f t="shared" si="73"/>
        <v>0</v>
      </c>
      <c r="DB63" s="84">
        <f t="shared" si="74"/>
        <v>0</v>
      </c>
      <c r="DC63" s="84">
        <f t="shared" si="75"/>
        <v>0</v>
      </c>
      <c r="DD63" s="84">
        <f t="shared" si="76"/>
        <v>0</v>
      </c>
      <c r="DE63" s="84">
        <f t="shared" si="77"/>
        <v>0</v>
      </c>
      <c r="DF63" s="84">
        <f t="shared" si="78"/>
        <v>0</v>
      </c>
      <c r="DG63" s="84">
        <f t="shared" si="79"/>
        <v>0</v>
      </c>
      <c r="DH63" s="84">
        <f t="shared" si="80"/>
        <v>0</v>
      </c>
      <c r="DI63" s="84">
        <f t="shared" si="81"/>
        <v>0</v>
      </c>
      <c r="DJ63" s="84">
        <f t="shared" si="46"/>
        <v>0</v>
      </c>
      <c r="DK63" s="84">
        <f t="shared" si="47"/>
        <v>0</v>
      </c>
      <c r="DL63" s="84">
        <f t="shared" si="48"/>
        <v>0</v>
      </c>
      <c r="DM63" s="84">
        <f t="shared" si="49"/>
        <v>0</v>
      </c>
      <c r="DN63" s="84">
        <f t="shared" si="50"/>
        <v>0</v>
      </c>
    </row>
    <row r="64" spans="1:133">
      <c r="A64" s="3" t="s">
        <v>207</v>
      </c>
      <c r="B64" s="65">
        <f t="shared" si="6"/>
        <v>0.1</v>
      </c>
      <c r="C64" s="3" t="s">
        <v>204</v>
      </c>
      <c r="D64" s="65">
        <f t="shared" si="84"/>
        <v>0.75</v>
      </c>
      <c r="E64" s="3">
        <v>1</v>
      </c>
      <c r="F64" s="65">
        <f t="shared" si="85"/>
        <v>0.4</v>
      </c>
      <c r="G64" s="3" t="s">
        <v>202</v>
      </c>
      <c r="H64" s="65">
        <v>0.25</v>
      </c>
      <c r="I64" s="65">
        <f t="shared" si="9"/>
        <v>7.5000000000000015E-3</v>
      </c>
      <c r="J64" s="3">
        <f>TechnicalInputs!$D$31</f>
        <v>0</v>
      </c>
      <c r="K64" s="3">
        <f>TechnicalInputs!$D$34</f>
        <v>2</v>
      </c>
      <c r="L64" s="3">
        <f t="shared" si="10"/>
        <v>2</v>
      </c>
      <c r="M64" s="1"/>
      <c r="N64" s="40">
        <f t="shared" ref="N64:N67" si="88">P$10/$E64</f>
        <v>0</v>
      </c>
      <c r="O64" s="40">
        <f t="shared" si="87"/>
        <v>0</v>
      </c>
      <c r="P64" s="40">
        <f t="shared" si="87"/>
        <v>0</v>
      </c>
      <c r="Q64" s="40">
        <f t="shared" si="87"/>
        <v>0</v>
      </c>
      <c r="R64" s="40">
        <f t="shared" si="87"/>
        <v>0</v>
      </c>
      <c r="S64" s="40">
        <f t="shared" si="87"/>
        <v>0</v>
      </c>
      <c r="T64" s="40">
        <f t="shared" si="87"/>
        <v>0</v>
      </c>
      <c r="U64" s="40">
        <f t="shared" si="87"/>
        <v>0</v>
      </c>
      <c r="V64" s="40">
        <f t="shared" si="87"/>
        <v>0</v>
      </c>
      <c r="W64" s="40">
        <f t="shared" si="87"/>
        <v>0</v>
      </c>
      <c r="X64" s="40">
        <f t="shared" si="87"/>
        <v>0</v>
      </c>
      <c r="Y64" s="40">
        <f t="shared" si="87"/>
        <v>0</v>
      </c>
      <c r="Z64" s="40">
        <f t="shared" si="87"/>
        <v>0</v>
      </c>
      <c r="AA64" s="40">
        <f t="shared" si="87"/>
        <v>0</v>
      </c>
      <c r="AB64" s="40">
        <f t="shared" si="87"/>
        <v>0</v>
      </c>
      <c r="AC64" s="40">
        <f t="shared" si="87"/>
        <v>0</v>
      </c>
      <c r="AD64" s="40">
        <f t="shared" si="87"/>
        <v>0</v>
      </c>
      <c r="AE64" s="40">
        <f t="shared" si="86"/>
        <v>0</v>
      </c>
      <c r="AF64" s="40">
        <f t="shared" si="86"/>
        <v>0</v>
      </c>
      <c r="AG64" s="40">
        <f t="shared" si="86"/>
        <v>0</v>
      </c>
      <c r="AH64" s="40">
        <f t="shared" si="86"/>
        <v>0</v>
      </c>
      <c r="AI64" s="40">
        <f>(N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P$12*12</f>
        <v>60.11</v>
      </c>
      <c r="AJ64" s="40">
        <f>(O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Q$12*12</f>
        <v>48.11</v>
      </c>
      <c r="AK64" s="40">
        <f>(P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R$12*12</f>
        <v>36.11</v>
      </c>
      <c r="AL64" s="40">
        <f>(Q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S$12*12</f>
        <v>24.11</v>
      </c>
      <c r="AM64" s="40">
        <f>(R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T$12*12</f>
        <v>18.11</v>
      </c>
      <c r="AN64" s="40">
        <f>(S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U$12*12</f>
        <v>12.11</v>
      </c>
      <c r="AO64" s="40">
        <f>(T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V$12*12</f>
        <v>6.11</v>
      </c>
      <c r="AP64" s="40">
        <f>(U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W$12*12</f>
        <v>6.11</v>
      </c>
      <c r="AQ64" s="40">
        <f>(V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X$12*12</f>
        <v>6.11</v>
      </c>
      <c r="AR64" s="40">
        <f>(W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Y$12*12</f>
        <v>6.11</v>
      </c>
      <c r="AS64" s="40">
        <f>(X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Z$12*12</f>
        <v>6.11</v>
      </c>
      <c r="AT64" s="40">
        <f>(Y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AA$12*12</f>
        <v>6.11</v>
      </c>
      <c r="AU64" s="40">
        <f>(Z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AB$12*12</f>
        <v>6.11</v>
      </c>
      <c r="AV64" s="40">
        <f>(AA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AC$12*12</f>
        <v>6.11</v>
      </c>
      <c r="AW64" s="40">
        <f>(AB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AD$12*12</f>
        <v>6.11</v>
      </c>
      <c r="AX64" s="40">
        <f>(AC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AE$12*12</f>
        <v>6.11</v>
      </c>
      <c r="AY64" s="40">
        <f>(AD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AF$12*12</f>
        <v>6.11</v>
      </c>
      <c r="AZ64" s="40">
        <f>(AE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AG$12*12</f>
        <v>6.11</v>
      </c>
      <c r="BA64" s="40">
        <f>(AF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AH$12*12</f>
        <v>6.11</v>
      </c>
      <c r="BB64" s="40">
        <f>(AG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AI$12*12</f>
        <v>6.11</v>
      </c>
      <c r="BC64" s="40">
        <f>(AH64*IF($G64="credit",TechnicalInputs!$D$22,IF($G64="Debit",TechnicalInputs!$D$24,IF($G64="EFT",TechnicalInputs!$D$26,0)))+IF($G64="credit",TechnicalInputs!$D$21,IF($G64="debit",TechnicalInputs!$D$23,IF($G64="eft",TechnicalInputs!$D$25)))+IF(TransactionCosts!$C64="online",TechnicalInputs!$D$28,TechnicalInputs!$D$27))*$E64+AJ$12*12</f>
        <v>6.11</v>
      </c>
      <c r="BD64" s="28">
        <f t="shared" si="12"/>
        <v>0</v>
      </c>
      <c r="BE64" s="28">
        <f t="shared" si="13"/>
        <v>0</v>
      </c>
      <c r="BF64" s="28">
        <f t="shared" si="14"/>
        <v>0</v>
      </c>
      <c r="BG64" s="28">
        <f t="shared" si="15"/>
        <v>0</v>
      </c>
      <c r="BH64" s="28">
        <f t="shared" si="16"/>
        <v>0</v>
      </c>
      <c r="BI64" s="28">
        <f t="shared" si="17"/>
        <v>0</v>
      </c>
      <c r="BJ64" s="28">
        <f t="shared" si="18"/>
        <v>0</v>
      </c>
      <c r="BK64" s="28">
        <f t="shared" si="19"/>
        <v>0</v>
      </c>
      <c r="BL64" s="28">
        <f t="shared" si="20"/>
        <v>0</v>
      </c>
      <c r="BM64" s="28">
        <f t="shared" si="21"/>
        <v>0</v>
      </c>
      <c r="BN64" s="28">
        <f t="shared" si="22"/>
        <v>0</v>
      </c>
      <c r="BO64" s="28">
        <f t="shared" si="23"/>
        <v>0</v>
      </c>
      <c r="BP64" s="28">
        <f t="shared" si="24"/>
        <v>0</v>
      </c>
      <c r="BQ64" s="28">
        <f t="shared" si="25"/>
        <v>0</v>
      </c>
      <c r="BR64" s="28">
        <f t="shared" si="26"/>
        <v>0</v>
      </c>
      <c r="BS64" s="28">
        <f t="shared" si="27"/>
        <v>0</v>
      </c>
      <c r="BT64" s="28">
        <f t="shared" si="28"/>
        <v>0</v>
      </c>
      <c r="BU64" s="28">
        <f t="shared" si="29"/>
        <v>0</v>
      </c>
      <c r="BV64" s="28">
        <f t="shared" si="30"/>
        <v>0</v>
      </c>
      <c r="BW64" s="28">
        <f t="shared" si="31"/>
        <v>0</v>
      </c>
      <c r="BX64" s="28">
        <f t="shared" si="32"/>
        <v>0</v>
      </c>
      <c r="BY64" s="83">
        <f t="shared" si="33"/>
        <v>0</v>
      </c>
      <c r="BZ64" s="83">
        <f t="shared" si="52"/>
        <v>0</v>
      </c>
      <c r="CA64" s="83">
        <f t="shared" si="53"/>
        <v>0</v>
      </c>
      <c r="CB64" s="83">
        <f t="shared" si="54"/>
        <v>0</v>
      </c>
      <c r="CC64" s="83">
        <f t="shared" si="55"/>
        <v>0</v>
      </c>
      <c r="CD64" s="83">
        <f t="shared" si="56"/>
        <v>0</v>
      </c>
      <c r="CE64" s="83">
        <f t="shared" si="57"/>
        <v>0</v>
      </c>
      <c r="CF64" s="83">
        <f t="shared" si="58"/>
        <v>0</v>
      </c>
      <c r="CG64" s="83">
        <f t="shared" si="59"/>
        <v>0</v>
      </c>
      <c r="CH64" s="83">
        <f t="shared" si="60"/>
        <v>0</v>
      </c>
      <c r="CI64" s="83">
        <f t="shared" si="61"/>
        <v>0</v>
      </c>
      <c r="CJ64" s="83">
        <f t="shared" si="62"/>
        <v>0</v>
      </c>
      <c r="CK64" s="83">
        <f t="shared" si="63"/>
        <v>0</v>
      </c>
      <c r="CL64" s="83">
        <f t="shared" si="64"/>
        <v>0</v>
      </c>
      <c r="CM64" s="83">
        <f t="shared" si="65"/>
        <v>0</v>
      </c>
      <c r="CN64" s="83">
        <f t="shared" si="66"/>
        <v>0</v>
      </c>
      <c r="CO64" s="83">
        <f t="shared" si="41"/>
        <v>0</v>
      </c>
      <c r="CP64" s="83">
        <f t="shared" si="42"/>
        <v>0</v>
      </c>
      <c r="CQ64" s="83">
        <f t="shared" si="43"/>
        <v>0</v>
      </c>
      <c r="CR64" s="83">
        <f t="shared" si="44"/>
        <v>0</v>
      </c>
      <c r="CS64" s="83">
        <f t="shared" si="45"/>
        <v>0</v>
      </c>
      <c r="CT64" s="84">
        <f t="shared" si="34"/>
        <v>0</v>
      </c>
      <c r="CU64" s="84">
        <f t="shared" si="67"/>
        <v>0</v>
      </c>
      <c r="CV64" s="84">
        <f t="shared" si="68"/>
        <v>0</v>
      </c>
      <c r="CW64" s="84">
        <f t="shared" si="69"/>
        <v>0</v>
      </c>
      <c r="CX64" s="84">
        <f t="shared" si="70"/>
        <v>0</v>
      </c>
      <c r="CY64" s="84">
        <f t="shared" si="71"/>
        <v>0</v>
      </c>
      <c r="CZ64" s="84">
        <f t="shared" si="72"/>
        <v>0</v>
      </c>
      <c r="DA64" s="84">
        <f t="shared" si="73"/>
        <v>0</v>
      </c>
      <c r="DB64" s="84">
        <f t="shared" si="74"/>
        <v>0</v>
      </c>
      <c r="DC64" s="84">
        <f t="shared" si="75"/>
        <v>0</v>
      </c>
      <c r="DD64" s="84">
        <f t="shared" si="76"/>
        <v>0</v>
      </c>
      <c r="DE64" s="84">
        <f t="shared" si="77"/>
        <v>0</v>
      </c>
      <c r="DF64" s="84">
        <f t="shared" si="78"/>
        <v>0</v>
      </c>
      <c r="DG64" s="84">
        <f t="shared" si="79"/>
        <v>0</v>
      </c>
      <c r="DH64" s="84">
        <f t="shared" si="80"/>
        <v>0</v>
      </c>
      <c r="DI64" s="84">
        <f t="shared" si="81"/>
        <v>0</v>
      </c>
      <c r="DJ64" s="84">
        <f t="shared" si="46"/>
        <v>0</v>
      </c>
      <c r="DK64" s="84">
        <f t="shared" si="47"/>
        <v>0</v>
      </c>
      <c r="DL64" s="84">
        <f t="shared" si="48"/>
        <v>0</v>
      </c>
      <c r="DM64" s="84">
        <f t="shared" si="49"/>
        <v>0</v>
      </c>
      <c r="DN64" s="84">
        <f t="shared" si="50"/>
        <v>0</v>
      </c>
    </row>
    <row r="65" spans="1:118">
      <c r="A65" s="3" t="s">
        <v>207</v>
      </c>
      <c r="B65" s="65">
        <f t="shared" si="6"/>
        <v>0.1</v>
      </c>
      <c r="C65" s="3" t="s">
        <v>204</v>
      </c>
      <c r="D65" s="65">
        <f t="shared" si="84"/>
        <v>0.75</v>
      </c>
      <c r="E65" s="3">
        <v>2</v>
      </c>
      <c r="F65" s="65">
        <f t="shared" si="85"/>
        <v>0.4</v>
      </c>
      <c r="G65" s="3" t="s">
        <v>202</v>
      </c>
      <c r="H65" s="65">
        <v>0.25</v>
      </c>
      <c r="I65" s="65">
        <f t="shared" si="9"/>
        <v>7.5000000000000015E-3</v>
      </c>
      <c r="J65" s="3">
        <f>TechnicalInputs!$D$31</f>
        <v>0</v>
      </c>
      <c r="K65" s="3">
        <f>TechnicalInputs!$D$34</f>
        <v>2</v>
      </c>
      <c r="L65" s="3">
        <f t="shared" si="10"/>
        <v>2</v>
      </c>
      <c r="M65" s="1"/>
      <c r="N65" s="40">
        <f t="shared" si="88"/>
        <v>0</v>
      </c>
      <c r="O65" s="40">
        <f t="shared" si="87"/>
        <v>0</v>
      </c>
      <c r="P65" s="40">
        <f t="shared" si="87"/>
        <v>0</v>
      </c>
      <c r="Q65" s="40">
        <f t="shared" si="87"/>
        <v>0</v>
      </c>
      <c r="R65" s="40">
        <f t="shared" si="87"/>
        <v>0</v>
      </c>
      <c r="S65" s="40">
        <f t="shared" si="87"/>
        <v>0</v>
      </c>
      <c r="T65" s="40">
        <f t="shared" si="87"/>
        <v>0</v>
      </c>
      <c r="U65" s="40">
        <f t="shared" si="87"/>
        <v>0</v>
      </c>
      <c r="V65" s="40">
        <f t="shared" si="87"/>
        <v>0</v>
      </c>
      <c r="W65" s="40">
        <f t="shared" si="87"/>
        <v>0</v>
      </c>
      <c r="X65" s="40">
        <f t="shared" si="87"/>
        <v>0</v>
      </c>
      <c r="Y65" s="40">
        <f t="shared" si="87"/>
        <v>0</v>
      </c>
      <c r="Z65" s="40">
        <f t="shared" si="87"/>
        <v>0</v>
      </c>
      <c r="AA65" s="40">
        <f t="shared" si="87"/>
        <v>0</v>
      </c>
      <c r="AB65" s="40">
        <f t="shared" si="87"/>
        <v>0</v>
      </c>
      <c r="AC65" s="40">
        <f t="shared" si="87"/>
        <v>0</v>
      </c>
      <c r="AD65" s="40">
        <f t="shared" si="87"/>
        <v>0</v>
      </c>
      <c r="AE65" s="40">
        <f t="shared" si="86"/>
        <v>0</v>
      </c>
      <c r="AF65" s="40">
        <f t="shared" si="86"/>
        <v>0</v>
      </c>
      <c r="AG65" s="40">
        <f t="shared" si="86"/>
        <v>0</v>
      </c>
      <c r="AH65" s="40">
        <f t="shared" si="86"/>
        <v>0</v>
      </c>
      <c r="AI65" s="40">
        <f>(N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P$12*12</f>
        <v>60.22</v>
      </c>
      <c r="AJ65" s="40">
        <f>(O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Q$12*12</f>
        <v>48.22</v>
      </c>
      <c r="AK65" s="40">
        <f>(P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R$12*12</f>
        <v>36.22</v>
      </c>
      <c r="AL65" s="40">
        <f>(Q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S$12*12</f>
        <v>24.22</v>
      </c>
      <c r="AM65" s="40">
        <f>(R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T$12*12</f>
        <v>18.22</v>
      </c>
      <c r="AN65" s="40">
        <f>(S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U$12*12</f>
        <v>12.22</v>
      </c>
      <c r="AO65" s="40">
        <f>(T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V$12*12</f>
        <v>6.22</v>
      </c>
      <c r="AP65" s="40">
        <f>(U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W$12*12</f>
        <v>6.22</v>
      </c>
      <c r="AQ65" s="40">
        <f>(V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X$12*12</f>
        <v>6.22</v>
      </c>
      <c r="AR65" s="40">
        <f>(W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Y$12*12</f>
        <v>6.22</v>
      </c>
      <c r="AS65" s="40">
        <f>(X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Z$12*12</f>
        <v>6.22</v>
      </c>
      <c r="AT65" s="40">
        <f>(Y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AA$12*12</f>
        <v>6.22</v>
      </c>
      <c r="AU65" s="40">
        <f>(Z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AB$12*12</f>
        <v>6.22</v>
      </c>
      <c r="AV65" s="40">
        <f>(AA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AC$12*12</f>
        <v>6.22</v>
      </c>
      <c r="AW65" s="40">
        <f>(AB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AD$12*12</f>
        <v>6.22</v>
      </c>
      <c r="AX65" s="40">
        <f>(AC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AE$12*12</f>
        <v>6.22</v>
      </c>
      <c r="AY65" s="40">
        <f>(AD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AF$12*12</f>
        <v>6.22</v>
      </c>
      <c r="AZ65" s="40">
        <f>(AE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AG$12*12</f>
        <v>6.22</v>
      </c>
      <c r="BA65" s="40">
        <f>(AF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AH$12*12</f>
        <v>6.22</v>
      </c>
      <c r="BB65" s="40">
        <f>(AG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AI$12*12</f>
        <v>6.22</v>
      </c>
      <c r="BC65" s="40">
        <f>(AH65*IF($G65="credit",TechnicalInputs!$D$22,IF($G65="Debit",TechnicalInputs!$D$24,IF($G65="EFT",TechnicalInputs!$D$26,0)))+IF($G65="credit",TechnicalInputs!$D$21,IF($G65="debit",TechnicalInputs!$D$23,IF($G65="eft",TechnicalInputs!$D$25)))+IF(TransactionCosts!$C65="online",TechnicalInputs!$D$28,TechnicalInputs!$D$27))*$E65+AJ$12*12</f>
        <v>6.22</v>
      </c>
      <c r="BD65" s="28">
        <f t="shared" si="12"/>
        <v>0</v>
      </c>
      <c r="BE65" s="28">
        <f t="shared" si="13"/>
        <v>0</v>
      </c>
      <c r="BF65" s="28">
        <f t="shared" si="14"/>
        <v>0</v>
      </c>
      <c r="BG65" s="28">
        <f t="shared" si="15"/>
        <v>0</v>
      </c>
      <c r="BH65" s="28">
        <f t="shared" si="16"/>
        <v>0</v>
      </c>
      <c r="BI65" s="28">
        <f t="shared" si="17"/>
        <v>0</v>
      </c>
      <c r="BJ65" s="28">
        <f t="shared" si="18"/>
        <v>0</v>
      </c>
      <c r="BK65" s="28">
        <f t="shared" si="19"/>
        <v>0</v>
      </c>
      <c r="BL65" s="28">
        <f t="shared" si="20"/>
        <v>0</v>
      </c>
      <c r="BM65" s="28">
        <f t="shared" si="21"/>
        <v>0</v>
      </c>
      <c r="BN65" s="28">
        <f t="shared" si="22"/>
        <v>0</v>
      </c>
      <c r="BO65" s="28">
        <f t="shared" si="23"/>
        <v>0</v>
      </c>
      <c r="BP65" s="28">
        <f t="shared" si="24"/>
        <v>0</v>
      </c>
      <c r="BQ65" s="28">
        <f t="shared" si="25"/>
        <v>0</v>
      </c>
      <c r="BR65" s="28">
        <f t="shared" si="26"/>
        <v>0</v>
      </c>
      <c r="BS65" s="28">
        <f t="shared" si="27"/>
        <v>0</v>
      </c>
      <c r="BT65" s="28">
        <f t="shared" si="28"/>
        <v>0</v>
      </c>
      <c r="BU65" s="28">
        <f t="shared" si="29"/>
        <v>0</v>
      </c>
      <c r="BV65" s="28">
        <f t="shared" si="30"/>
        <v>0</v>
      </c>
      <c r="BW65" s="28">
        <f t="shared" si="31"/>
        <v>0</v>
      </c>
      <c r="BX65" s="28">
        <f t="shared" si="32"/>
        <v>0</v>
      </c>
      <c r="BY65" s="83">
        <f t="shared" si="33"/>
        <v>0</v>
      </c>
      <c r="BZ65" s="83">
        <f t="shared" si="52"/>
        <v>0</v>
      </c>
      <c r="CA65" s="83">
        <f t="shared" si="53"/>
        <v>0</v>
      </c>
      <c r="CB65" s="83">
        <f t="shared" si="54"/>
        <v>0</v>
      </c>
      <c r="CC65" s="83">
        <f t="shared" si="55"/>
        <v>0</v>
      </c>
      <c r="CD65" s="83">
        <f t="shared" si="56"/>
        <v>0</v>
      </c>
      <c r="CE65" s="83">
        <f t="shared" si="57"/>
        <v>0</v>
      </c>
      <c r="CF65" s="83">
        <f t="shared" si="58"/>
        <v>0</v>
      </c>
      <c r="CG65" s="83">
        <f t="shared" si="59"/>
        <v>0</v>
      </c>
      <c r="CH65" s="83">
        <f t="shared" si="60"/>
        <v>0</v>
      </c>
      <c r="CI65" s="83">
        <f t="shared" si="61"/>
        <v>0</v>
      </c>
      <c r="CJ65" s="83">
        <f t="shared" si="62"/>
        <v>0</v>
      </c>
      <c r="CK65" s="83">
        <f t="shared" si="63"/>
        <v>0</v>
      </c>
      <c r="CL65" s="83">
        <f t="shared" si="64"/>
        <v>0</v>
      </c>
      <c r="CM65" s="83">
        <f t="shared" si="65"/>
        <v>0</v>
      </c>
      <c r="CN65" s="83">
        <f t="shared" si="66"/>
        <v>0</v>
      </c>
      <c r="CO65" s="83">
        <f t="shared" si="41"/>
        <v>0</v>
      </c>
      <c r="CP65" s="83">
        <f t="shared" si="42"/>
        <v>0</v>
      </c>
      <c r="CQ65" s="83">
        <f t="shared" si="43"/>
        <v>0</v>
      </c>
      <c r="CR65" s="83">
        <f t="shared" si="44"/>
        <v>0</v>
      </c>
      <c r="CS65" s="83">
        <f t="shared" si="45"/>
        <v>0</v>
      </c>
      <c r="CT65" s="84">
        <f t="shared" si="34"/>
        <v>0</v>
      </c>
      <c r="CU65" s="84">
        <f t="shared" si="67"/>
        <v>0</v>
      </c>
      <c r="CV65" s="84">
        <f t="shared" si="68"/>
        <v>0</v>
      </c>
      <c r="CW65" s="84">
        <f t="shared" si="69"/>
        <v>0</v>
      </c>
      <c r="CX65" s="84">
        <f t="shared" si="70"/>
        <v>0</v>
      </c>
      <c r="CY65" s="84">
        <f t="shared" si="71"/>
        <v>0</v>
      </c>
      <c r="CZ65" s="84">
        <f t="shared" si="72"/>
        <v>0</v>
      </c>
      <c r="DA65" s="84">
        <f t="shared" si="73"/>
        <v>0</v>
      </c>
      <c r="DB65" s="84">
        <f t="shared" si="74"/>
        <v>0</v>
      </c>
      <c r="DC65" s="84">
        <f t="shared" si="75"/>
        <v>0</v>
      </c>
      <c r="DD65" s="84">
        <f t="shared" si="76"/>
        <v>0</v>
      </c>
      <c r="DE65" s="84">
        <f t="shared" si="77"/>
        <v>0</v>
      </c>
      <c r="DF65" s="84">
        <f t="shared" si="78"/>
        <v>0</v>
      </c>
      <c r="DG65" s="84">
        <f t="shared" si="79"/>
        <v>0</v>
      </c>
      <c r="DH65" s="84">
        <f t="shared" si="80"/>
        <v>0</v>
      </c>
      <c r="DI65" s="84">
        <f t="shared" si="81"/>
        <v>0</v>
      </c>
      <c r="DJ65" s="84">
        <f t="shared" si="46"/>
        <v>0</v>
      </c>
      <c r="DK65" s="84">
        <f t="shared" si="47"/>
        <v>0</v>
      </c>
      <c r="DL65" s="84">
        <f t="shared" si="48"/>
        <v>0</v>
      </c>
      <c r="DM65" s="84">
        <f t="shared" si="49"/>
        <v>0</v>
      </c>
      <c r="DN65" s="84">
        <f t="shared" si="50"/>
        <v>0</v>
      </c>
    </row>
    <row r="66" spans="1:118">
      <c r="A66" s="3" t="s">
        <v>207</v>
      </c>
      <c r="B66" s="65">
        <f t="shared" si="6"/>
        <v>0.1</v>
      </c>
      <c r="C66" s="3" t="s">
        <v>204</v>
      </c>
      <c r="D66" s="65">
        <f t="shared" si="84"/>
        <v>0.75</v>
      </c>
      <c r="E66" s="3">
        <v>4</v>
      </c>
      <c r="F66" s="65">
        <f t="shared" si="85"/>
        <v>0.19999999999999996</v>
      </c>
      <c r="G66" s="3" t="s">
        <v>202</v>
      </c>
      <c r="H66" s="65">
        <v>0.25</v>
      </c>
      <c r="I66" s="65">
        <f t="shared" si="9"/>
        <v>3.7499999999999999E-3</v>
      </c>
      <c r="J66" s="3">
        <f>TechnicalInputs!$D$31</f>
        <v>0</v>
      </c>
      <c r="K66" s="3">
        <f>TechnicalInputs!$D$34</f>
        <v>2</v>
      </c>
      <c r="L66" s="3">
        <f t="shared" si="10"/>
        <v>2</v>
      </c>
      <c r="M66" s="1"/>
      <c r="N66" s="40">
        <f t="shared" si="88"/>
        <v>0</v>
      </c>
      <c r="O66" s="40">
        <f t="shared" si="87"/>
        <v>0</v>
      </c>
      <c r="P66" s="40">
        <f t="shared" si="87"/>
        <v>0</v>
      </c>
      <c r="Q66" s="40">
        <f t="shared" si="87"/>
        <v>0</v>
      </c>
      <c r="R66" s="40">
        <f t="shared" si="87"/>
        <v>0</v>
      </c>
      <c r="S66" s="40">
        <f t="shared" si="87"/>
        <v>0</v>
      </c>
      <c r="T66" s="40">
        <f t="shared" si="87"/>
        <v>0</v>
      </c>
      <c r="U66" s="40">
        <f t="shared" si="87"/>
        <v>0</v>
      </c>
      <c r="V66" s="40">
        <f t="shared" si="87"/>
        <v>0</v>
      </c>
      <c r="W66" s="40">
        <f t="shared" si="87"/>
        <v>0</v>
      </c>
      <c r="X66" s="40">
        <f t="shared" si="87"/>
        <v>0</v>
      </c>
      <c r="Y66" s="40">
        <f t="shared" si="87"/>
        <v>0</v>
      </c>
      <c r="Z66" s="40">
        <f t="shared" si="87"/>
        <v>0</v>
      </c>
      <c r="AA66" s="40">
        <f t="shared" si="87"/>
        <v>0</v>
      </c>
      <c r="AB66" s="40">
        <f t="shared" si="87"/>
        <v>0</v>
      </c>
      <c r="AC66" s="40">
        <f t="shared" si="87"/>
        <v>0</v>
      </c>
      <c r="AD66" s="40">
        <f t="shared" si="87"/>
        <v>0</v>
      </c>
      <c r="AE66" s="40">
        <f t="shared" si="86"/>
        <v>0</v>
      </c>
      <c r="AF66" s="40">
        <f t="shared" si="86"/>
        <v>0</v>
      </c>
      <c r="AG66" s="40">
        <f t="shared" si="86"/>
        <v>0</v>
      </c>
      <c r="AH66" s="40">
        <f t="shared" si="86"/>
        <v>0</v>
      </c>
      <c r="AI66" s="40">
        <f>(N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P$12*12</f>
        <v>60.44</v>
      </c>
      <c r="AJ66" s="40">
        <f>(O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Q$12*12</f>
        <v>48.44</v>
      </c>
      <c r="AK66" s="40">
        <f>(P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R$12*12</f>
        <v>36.44</v>
      </c>
      <c r="AL66" s="40">
        <f>(Q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S$12*12</f>
        <v>24.44</v>
      </c>
      <c r="AM66" s="40">
        <f>(R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T$12*12</f>
        <v>18.440000000000001</v>
      </c>
      <c r="AN66" s="40">
        <f>(S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U$12*12</f>
        <v>12.44</v>
      </c>
      <c r="AO66" s="40">
        <f>(T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V$12*12</f>
        <v>6.44</v>
      </c>
      <c r="AP66" s="40">
        <f>(U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W$12*12</f>
        <v>6.44</v>
      </c>
      <c r="AQ66" s="40">
        <f>(V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X$12*12</f>
        <v>6.44</v>
      </c>
      <c r="AR66" s="40">
        <f>(W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Y$12*12</f>
        <v>6.44</v>
      </c>
      <c r="AS66" s="40">
        <f>(X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Z$12*12</f>
        <v>6.44</v>
      </c>
      <c r="AT66" s="40">
        <f>(Y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AA$12*12</f>
        <v>6.44</v>
      </c>
      <c r="AU66" s="40">
        <f>(Z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AB$12*12</f>
        <v>6.44</v>
      </c>
      <c r="AV66" s="40">
        <f>(AA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AC$12*12</f>
        <v>6.44</v>
      </c>
      <c r="AW66" s="40">
        <f>(AB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AD$12*12</f>
        <v>6.44</v>
      </c>
      <c r="AX66" s="40">
        <f>(AC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AE$12*12</f>
        <v>6.44</v>
      </c>
      <c r="AY66" s="40">
        <f>(AD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AF$12*12</f>
        <v>6.44</v>
      </c>
      <c r="AZ66" s="40">
        <f>(AE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AG$12*12</f>
        <v>6.44</v>
      </c>
      <c r="BA66" s="40">
        <f>(AF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AH$12*12</f>
        <v>6.44</v>
      </c>
      <c r="BB66" s="40">
        <f>(AG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AI$12*12</f>
        <v>6.44</v>
      </c>
      <c r="BC66" s="40">
        <f>(AH66*IF($G66="credit",TechnicalInputs!$D$22,IF($G66="Debit",TechnicalInputs!$D$24,IF($G66="EFT",TechnicalInputs!$D$26,0)))+IF($G66="credit",TechnicalInputs!$D$21,IF($G66="debit",TechnicalInputs!$D$23,IF($G66="eft",TechnicalInputs!$D$25)))+IF(TransactionCosts!$C66="online",TechnicalInputs!$D$28,TechnicalInputs!$D$27))*$E66+AJ$12*12</f>
        <v>6.44</v>
      </c>
      <c r="BD66" s="28">
        <f t="shared" si="12"/>
        <v>0</v>
      </c>
      <c r="BE66" s="28">
        <f t="shared" si="13"/>
        <v>0</v>
      </c>
      <c r="BF66" s="28">
        <f t="shared" si="14"/>
        <v>0</v>
      </c>
      <c r="BG66" s="28">
        <f t="shared" si="15"/>
        <v>0</v>
      </c>
      <c r="BH66" s="28">
        <f t="shared" si="16"/>
        <v>0</v>
      </c>
      <c r="BI66" s="28">
        <f t="shared" si="17"/>
        <v>0</v>
      </c>
      <c r="BJ66" s="28">
        <f t="shared" si="18"/>
        <v>0</v>
      </c>
      <c r="BK66" s="28">
        <f t="shared" si="19"/>
        <v>0</v>
      </c>
      <c r="BL66" s="28">
        <f t="shared" si="20"/>
        <v>0</v>
      </c>
      <c r="BM66" s="28">
        <f t="shared" si="21"/>
        <v>0</v>
      </c>
      <c r="BN66" s="28">
        <f t="shared" si="22"/>
        <v>0</v>
      </c>
      <c r="BO66" s="28">
        <f t="shared" si="23"/>
        <v>0</v>
      </c>
      <c r="BP66" s="28">
        <f t="shared" si="24"/>
        <v>0</v>
      </c>
      <c r="BQ66" s="28">
        <f t="shared" si="25"/>
        <v>0</v>
      </c>
      <c r="BR66" s="28">
        <f t="shared" si="26"/>
        <v>0</v>
      </c>
      <c r="BS66" s="28">
        <f t="shared" si="27"/>
        <v>0</v>
      </c>
      <c r="BT66" s="28">
        <f t="shared" si="28"/>
        <v>0</v>
      </c>
      <c r="BU66" s="28">
        <f t="shared" si="29"/>
        <v>0</v>
      </c>
      <c r="BV66" s="28">
        <f t="shared" si="30"/>
        <v>0</v>
      </c>
      <c r="BW66" s="28">
        <f t="shared" si="31"/>
        <v>0</v>
      </c>
      <c r="BX66" s="28">
        <f t="shared" si="32"/>
        <v>0</v>
      </c>
      <c r="BY66" s="83">
        <f t="shared" si="33"/>
        <v>0</v>
      </c>
      <c r="BZ66" s="83">
        <f t="shared" si="52"/>
        <v>0</v>
      </c>
      <c r="CA66" s="83">
        <f t="shared" si="53"/>
        <v>0</v>
      </c>
      <c r="CB66" s="83">
        <f t="shared" si="54"/>
        <v>0</v>
      </c>
      <c r="CC66" s="83">
        <f t="shared" si="55"/>
        <v>0</v>
      </c>
      <c r="CD66" s="83">
        <f t="shared" si="56"/>
        <v>0</v>
      </c>
      <c r="CE66" s="83">
        <f t="shared" si="57"/>
        <v>0</v>
      </c>
      <c r="CF66" s="83">
        <f t="shared" si="58"/>
        <v>0</v>
      </c>
      <c r="CG66" s="83">
        <f t="shared" si="59"/>
        <v>0</v>
      </c>
      <c r="CH66" s="83">
        <f t="shared" si="60"/>
        <v>0</v>
      </c>
      <c r="CI66" s="83">
        <f t="shared" si="61"/>
        <v>0</v>
      </c>
      <c r="CJ66" s="83">
        <f t="shared" si="62"/>
        <v>0</v>
      </c>
      <c r="CK66" s="83">
        <f t="shared" si="63"/>
        <v>0</v>
      </c>
      <c r="CL66" s="83">
        <f t="shared" si="64"/>
        <v>0</v>
      </c>
      <c r="CM66" s="83">
        <f t="shared" si="65"/>
        <v>0</v>
      </c>
      <c r="CN66" s="83">
        <f t="shared" si="66"/>
        <v>0</v>
      </c>
      <c r="CO66" s="83">
        <f t="shared" si="41"/>
        <v>0</v>
      </c>
      <c r="CP66" s="83">
        <f t="shared" si="42"/>
        <v>0</v>
      </c>
      <c r="CQ66" s="83">
        <f t="shared" si="43"/>
        <v>0</v>
      </c>
      <c r="CR66" s="83">
        <f t="shared" si="44"/>
        <v>0</v>
      </c>
      <c r="CS66" s="83">
        <f t="shared" si="45"/>
        <v>0</v>
      </c>
      <c r="CT66" s="84">
        <f t="shared" si="34"/>
        <v>0</v>
      </c>
      <c r="CU66" s="84">
        <f t="shared" si="67"/>
        <v>0</v>
      </c>
      <c r="CV66" s="84">
        <f t="shared" si="68"/>
        <v>0</v>
      </c>
      <c r="CW66" s="84">
        <f t="shared" si="69"/>
        <v>0</v>
      </c>
      <c r="CX66" s="84">
        <f t="shared" si="70"/>
        <v>0</v>
      </c>
      <c r="CY66" s="84">
        <f t="shared" si="71"/>
        <v>0</v>
      </c>
      <c r="CZ66" s="84">
        <f t="shared" si="72"/>
        <v>0</v>
      </c>
      <c r="DA66" s="84">
        <f t="shared" si="73"/>
        <v>0</v>
      </c>
      <c r="DB66" s="84">
        <f t="shared" si="74"/>
        <v>0</v>
      </c>
      <c r="DC66" s="84">
        <f t="shared" si="75"/>
        <v>0</v>
      </c>
      <c r="DD66" s="84">
        <f t="shared" si="76"/>
        <v>0</v>
      </c>
      <c r="DE66" s="84">
        <f t="shared" si="77"/>
        <v>0</v>
      </c>
      <c r="DF66" s="84">
        <f t="shared" si="78"/>
        <v>0</v>
      </c>
      <c r="DG66" s="84">
        <f t="shared" si="79"/>
        <v>0</v>
      </c>
      <c r="DH66" s="84">
        <f t="shared" si="80"/>
        <v>0</v>
      </c>
      <c r="DI66" s="84">
        <f t="shared" si="81"/>
        <v>0</v>
      </c>
      <c r="DJ66" s="84">
        <f t="shared" si="46"/>
        <v>0</v>
      </c>
      <c r="DK66" s="84">
        <f t="shared" si="47"/>
        <v>0</v>
      </c>
      <c r="DL66" s="84">
        <f t="shared" si="48"/>
        <v>0</v>
      </c>
      <c r="DM66" s="84">
        <f t="shared" si="49"/>
        <v>0</v>
      </c>
      <c r="DN66" s="84">
        <f t="shared" si="50"/>
        <v>0</v>
      </c>
    </row>
    <row r="67" spans="1:118">
      <c r="A67" s="3" t="s">
        <v>208</v>
      </c>
      <c r="B67" s="65">
        <f t="shared" si="6"/>
        <v>0.65</v>
      </c>
      <c r="C67" s="3" t="s">
        <v>62</v>
      </c>
      <c r="D67" s="6" t="s">
        <v>62</v>
      </c>
      <c r="E67" s="3">
        <v>1</v>
      </c>
      <c r="F67" s="3" t="s">
        <v>62</v>
      </c>
      <c r="G67" s="3" t="s">
        <v>62</v>
      </c>
      <c r="H67" s="3" t="s">
        <v>62</v>
      </c>
      <c r="I67" s="65">
        <f>B67</f>
        <v>0.65</v>
      </c>
      <c r="J67" s="3">
        <v>0</v>
      </c>
      <c r="K67" s="3">
        <v>0</v>
      </c>
      <c r="L67" s="3">
        <f t="shared" si="10"/>
        <v>0</v>
      </c>
      <c r="M67" s="1"/>
      <c r="N67" s="40">
        <f t="shared" si="88"/>
        <v>0</v>
      </c>
      <c r="O67" s="40">
        <f t="shared" si="87"/>
        <v>0</v>
      </c>
      <c r="P67" s="40">
        <f t="shared" si="87"/>
        <v>0</v>
      </c>
      <c r="Q67" s="40">
        <f t="shared" si="87"/>
        <v>0</v>
      </c>
      <c r="R67" s="40">
        <f t="shared" si="87"/>
        <v>0</v>
      </c>
      <c r="S67" s="40">
        <f t="shared" si="87"/>
        <v>0</v>
      </c>
      <c r="T67" s="40">
        <f t="shared" si="87"/>
        <v>0</v>
      </c>
      <c r="U67" s="40">
        <f t="shared" si="87"/>
        <v>0</v>
      </c>
      <c r="V67" s="40">
        <f t="shared" si="87"/>
        <v>0</v>
      </c>
      <c r="W67" s="40">
        <f t="shared" si="87"/>
        <v>0</v>
      </c>
      <c r="X67" s="40">
        <f t="shared" si="87"/>
        <v>0</v>
      </c>
      <c r="Y67" s="40">
        <f t="shared" si="87"/>
        <v>0</v>
      </c>
      <c r="Z67" s="40">
        <f t="shared" si="87"/>
        <v>0</v>
      </c>
      <c r="AA67" s="40">
        <f t="shared" si="87"/>
        <v>0</v>
      </c>
      <c r="AB67" s="40">
        <f t="shared" si="87"/>
        <v>0</v>
      </c>
      <c r="AC67" s="40">
        <f t="shared" si="87"/>
        <v>0</v>
      </c>
      <c r="AD67" s="40">
        <f t="shared" si="87"/>
        <v>0</v>
      </c>
      <c r="AE67" s="40">
        <f t="shared" si="86"/>
        <v>0</v>
      </c>
      <c r="AF67" s="40">
        <f t="shared" si="86"/>
        <v>0</v>
      </c>
      <c r="AG67" s="40">
        <f t="shared" si="86"/>
        <v>0</v>
      </c>
      <c r="AH67" s="40">
        <f t="shared" si="86"/>
        <v>0</v>
      </c>
      <c r="AI67" s="40">
        <f>N67*P11</f>
        <v>0</v>
      </c>
      <c r="AJ67" s="40">
        <f t="shared" ref="AJ67:BC67" si="89">O67*Q11</f>
        <v>0</v>
      </c>
      <c r="AK67" s="40">
        <f t="shared" si="89"/>
        <v>0</v>
      </c>
      <c r="AL67" s="40">
        <f t="shared" si="89"/>
        <v>0</v>
      </c>
      <c r="AM67" s="40">
        <f t="shared" si="89"/>
        <v>0</v>
      </c>
      <c r="AN67" s="40">
        <f t="shared" si="89"/>
        <v>0</v>
      </c>
      <c r="AO67" s="40">
        <f t="shared" si="89"/>
        <v>0</v>
      </c>
      <c r="AP67" s="40">
        <f t="shared" si="89"/>
        <v>0</v>
      </c>
      <c r="AQ67" s="40">
        <f t="shared" si="89"/>
        <v>0</v>
      </c>
      <c r="AR67" s="40">
        <f t="shared" si="89"/>
        <v>0</v>
      </c>
      <c r="AS67" s="40">
        <f t="shared" si="89"/>
        <v>0</v>
      </c>
      <c r="AT67" s="40">
        <f t="shared" si="89"/>
        <v>0</v>
      </c>
      <c r="AU67" s="40">
        <f t="shared" si="89"/>
        <v>0</v>
      </c>
      <c r="AV67" s="40">
        <f t="shared" si="89"/>
        <v>0</v>
      </c>
      <c r="AW67" s="40">
        <f t="shared" si="89"/>
        <v>0</v>
      </c>
      <c r="AX67" s="40">
        <f t="shared" si="89"/>
        <v>0</v>
      </c>
      <c r="AY67" s="40">
        <f t="shared" si="89"/>
        <v>0</v>
      </c>
      <c r="AZ67" s="40">
        <f t="shared" si="89"/>
        <v>0</v>
      </c>
      <c r="BA67" s="40">
        <f t="shared" si="89"/>
        <v>0</v>
      </c>
      <c r="BB67" s="40">
        <f t="shared" si="89"/>
        <v>0</v>
      </c>
      <c r="BC67" s="40">
        <f t="shared" si="89"/>
        <v>0</v>
      </c>
      <c r="BD67" s="28">
        <f t="shared" si="12"/>
        <v>0</v>
      </c>
      <c r="BE67" s="28">
        <f t="shared" si="13"/>
        <v>0</v>
      </c>
      <c r="BF67" s="28">
        <f t="shared" si="14"/>
        <v>0</v>
      </c>
      <c r="BG67" s="28">
        <f t="shared" si="15"/>
        <v>0</v>
      </c>
      <c r="BH67" s="28">
        <f t="shared" si="16"/>
        <v>0</v>
      </c>
      <c r="BI67" s="28">
        <f t="shared" si="17"/>
        <v>0</v>
      </c>
      <c r="BJ67" s="28">
        <f t="shared" si="18"/>
        <v>0</v>
      </c>
      <c r="BK67" s="28">
        <f t="shared" si="19"/>
        <v>0</v>
      </c>
      <c r="BL67" s="28">
        <f t="shared" si="20"/>
        <v>0</v>
      </c>
      <c r="BM67" s="28">
        <f t="shared" si="21"/>
        <v>0</v>
      </c>
      <c r="BN67" s="28">
        <f t="shared" si="22"/>
        <v>0</v>
      </c>
      <c r="BO67" s="28">
        <f t="shared" si="23"/>
        <v>0</v>
      </c>
      <c r="BP67" s="28">
        <f t="shared" si="24"/>
        <v>0</v>
      </c>
      <c r="BQ67" s="28">
        <f t="shared" si="25"/>
        <v>0</v>
      </c>
      <c r="BR67" s="28">
        <f t="shared" si="26"/>
        <v>0</v>
      </c>
      <c r="BS67" s="28">
        <f t="shared" si="27"/>
        <v>0</v>
      </c>
      <c r="BT67" s="28">
        <f t="shared" si="28"/>
        <v>0</v>
      </c>
      <c r="BU67" s="28">
        <f t="shared" si="29"/>
        <v>0</v>
      </c>
      <c r="BV67" s="28">
        <f t="shared" si="30"/>
        <v>0</v>
      </c>
      <c r="BW67" s="28">
        <f t="shared" si="31"/>
        <v>0</v>
      </c>
      <c r="BX67" s="28">
        <f t="shared" si="32"/>
        <v>0</v>
      </c>
      <c r="BY67" s="83">
        <f t="shared" si="33"/>
        <v>0</v>
      </c>
      <c r="BZ67" s="83">
        <f t="shared" si="52"/>
        <v>0</v>
      </c>
      <c r="CA67" s="83">
        <f t="shared" si="53"/>
        <v>0</v>
      </c>
      <c r="CB67" s="83">
        <f t="shared" si="54"/>
        <v>0</v>
      </c>
      <c r="CC67" s="83">
        <f t="shared" si="55"/>
        <v>0</v>
      </c>
      <c r="CD67" s="83">
        <f t="shared" si="56"/>
        <v>0</v>
      </c>
      <c r="CE67" s="83">
        <f t="shared" si="57"/>
        <v>0</v>
      </c>
      <c r="CF67" s="83">
        <f t="shared" si="58"/>
        <v>0</v>
      </c>
      <c r="CG67" s="83">
        <f t="shared" si="59"/>
        <v>0</v>
      </c>
      <c r="CH67" s="83">
        <f t="shared" si="60"/>
        <v>0</v>
      </c>
      <c r="CI67" s="83">
        <f t="shared" si="61"/>
        <v>0</v>
      </c>
      <c r="CJ67" s="83">
        <f t="shared" si="62"/>
        <v>0</v>
      </c>
      <c r="CK67" s="83">
        <f t="shared" si="63"/>
        <v>0</v>
      </c>
      <c r="CL67" s="83">
        <f t="shared" si="64"/>
        <v>0</v>
      </c>
      <c r="CM67" s="83">
        <f t="shared" si="65"/>
        <v>0</v>
      </c>
      <c r="CN67" s="83">
        <f t="shared" si="66"/>
        <v>0</v>
      </c>
      <c r="CO67" s="83">
        <f t="shared" si="41"/>
        <v>0</v>
      </c>
      <c r="CP67" s="83">
        <f t="shared" si="42"/>
        <v>0</v>
      </c>
      <c r="CQ67" s="83">
        <f t="shared" si="43"/>
        <v>0</v>
      </c>
      <c r="CR67" s="83">
        <f t="shared" si="44"/>
        <v>0</v>
      </c>
      <c r="CS67" s="83">
        <f t="shared" si="45"/>
        <v>0</v>
      </c>
      <c r="CT67" s="84">
        <f t="shared" si="34"/>
        <v>0</v>
      </c>
      <c r="CU67" s="84">
        <f t="shared" si="67"/>
        <v>0</v>
      </c>
      <c r="CV67" s="84">
        <f t="shared" si="68"/>
        <v>0</v>
      </c>
      <c r="CW67" s="84">
        <f t="shared" si="69"/>
        <v>0</v>
      </c>
      <c r="CX67" s="84">
        <f t="shared" si="70"/>
        <v>0</v>
      </c>
      <c r="CY67" s="84">
        <f t="shared" si="71"/>
        <v>0</v>
      </c>
      <c r="CZ67" s="84">
        <f t="shared" si="72"/>
        <v>0</v>
      </c>
      <c r="DA67" s="84">
        <f t="shared" si="73"/>
        <v>0</v>
      </c>
      <c r="DB67" s="84">
        <f t="shared" si="74"/>
        <v>0</v>
      </c>
      <c r="DC67" s="84">
        <f t="shared" si="75"/>
        <v>0</v>
      </c>
      <c r="DD67" s="84">
        <f t="shared" si="76"/>
        <v>0</v>
      </c>
      <c r="DE67" s="84">
        <f t="shared" si="77"/>
        <v>0</v>
      </c>
      <c r="DF67" s="84">
        <f t="shared" si="78"/>
        <v>0</v>
      </c>
      <c r="DG67" s="84">
        <f t="shared" si="79"/>
        <v>0</v>
      </c>
      <c r="DH67" s="84">
        <f t="shared" si="80"/>
        <v>0</v>
      </c>
      <c r="DI67" s="84">
        <f t="shared" si="81"/>
        <v>0</v>
      </c>
      <c r="DJ67" s="84">
        <f t="shared" si="46"/>
        <v>0</v>
      </c>
      <c r="DK67" s="84">
        <f t="shared" si="47"/>
        <v>0</v>
      </c>
      <c r="DL67" s="84">
        <f t="shared" si="48"/>
        <v>0</v>
      </c>
      <c r="DM67" s="84">
        <f t="shared" si="49"/>
        <v>0</v>
      </c>
      <c r="DN67" s="84">
        <f t="shared" si="50"/>
        <v>0</v>
      </c>
    </row>
    <row r="68" spans="1:118">
      <c r="I68" s="77">
        <f>SUM(I31:I67)</f>
        <v>1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84">
        <f>SUM(BJ31:BJ67)</f>
        <v>0</v>
      </c>
      <c r="BK68" s="84">
        <f t="shared" ref="BK68:BX68" si="90">SUM(BK31:BK67)</f>
        <v>0</v>
      </c>
      <c r="BL68" s="84">
        <f t="shared" si="90"/>
        <v>0</v>
      </c>
      <c r="BM68" s="84">
        <f t="shared" si="90"/>
        <v>0</v>
      </c>
      <c r="BN68" s="84">
        <f t="shared" si="90"/>
        <v>0</v>
      </c>
      <c r="BO68" s="84">
        <f t="shared" si="90"/>
        <v>0</v>
      </c>
      <c r="BP68" s="84">
        <f t="shared" si="90"/>
        <v>0</v>
      </c>
      <c r="BQ68" s="84">
        <f t="shared" si="90"/>
        <v>0</v>
      </c>
      <c r="BR68" s="84">
        <f t="shared" si="90"/>
        <v>0</v>
      </c>
      <c r="BS68" s="84">
        <f t="shared" si="90"/>
        <v>0</v>
      </c>
      <c r="BT68" s="84">
        <f t="shared" si="90"/>
        <v>0</v>
      </c>
      <c r="BU68" s="84">
        <f t="shared" si="90"/>
        <v>0</v>
      </c>
      <c r="BV68" s="84">
        <f t="shared" si="90"/>
        <v>0</v>
      </c>
      <c r="BW68" s="84">
        <f t="shared" si="90"/>
        <v>0</v>
      </c>
      <c r="BX68" s="84">
        <f t="shared" si="90"/>
        <v>0</v>
      </c>
      <c r="BY68" s="84">
        <f>SUM(BY31:BY67)</f>
        <v>0</v>
      </c>
      <c r="BZ68" s="84">
        <f t="shared" ref="BZ68:DN68" si="91">SUM(BZ31:BZ67)</f>
        <v>0</v>
      </c>
      <c r="CA68" s="84">
        <f t="shared" si="91"/>
        <v>0</v>
      </c>
      <c r="CB68" s="84">
        <f t="shared" si="91"/>
        <v>0</v>
      </c>
      <c r="CC68" s="84">
        <f t="shared" si="91"/>
        <v>0</v>
      </c>
      <c r="CD68" s="84">
        <f t="shared" si="91"/>
        <v>0</v>
      </c>
      <c r="CE68" s="84">
        <f t="shared" si="91"/>
        <v>0</v>
      </c>
      <c r="CF68" s="84">
        <f t="shared" si="91"/>
        <v>0</v>
      </c>
      <c r="CG68" s="84">
        <f t="shared" si="91"/>
        <v>0</v>
      </c>
      <c r="CH68" s="84">
        <f t="shared" si="91"/>
        <v>0</v>
      </c>
      <c r="CI68" s="84">
        <f t="shared" si="91"/>
        <v>0</v>
      </c>
      <c r="CJ68" s="84">
        <f t="shared" si="91"/>
        <v>0</v>
      </c>
      <c r="CK68" s="84">
        <f t="shared" si="91"/>
        <v>0</v>
      </c>
      <c r="CL68" s="84">
        <f t="shared" si="91"/>
        <v>0</v>
      </c>
      <c r="CM68" s="84">
        <f t="shared" si="91"/>
        <v>0</v>
      </c>
      <c r="CN68" s="84">
        <f t="shared" si="91"/>
        <v>0</v>
      </c>
      <c r="CO68" s="84">
        <f t="shared" si="91"/>
        <v>0</v>
      </c>
      <c r="CP68" s="84">
        <f t="shared" si="91"/>
        <v>0</v>
      </c>
      <c r="CQ68" s="84">
        <f t="shared" si="91"/>
        <v>0</v>
      </c>
      <c r="CR68" s="84">
        <f t="shared" si="91"/>
        <v>0</v>
      </c>
      <c r="CS68" s="84">
        <f t="shared" si="91"/>
        <v>0</v>
      </c>
      <c r="CT68" s="84">
        <f t="shared" si="91"/>
        <v>0</v>
      </c>
      <c r="CU68" s="84">
        <f t="shared" si="91"/>
        <v>0</v>
      </c>
      <c r="CV68" s="84">
        <f t="shared" si="91"/>
        <v>0</v>
      </c>
      <c r="CW68" s="84">
        <f t="shared" si="91"/>
        <v>0</v>
      </c>
      <c r="CX68" s="84">
        <f t="shared" si="91"/>
        <v>0</v>
      </c>
      <c r="CY68" s="84">
        <f t="shared" si="91"/>
        <v>0</v>
      </c>
      <c r="CZ68" s="84">
        <f t="shared" si="91"/>
        <v>0</v>
      </c>
      <c r="DA68" s="84">
        <f t="shared" si="91"/>
        <v>0</v>
      </c>
      <c r="DB68" s="84">
        <f t="shared" si="91"/>
        <v>0</v>
      </c>
      <c r="DC68" s="84">
        <f t="shared" si="91"/>
        <v>0</v>
      </c>
      <c r="DD68" s="84">
        <f t="shared" si="91"/>
        <v>0</v>
      </c>
      <c r="DE68" s="84">
        <f t="shared" si="91"/>
        <v>0</v>
      </c>
      <c r="DF68" s="84">
        <f t="shared" si="91"/>
        <v>0</v>
      </c>
      <c r="DG68" s="84">
        <f t="shared" si="91"/>
        <v>0</v>
      </c>
      <c r="DH68" s="84">
        <f t="shared" si="91"/>
        <v>0</v>
      </c>
      <c r="DI68" s="84">
        <f t="shared" si="91"/>
        <v>0</v>
      </c>
      <c r="DJ68" s="84">
        <f t="shared" si="91"/>
        <v>0</v>
      </c>
      <c r="DK68" s="84">
        <f t="shared" si="91"/>
        <v>0</v>
      </c>
      <c r="DL68" s="84">
        <f t="shared" si="91"/>
        <v>0</v>
      </c>
      <c r="DM68" s="84">
        <f t="shared" si="91"/>
        <v>0</v>
      </c>
      <c r="DN68" s="84">
        <f t="shared" si="91"/>
        <v>0</v>
      </c>
    </row>
    <row r="69" spans="1:118">
      <c r="CS69" t="s">
        <v>258</v>
      </c>
      <c r="CT69" s="82">
        <f>CT68/60/2000</f>
        <v>0</v>
      </c>
      <c r="CU69" s="82">
        <f t="shared" ref="CU69:CX69" si="92">CU68/60/2000</f>
        <v>0</v>
      </c>
      <c r="CV69" s="82">
        <f t="shared" si="92"/>
        <v>0</v>
      </c>
      <c r="CW69" s="82">
        <f t="shared" si="92"/>
        <v>0</v>
      </c>
      <c r="CX69" s="82">
        <f t="shared" si="92"/>
        <v>0</v>
      </c>
      <c r="CY69" s="82">
        <f>CY68/60/2000</f>
        <v>0</v>
      </c>
      <c r="CZ69" s="82">
        <f t="shared" ref="CZ69:DN69" si="93">CZ68/60/2000</f>
        <v>0</v>
      </c>
      <c r="DA69" s="82">
        <f t="shared" si="93"/>
        <v>0</v>
      </c>
      <c r="DB69" s="82">
        <f t="shared" si="93"/>
        <v>0</v>
      </c>
      <c r="DC69" s="82">
        <f t="shared" si="93"/>
        <v>0</v>
      </c>
      <c r="DD69" s="82">
        <f t="shared" si="93"/>
        <v>0</v>
      </c>
      <c r="DE69" s="82">
        <f t="shared" si="93"/>
        <v>0</v>
      </c>
      <c r="DF69" s="82">
        <f t="shared" si="93"/>
        <v>0</v>
      </c>
      <c r="DG69" s="82">
        <f t="shared" si="93"/>
        <v>0</v>
      </c>
      <c r="DH69" s="82">
        <f t="shared" si="93"/>
        <v>0</v>
      </c>
      <c r="DI69" s="82">
        <f t="shared" si="93"/>
        <v>0</v>
      </c>
      <c r="DJ69" s="82">
        <f t="shared" si="93"/>
        <v>0</v>
      </c>
      <c r="DK69" s="82">
        <f t="shared" si="93"/>
        <v>0</v>
      </c>
      <c r="DL69" s="82">
        <f t="shared" si="93"/>
        <v>0</v>
      </c>
      <c r="DM69" s="82">
        <f t="shared" si="93"/>
        <v>0</v>
      </c>
      <c r="DN69" s="82">
        <f t="shared" si="93"/>
        <v>0</v>
      </c>
    </row>
    <row r="70" spans="1:118">
      <c r="BC70" t="s">
        <v>272</v>
      </c>
      <c r="BD70" s="81">
        <f>SUM(BD31:BD54)</f>
        <v>0</v>
      </c>
      <c r="BE70" s="81">
        <f t="shared" ref="BE70:BX70" si="94">SUM(BE31:BE54)</f>
        <v>0</v>
      </c>
      <c r="BF70" s="81">
        <f t="shared" si="94"/>
        <v>0</v>
      </c>
      <c r="BG70" s="81">
        <f t="shared" si="94"/>
        <v>0</v>
      </c>
      <c r="BH70" s="81">
        <f t="shared" si="94"/>
        <v>0</v>
      </c>
      <c r="BI70" s="81">
        <f t="shared" si="94"/>
        <v>0</v>
      </c>
      <c r="BJ70" s="81">
        <f t="shared" si="94"/>
        <v>0</v>
      </c>
      <c r="BK70" s="81">
        <f t="shared" si="94"/>
        <v>0</v>
      </c>
      <c r="BL70" s="81">
        <f t="shared" si="94"/>
        <v>0</v>
      </c>
      <c r="BM70" s="81">
        <f t="shared" si="94"/>
        <v>0</v>
      </c>
      <c r="BN70" s="81">
        <f t="shared" si="94"/>
        <v>0</v>
      </c>
      <c r="BO70" s="81">
        <f t="shared" si="94"/>
        <v>0</v>
      </c>
      <c r="BP70" s="81">
        <f t="shared" si="94"/>
        <v>0</v>
      </c>
      <c r="BQ70" s="81">
        <f t="shared" si="94"/>
        <v>0</v>
      </c>
      <c r="BR70" s="81">
        <f t="shared" si="94"/>
        <v>0</v>
      </c>
      <c r="BS70" s="81">
        <f t="shared" si="94"/>
        <v>0</v>
      </c>
      <c r="BT70" s="81">
        <f t="shared" si="94"/>
        <v>0</v>
      </c>
      <c r="BU70" s="81">
        <f t="shared" si="94"/>
        <v>0</v>
      </c>
      <c r="BV70" s="81">
        <f t="shared" si="94"/>
        <v>0</v>
      </c>
      <c r="BW70" s="81">
        <f t="shared" si="94"/>
        <v>0</v>
      </c>
      <c r="BX70" s="81">
        <f t="shared" si="94"/>
        <v>0</v>
      </c>
      <c r="CS70" t="s">
        <v>259</v>
      </c>
      <c r="CT70" s="60">
        <f>CT69*TechnicalInputs!$B$94*TechnicalInputs!$D$5*((1+TechnicalInputs!$D$2)^(TransactionCosts!CT30-2015))</f>
        <v>0</v>
      </c>
      <c r="CU70" s="60">
        <f>CU69*TechnicalInputs!$B$94*TechnicalInputs!$D$5*((1+TechnicalInputs!$D$2)^(TransactionCosts!CU30-2015))</f>
        <v>0</v>
      </c>
      <c r="CV70" s="60">
        <f>CV69*TechnicalInputs!$B$94*TechnicalInputs!$D$5*((1+TechnicalInputs!$D$2)^(TransactionCosts!CV30-2015))</f>
        <v>0</v>
      </c>
      <c r="CW70" s="60">
        <f>CW69*TechnicalInputs!$B$94*TechnicalInputs!$D$5*((1+TechnicalInputs!$D$2)^(TransactionCosts!CW30-2015))</f>
        <v>0</v>
      </c>
      <c r="CX70" s="60">
        <f>CX69*TechnicalInputs!$B$94*TechnicalInputs!$D$5*((1+TechnicalInputs!$D$2)^(TransactionCosts!CX30-2015))</f>
        <v>0</v>
      </c>
      <c r="CY70" s="60">
        <f>CY69*TechnicalInputs!$B$94*TechnicalInputs!$D$5*((1+TechnicalInputs!$D$2)^(TransactionCosts!CY30-2015))</f>
        <v>0</v>
      </c>
      <c r="CZ70" s="60">
        <f>CZ69*TechnicalInputs!$B$94*TechnicalInputs!$D$5*((1+TechnicalInputs!$D$2)^(TransactionCosts!CZ30-2015))</f>
        <v>0</v>
      </c>
      <c r="DA70" s="60">
        <f>DA69*TechnicalInputs!$B$94*TechnicalInputs!$D$5*((1+TechnicalInputs!$D$2)^(TransactionCosts!DA30-2015))</f>
        <v>0</v>
      </c>
      <c r="DB70" s="60">
        <f>DB69*TechnicalInputs!$B$94*TechnicalInputs!$D$5*((1+TechnicalInputs!$D$2)^(TransactionCosts!DB30-2015))</f>
        <v>0</v>
      </c>
      <c r="DC70" s="60">
        <f>DC69*TechnicalInputs!$B$94*TechnicalInputs!$D$5*((1+TechnicalInputs!$D$2)^(TransactionCosts!DC30-2015))</f>
        <v>0</v>
      </c>
      <c r="DD70" s="60">
        <f>DD69*TechnicalInputs!$B$94*TechnicalInputs!$D$5*((1+TechnicalInputs!$D$2)^(TransactionCosts!DD30-2015))</f>
        <v>0</v>
      </c>
      <c r="DE70" s="60">
        <f>DE69*TechnicalInputs!$B$94*TechnicalInputs!$D$5*((1+TechnicalInputs!$D$2)^(TransactionCosts!DE30-2015))</f>
        <v>0</v>
      </c>
      <c r="DF70" s="60">
        <f>DF69*TechnicalInputs!$B$94*TechnicalInputs!$D$5*((1+TechnicalInputs!$D$2)^(TransactionCosts!DF30-2015))</f>
        <v>0</v>
      </c>
      <c r="DG70" s="60">
        <f>DG69*TechnicalInputs!$B$94*TechnicalInputs!$D$5*((1+TechnicalInputs!$D$2)^(TransactionCosts!DG30-2015))</f>
        <v>0</v>
      </c>
      <c r="DH70" s="60">
        <f>DH69*TechnicalInputs!$B$94*TechnicalInputs!$D$5*((1+TechnicalInputs!$D$2)^(TransactionCosts!DH30-2015))</f>
        <v>0</v>
      </c>
      <c r="DI70" s="60">
        <f>DI69*TechnicalInputs!$B$94*TechnicalInputs!$D$5*((1+TechnicalInputs!$D$2)^(TransactionCosts!DI30-2015))</f>
        <v>0</v>
      </c>
      <c r="DJ70" s="60">
        <f>DJ69*TechnicalInputs!$B$94*TechnicalInputs!$D$5*((1+TechnicalInputs!$D$2)^(TransactionCosts!DJ30-2015))</f>
        <v>0</v>
      </c>
      <c r="DK70" s="60">
        <f>DK69*TechnicalInputs!$B$94*TechnicalInputs!$D$5*((1+TechnicalInputs!$D$2)^(TransactionCosts!DK30-2015))</f>
        <v>0</v>
      </c>
      <c r="DL70" s="60">
        <f>DL69*TechnicalInputs!$B$94*TechnicalInputs!$D$5*((1+TechnicalInputs!$D$2)^(TransactionCosts!DL30-2015))</f>
        <v>0</v>
      </c>
      <c r="DM70" s="60">
        <f>DM69*TechnicalInputs!$B$94*TechnicalInputs!$D$5*((1+TechnicalInputs!$D$2)^(TransactionCosts!DM30-2015))</f>
        <v>0</v>
      </c>
      <c r="DN70" s="60">
        <f>DN69*TechnicalInputs!$B$94*TechnicalInputs!$D$5*((1+TechnicalInputs!$D$2)^(TransactionCosts!DN30-2015))</f>
        <v>0</v>
      </c>
    </row>
    <row r="71" spans="1:118">
      <c r="BC71" t="s">
        <v>268</v>
      </c>
      <c r="BD71" s="81">
        <f>SUM(BD55:BD66)</f>
        <v>0</v>
      </c>
      <c r="BE71" s="81">
        <f t="shared" ref="BE71:BX71" si="95">SUM(BE55:BE66)</f>
        <v>0</v>
      </c>
      <c r="BF71" s="81">
        <f t="shared" si="95"/>
        <v>0</v>
      </c>
      <c r="BG71" s="81">
        <f t="shared" si="95"/>
        <v>0</v>
      </c>
      <c r="BH71" s="81">
        <f t="shared" si="95"/>
        <v>0</v>
      </c>
      <c r="BI71" s="81">
        <f t="shared" si="95"/>
        <v>0</v>
      </c>
      <c r="BJ71" s="81">
        <f t="shared" si="95"/>
        <v>0</v>
      </c>
      <c r="BK71" s="81">
        <f t="shared" si="95"/>
        <v>0</v>
      </c>
      <c r="BL71" s="81">
        <f t="shared" si="95"/>
        <v>0</v>
      </c>
      <c r="BM71" s="81">
        <f t="shared" si="95"/>
        <v>0</v>
      </c>
      <c r="BN71" s="81">
        <f t="shared" si="95"/>
        <v>0</v>
      </c>
      <c r="BO71" s="81">
        <f t="shared" si="95"/>
        <v>0</v>
      </c>
      <c r="BP71" s="81">
        <f t="shared" si="95"/>
        <v>0</v>
      </c>
      <c r="BQ71" s="81">
        <f t="shared" si="95"/>
        <v>0</v>
      </c>
      <c r="BR71" s="81">
        <f t="shared" si="95"/>
        <v>0</v>
      </c>
      <c r="BS71" s="81">
        <f t="shared" si="95"/>
        <v>0</v>
      </c>
      <c r="BT71" s="81">
        <f t="shared" si="95"/>
        <v>0</v>
      </c>
      <c r="BU71" s="81">
        <f t="shared" si="95"/>
        <v>0</v>
      </c>
      <c r="BV71" s="81">
        <f t="shared" si="95"/>
        <v>0</v>
      </c>
      <c r="BW71" s="81">
        <f t="shared" si="95"/>
        <v>0</v>
      </c>
      <c r="BX71" s="81">
        <f t="shared" si="95"/>
        <v>0</v>
      </c>
      <c r="DN71" s="82"/>
    </row>
    <row r="72" spans="1:118">
      <c r="BC72" t="s">
        <v>269</v>
      </c>
      <c r="BD72" s="81">
        <f>BD67</f>
        <v>0</v>
      </c>
      <c r="BE72" s="81">
        <f t="shared" ref="BE72:BX72" si="96">BE67</f>
        <v>0</v>
      </c>
      <c r="BF72" s="81">
        <f t="shared" si="96"/>
        <v>0</v>
      </c>
      <c r="BG72" s="81">
        <f t="shared" si="96"/>
        <v>0</v>
      </c>
      <c r="BH72" s="81">
        <f t="shared" si="96"/>
        <v>0</v>
      </c>
      <c r="BI72" s="81">
        <f t="shared" si="96"/>
        <v>0</v>
      </c>
      <c r="BJ72" s="81">
        <f t="shared" si="96"/>
        <v>0</v>
      </c>
      <c r="BK72" s="81">
        <f t="shared" si="96"/>
        <v>0</v>
      </c>
      <c r="BL72" s="81">
        <f t="shared" si="96"/>
        <v>0</v>
      </c>
      <c r="BM72" s="81">
        <f t="shared" si="96"/>
        <v>0</v>
      </c>
      <c r="BN72" s="81">
        <f t="shared" si="96"/>
        <v>0</v>
      </c>
      <c r="BO72" s="81">
        <f t="shared" si="96"/>
        <v>0</v>
      </c>
      <c r="BP72" s="81">
        <f t="shared" si="96"/>
        <v>0</v>
      </c>
      <c r="BQ72" s="81">
        <f t="shared" si="96"/>
        <v>0</v>
      </c>
      <c r="BR72" s="81">
        <f t="shared" si="96"/>
        <v>0</v>
      </c>
      <c r="BS72" s="81">
        <f t="shared" si="96"/>
        <v>0</v>
      </c>
      <c r="BT72" s="81">
        <f t="shared" si="96"/>
        <v>0</v>
      </c>
      <c r="BU72" s="81">
        <f t="shared" si="96"/>
        <v>0</v>
      </c>
      <c r="BV72" s="81">
        <f t="shared" si="96"/>
        <v>0</v>
      </c>
      <c r="BW72" s="81">
        <f t="shared" si="96"/>
        <v>0</v>
      </c>
      <c r="BX72" s="81">
        <f t="shared" si="96"/>
        <v>0</v>
      </c>
      <c r="CS72" t="s">
        <v>260</v>
      </c>
      <c r="CT72" s="88">
        <f>CT70+BY68</f>
        <v>0</v>
      </c>
      <c r="CU72" s="88">
        <f t="shared" ref="CU72:DN72" si="97">CU70+BZ68</f>
        <v>0</v>
      </c>
      <c r="CV72" s="88">
        <f t="shared" si="97"/>
        <v>0</v>
      </c>
      <c r="CW72" s="88">
        <f t="shared" si="97"/>
        <v>0</v>
      </c>
      <c r="CX72" s="88">
        <f t="shared" si="97"/>
        <v>0</v>
      </c>
      <c r="CY72" s="88">
        <f t="shared" si="97"/>
        <v>0</v>
      </c>
      <c r="CZ72" s="88">
        <f t="shared" si="97"/>
        <v>0</v>
      </c>
      <c r="DA72" s="88">
        <f t="shared" si="97"/>
        <v>0</v>
      </c>
      <c r="DB72" s="88">
        <f t="shared" si="97"/>
        <v>0</v>
      </c>
      <c r="DC72" s="88">
        <f t="shared" si="97"/>
        <v>0</v>
      </c>
      <c r="DD72" s="88">
        <f t="shared" si="97"/>
        <v>0</v>
      </c>
      <c r="DE72" s="88">
        <f t="shared" si="97"/>
        <v>0</v>
      </c>
      <c r="DF72" s="88">
        <f t="shared" si="97"/>
        <v>0</v>
      </c>
      <c r="DG72" s="88">
        <f t="shared" si="97"/>
        <v>0</v>
      </c>
      <c r="DH72" s="88">
        <f t="shared" si="97"/>
        <v>0</v>
      </c>
      <c r="DI72" s="88">
        <f t="shared" si="97"/>
        <v>0</v>
      </c>
      <c r="DJ72" s="88">
        <f t="shared" si="97"/>
        <v>0</v>
      </c>
      <c r="DK72" s="88">
        <f t="shared" si="97"/>
        <v>0</v>
      </c>
      <c r="DL72" s="88">
        <f t="shared" si="97"/>
        <v>0</v>
      </c>
      <c r="DM72" s="88">
        <f t="shared" si="97"/>
        <v>0</v>
      </c>
      <c r="DN72" s="88">
        <f t="shared" si="97"/>
        <v>0</v>
      </c>
    </row>
  </sheetData>
  <sheetProtection selectLockedCells="1"/>
  <mergeCells count="6">
    <mergeCell ref="CT29:DN29"/>
    <mergeCell ref="F12:F13"/>
    <mergeCell ref="N29:AH29"/>
    <mergeCell ref="AI29:BC29"/>
    <mergeCell ref="BD29:BX29"/>
    <mergeCell ref="BY29:CS29"/>
  </mergeCells>
  <pageMargins left="0.75" right="0.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BC134"/>
  <sheetViews>
    <sheetView zoomScale="150" zoomScaleNormal="150" zoomScalePageLayoutView="150" workbookViewId="0"/>
  </sheetViews>
  <sheetFormatPr defaultColWidth="11" defaultRowHeight="15.75"/>
  <cols>
    <col min="1" max="1" width="36.5" bestFit="1" customWidth="1"/>
    <col min="2" max="6" width="13.875" customWidth="1"/>
    <col min="7" max="7" width="6.375" customWidth="1"/>
    <col min="8" max="13" width="13.875" customWidth="1"/>
    <col min="14" max="14" width="7.625" customWidth="1"/>
    <col min="15" max="16" width="13.875" customWidth="1"/>
    <col min="17" max="17" width="18.625" customWidth="1"/>
    <col min="18" max="20" width="13.875" customWidth="1"/>
    <col min="21" max="21" width="8.625" customWidth="1"/>
    <col min="22" max="27" width="13.875" customWidth="1"/>
    <col min="28" max="28" width="8.875" customWidth="1"/>
    <col min="29" max="30" width="13.875" customWidth="1"/>
    <col min="31" max="31" width="20.625" bestFit="1" customWidth="1"/>
    <col min="32" max="34" width="13.875" customWidth="1"/>
    <col min="35" max="35" width="8.5" customWidth="1"/>
    <col min="36" max="41" width="13.875" customWidth="1"/>
    <col min="47" max="47" width="47.375" bestFit="1" customWidth="1"/>
    <col min="49" max="51" width="16.125" bestFit="1" customWidth="1"/>
    <col min="52" max="53" width="14.125" bestFit="1" customWidth="1"/>
  </cols>
  <sheetData>
    <row r="1" spans="1:55">
      <c r="A1" s="3" t="s">
        <v>283</v>
      </c>
      <c r="B1" s="95">
        <v>9682918</v>
      </c>
    </row>
    <row r="2" spans="1:55">
      <c r="A2" s="3" t="s">
        <v>282</v>
      </c>
      <c r="B2" s="95">
        <v>4963579</v>
      </c>
    </row>
    <row r="3" spans="1:55">
      <c r="A3" s="3" t="s">
        <v>284</v>
      </c>
      <c r="B3" s="95">
        <v>240</v>
      </c>
    </row>
    <row r="4" spans="1:55">
      <c r="A4" s="6" t="s">
        <v>285</v>
      </c>
      <c r="B4" s="95">
        <v>86488206</v>
      </c>
    </row>
    <row r="5" spans="1:55">
      <c r="A5" s="3" t="s">
        <v>286</v>
      </c>
      <c r="B5" s="95">
        <v>28811221</v>
      </c>
    </row>
    <row r="6" spans="1:55">
      <c r="A6" s="3" t="s">
        <v>287</v>
      </c>
      <c r="B6" s="95">
        <v>5103841</v>
      </c>
      <c r="D6" s="100" t="s">
        <v>298</v>
      </c>
      <c r="E6" s="100" t="s">
        <v>306</v>
      </c>
      <c r="F6" s="100" t="s">
        <v>306</v>
      </c>
    </row>
    <row r="7" spans="1:55">
      <c r="A7" s="6" t="s">
        <v>288</v>
      </c>
      <c r="B7" s="107">
        <f>AVERAGE(BA20:BC20)</f>
        <v>0.33395751859935224</v>
      </c>
      <c r="D7" s="39">
        <f>SUM($B$4,$B$5)*B7</f>
        <v>38505110.536847159</v>
      </c>
      <c r="E7" s="39">
        <f>SUM(EconomicInputs!D8:H8)*4</f>
        <v>22018956.069227248</v>
      </c>
      <c r="F7" s="3" t="s">
        <v>307</v>
      </c>
    </row>
    <row r="8" spans="1:55">
      <c r="A8" s="6" t="s">
        <v>289</v>
      </c>
      <c r="B8" s="107">
        <f>AVERAGE(BA18:BC18)</f>
        <v>7.777422644299206E-3</v>
      </c>
      <c r="D8" s="39">
        <f t="shared" ref="D8:D9" si="0">SUM($B$4,$B$5)*B8</f>
        <v>896732.37442452321</v>
      </c>
      <c r="E8" s="39">
        <f>4*EconomicInputs!C8/6</f>
        <v>3042154</v>
      </c>
      <c r="F8" s="3" t="s">
        <v>307</v>
      </c>
    </row>
    <row r="9" spans="1:55">
      <c r="A9" s="6" t="s">
        <v>305</v>
      </c>
      <c r="B9" s="107">
        <f>AVERAGE(BA23:BC23)</f>
        <v>0.4835447200790492</v>
      </c>
      <c r="D9" s="39">
        <f t="shared" si="0"/>
        <v>55752429.15398977</v>
      </c>
      <c r="E9" s="39">
        <f>SUM(EconomicInputs!D8:H8)*0.15</f>
        <v>825710.85259602184</v>
      </c>
      <c r="F9" s="3" t="s">
        <v>308</v>
      </c>
      <c r="AW9" t="s">
        <v>290</v>
      </c>
    </row>
    <row r="10" spans="1:55">
      <c r="A10" s="6" t="s">
        <v>309</v>
      </c>
      <c r="B10" s="108">
        <v>4</v>
      </c>
      <c r="D10" s="60"/>
      <c r="E10" s="60"/>
    </row>
    <row r="11" spans="1:55">
      <c r="A11" s="6" t="s">
        <v>310</v>
      </c>
      <c r="B11" s="108">
        <v>0.15</v>
      </c>
      <c r="D11" s="60"/>
      <c r="E11" s="60"/>
    </row>
    <row r="12" spans="1:55">
      <c r="A12" s="6" t="s">
        <v>383</v>
      </c>
      <c r="B12" s="108">
        <v>1</v>
      </c>
      <c r="D12" s="60"/>
      <c r="E12" s="60"/>
    </row>
    <row r="13" spans="1:55">
      <c r="A13" s="6" t="s">
        <v>384</v>
      </c>
      <c r="B13" s="166">
        <v>5.5</v>
      </c>
      <c r="D13" s="60"/>
      <c r="E13" s="60"/>
    </row>
    <row r="14" spans="1:55">
      <c r="AW14">
        <v>2010</v>
      </c>
      <c r="AX14">
        <v>2011</v>
      </c>
      <c r="AY14">
        <v>2012</v>
      </c>
      <c r="AZ14">
        <v>2013</v>
      </c>
      <c r="BA14" t="s">
        <v>298</v>
      </c>
      <c r="BB14" t="s">
        <v>298</v>
      </c>
      <c r="BC14" t="s">
        <v>298</v>
      </c>
    </row>
    <row r="15" spans="1:55">
      <c r="A15" s="263" t="s">
        <v>168</v>
      </c>
      <c r="B15" s="263"/>
      <c r="C15" s="263"/>
      <c r="D15" s="263"/>
      <c r="E15" s="263"/>
      <c r="F15" s="263"/>
      <c r="H15" s="263" t="s">
        <v>169</v>
      </c>
      <c r="I15" s="263"/>
      <c r="J15" s="263"/>
      <c r="K15" s="263"/>
      <c r="L15" s="263"/>
      <c r="M15" s="263"/>
      <c r="O15" s="263" t="s">
        <v>170</v>
      </c>
      <c r="P15" s="263"/>
      <c r="Q15" s="263"/>
      <c r="R15" s="263"/>
      <c r="S15" s="263"/>
      <c r="T15" s="263"/>
      <c r="V15" s="263" t="s">
        <v>171</v>
      </c>
      <c r="W15" s="263"/>
      <c r="X15" s="263"/>
      <c r="Y15" s="263"/>
      <c r="Z15" s="263"/>
      <c r="AA15" s="263"/>
      <c r="AC15" s="263" t="s">
        <v>172</v>
      </c>
      <c r="AD15" s="263"/>
      <c r="AE15" s="263"/>
      <c r="AF15" s="263"/>
      <c r="AG15" s="263"/>
      <c r="AH15" s="263"/>
      <c r="AJ15" s="263" t="s">
        <v>12</v>
      </c>
      <c r="AK15" s="263"/>
      <c r="AL15" s="263"/>
      <c r="AM15" s="263"/>
      <c r="AN15" s="263"/>
      <c r="AO15" s="263"/>
      <c r="AV15" t="s">
        <v>291</v>
      </c>
      <c r="AW15" s="90">
        <v>1689023</v>
      </c>
      <c r="AX15" s="90">
        <v>1367358</v>
      </c>
      <c r="AY15" s="90">
        <v>1731776</v>
      </c>
      <c r="AZ15" s="90">
        <v>2322564</v>
      </c>
      <c r="BA15" s="92">
        <f>AW15/AW$26</f>
        <v>2.0666024171293864E-3</v>
      </c>
      <c r="BB15" s="92">
        <f t="shared" ref="BB15:BC25" si="1">AX15/AX$26</f>
        <v>1.6666026364771799E-3</v>
      </c>
      <c r="BC15" s="92">
        <f t="shared" si="1"/>
        <v>1.8523851688188276E-3</v>
      </c>
    </row>
    <row r="16" spans="1:55">
      <c r="A16" s="223" t="s">
        <v>71</v>
      </c>
      <c r="B16" s="223" t="s">
        <v>164</v>
      </c>
      <c r="C16" s="223"/>
      <c r="D16" s="223" t="s">
        <v>163</v>
      </c>
      <c r="E16" s="223"/>
      <c r="F16" s="223" t="s">
        <v>141</v>
      </c>
      <c r="H16" s="223" t="s">
        <v>71</v>
      </c>
      <c r="I16" s="223" t="s">
        <v>164</v>
      </c>
      <c r="J16" s="223"/>
      <c r="K16" s="223" t="s">
        <v>163</v>
      </c>
      <c r="L16" s="223"/>
      <c r="M16" s="223" t="s">
        <v>141</v>
      </c>
      <c r="O16" s="223" t="s">
        <v>71</v>
      </c>
      <c r="P16" s="223" t="s">
        <v>164</v>
      </c>
      <c r="Q16" s="223"/>
      <c r="R16" s="223" t="s">
        <v>163</v>
      </c>
      <c r="S16" s="223"/>
      <c r="T16" s="223" t="s">
        <v>141</v>
      </c>
      <c r="V16" s="223" t="s">
        <v>71</v>
      </c>
      <c r="W16" s="223" t="s">
        <v>164</v>
      </c>
      <c r="X16" s="223"/>
      <c r="Y16" s="223" t="s">
        <v>163</v>
      </c>
      <c r="Z16" s="223"/>
      <c r="AA16" s="223" t="s">
        <v>141</v>
      </c>
      <c r="AC16" s="223" t="s">
        <v>71</v>
      </c>
      <c r="AD16" s="223" t="s">
        <v>164</v>
      </c>
      <c r="AE16" s="223"/>
      <c r="AF16" s="223" t="s">
        <v>163</v>
      </c>
      <c r="AG16" s="223" t="s">
        <v>165</v>
      </c>
      <c r="AH16" s="264" t="s">
        <v>141</v>
      </c>
      <c r="AJ16" s="223" t="s">
        <v>71</v>
      </c>
      <c r="AK16" s="223" t="s">
        <v>164</v>
      </c>
      <c r="AL16" s="223"/>
      <c r="AM16" s="223" t="s">
        <v>163</v>
      </c>
      <c r="AN16" s="223" t="s">
        <v>165</v>
      </c>
      <c r="AO16" s="264" t="s">
        <v>141</v>
      </c>
      <c r="AV16" t="s">
        <v>292</v>
      </c>
      <c r="AW16" s="90">
        <v>559940</v>
      </c>
      <c r="AX16" s="90">
        <v>996670</v>
      </c>
      <c r="AY16" s="90">
        <v>998330</v>
      </c>
      <c r="AZ16" s="90">
        <v>910520</v>
      </c>
      <c r="BA16" s="92">
        <f t="shared" ref="BA16:BA25" si="2">AW16/AW$26</f>
        <v>6.8511403186778913E-4</v>
      </c>
      <c r="BB16" s="92">
        <f t="shared" si="1"/>
        <v>1.2147900181939996E-3</v>
      </c>
      <c r="BC16" s="92">
        <f t="shared" si="1"/>
        <v>1.0678584791490933E-3</v>
      </c>
    </row>
    <row r="17" spans="1:55">
      <c r="A17" s="223"/>
      <c r="B17" s="66" t="s">
        <v>166</v>
      </c>
      <c r="C17" s="66" t="s">
        <v>164</v>
      </c>
      <c r="D17" s="223"/>
      <c r="E17" s="223"/>
      <c r="F17" s="223"/>
      <c r="H17" s="223"/>
      <c r="I17" s="66" t="s">
        <v>166</v>
      </c>
      <c r="J17" s="66" t="s">
        <v>164</v>
      </c>
      <c r="K17" s="223"/>
      <c r="L17" s="223"/>
      <c r="M17" s="223"/>
      <c r="O17" s="223"/>
      <c r="P17" s="66" t="s">
        <v>166</v>
      </c>
      <c r="Q17" s="66" t="s">
        <v>164</v>
      </c>
      <c r="R17" s="223"/>
      <c r="S17" s="223"/>
      <c r="T17" s="223"/>
      <c r="V17" s="223"/>
      <c r="W17" s="66" t="s">
        <v>166</v>
      </c>
      <c r="X17" s="66" t="s">
        <v>164</v>
      </c>
      <c r="Y17" s="223"/>
      <c r="Z17" s="223"/>
      <c r="AA17" s="223"/>
      <c r="AC17" s="223"/>
      <c r="AD17" s="66" t="s">
        <v>166</v>
      </c>
      <c r="AE17" s="66" t="s">
        <v>167</v>
      </c>
      <c r="AF17" s="223"/>
      <c r="AG17" s="223"/>
      <c r="AH17" s="265"/>
      <c r="AJ17" s="223"/>
      <c r="AK17" s="66" t="s">
        <v>166</v>
      </c>
      <c r="AL17" s="66" t="s">
        <v>167</v>
      </c>
      <c r="AM17" s="223"/>
      <c r="AN17" s="223"/>
      <c r="AO17" s="265"/>
      <c r="AV17" t="s">
        <v>293</v>
      </c>
      <c r="AW17" s="90">
        <v>3863057</v>
      </c>
      <c r="AX17" s="90">
        <v>5302100</v>
      </c>
      <c r="AY17" s="90">
        <v>5669746</v>
      </c>
      <c r="AZ17" s="90">
        <v>5530906</v>
      </c>
      <c r="BA17" s="92">
        <f t="shared" si="2"/>
        <v>4.7266395624622022E-3</v>
      </c>
      <c r="BB17" s="92">
        <f t="shared" si="1"/>
        <v>6.4624581410761888E-3</v>
      </c>
      <c r="BC17" s="92">
        <f t="shared" si="1"/>
        <v>6.0646142465133326E-3</v>
      </c>
    </row>
    <row r="18" spans="1:55">
      <c r="A18" s="3">
        <v>2010</v>
      </c>
      <c r="B18" s="39">
        <f>EconomicInputs!K4*(1-Evasion!B4)*TabularOutputs!B4*TechnicalInputs!$D$6</f>
        <v>9379287.7651594337</v>
      </c>
      <c r="C18" s="39">
        <v>9603455</v>
      </c>
      <c r="D18" s="39"/>
      <c r="E18" s="39"/>
      <c r="F18" s="39">
        <f>SUM(B18:E18)</f>
        <v>18982742.765159436</v>
      </c>
      <c r="H18" s="3">
        <v>2010</v>
      </c>
      <c r="I18" s="39">
        <f>TabularOutputs!C66*TechnicalInputs!$D$6</f>
        <v>2827293.4924836219</v>
      </c>
      <c r="J18" s="39">
        <f>5542700*(TabularOutputs!C66)/(TabularOutputs!C66+TabularOutputs!D66+TabularOutputs!H66+TabularOutputs!T66)</f>
        <v>2653047.9680221062</v>
      </c>
      <c r="K18" s="39">
        <v>0</v>
      </c>
      <c r="L18" s="39"/>
      <c r="M18" s="39">
        <f>SUM(I18:L18)</f>
        <v>5480341.4605057277</v>
      </c>
      <c r="O18" s="3">
        <v>2010</v>
      </c>
      <c r="P18" s="39">
        <v>0</v>
      </c>
      <c r="Q18" s="39">
        <f>5542700*(TabularOutputs!D66)/(TabularOutputs!C66+TabularOutputs!D66+TabularOutputs!H66+TabularOutputs!T66)</f>
        <v>1459176.3824121584</v>
      </c>
      <c r="R18" s="39"/>
      <c r="S18" s="39"/>
      <c r="T18" s="39">
        <f>SUM(P18:S18)</f>
        <v>1459176.3824121584</v>
      </c>
      <c r="V18" s="3">
        <v>2010</v>
      </c>
      <c r="W18" s="39">
        <f>IF(SUM(TabularOutputs!B66:C66)=0,0,TabularOutputs!E66*TabularOutputs!C66/(TabularOutputs!C66+TabularOutputs!B66)*(TechnicalInputs!$D$10*TechnicalInputs!$D$13+TechnicalInputs!$D$11*TechnicalInputs!$D$14+TechnicalInputs!$D$12*TechnicalInputs!$D$15))</f>
        <v>0</v>
      </c>
      <c r="X18" s="39">
        <f>TabularOutputs!E66/$B$3</f>
        <v>0</v>
      </c>
      <c r="Y18" s="39"/>
      <c r="Z18" s="39"/>
      <c r="AA18" s="39">
        <f>SUM(W18:Z18)</f>
        <v>0</v>
      </c>
      <c r="AC18" s="3">
        <v>2010</v>
      </c>
      <c r="AD18" s="39">
        <v>0</v>
      </c>
      <c r="AE18" s="39">
        <f>$B$10*EconomicInputs!C4/$B$13</f>
        <v>3463966.5454545454</v>
      </c>
      <c r="AF18" s="39">
        <f>$B$6*$B$8</f>
        <v>39694.728566302707</v>
      </c>
      <c r="AG18" s="39">
        <v>0</v>
      </c>
      <c r="AH18" s="39">
        <f>SUM(AD18:AG18)</f>
        <v>3503661.2740208483</v>
      </c>
      <c r="AJ18" s="3">
        <v>2010</v>
      </c>
      <c r="AK18" s="39">
        <v>0</v>
      </c>
      <c r="AL18" s="39">
        <f>SUM(EconomicInputs!E4:F4)*CollectionCosts!$B$12</f>
        <v>4914774.5854779789</v>
      </c>
      <c r="AM18" s="39">
        <f>$B$6*$B$7</f>
        <v>1704466.0756856366</v>
      </c>
      <c r="AN18" s="39">
        <v>0</v>
      </c>
      <c r="AO18" s="39">
        <f>SUM(AK18:AN18)</f>
        <v>6619240.6611636151</v>
      </c>
      <c r="AU18" s="91" t="s">
        <v>295</v>
      </c>
      <c r="AV18" t="s">
        <v>294</v>
      </c>
      <c r="AW18" s="90">
        <v>6314900</v>
      </c>
      <c r="AX18" s="90">
        <v>6738463</v>
      </c>
      <c r="AY18" s="90">
        <v>6911183</v>
      </c>
      <c r="AZ18" s="90">
        <v>6797714</v>
      </c>
      <c r="BA18" s="92">
        <f t="shared" si="2"/>
        <v>7.7265896343213583E-3</v>
      </c>
      <c r="BB18" s="92">
        <f t="shared" si="1"/>
        <v>8.2131674379379259E-3</v>
      </c>
      <c r="BC18" s="92">
        <f t="shared" si="1"/>
        <v>7.3925108606383337E-3</v>
      </c>
    </row>
    <row r="19" spans="1:55">
      <c r="A19" s="3">
        <f>A18+1</f>
        <v>2011</v>
      </c>
      <c r="B19" s="39">
        <f>EconomicInputs!K5*(1-Evasion!B5)*TabularOutputs!B5*TechnicalInputs!$D$6</f>
        <v>8824210.3737443369</v>
      </c>
      <c r="C19" s="39">
        <v>9603455</v>
      </c>
      <c r="D19" s="39"/>
      <c r="E19" s="39"/>
      <c r="F19" s="39">
        <f t="shared" ref="F19:F43" si="3">SUM(B19:E19)</f>
        <v>18427665.373744339</v>
      </c>
      <c r="H19" s="3">
        <f>H18+1</f>
        <v>2011</v>
      </c>
      <c r="I19" s="39">
        <f>TabularOutputs!C67*TechnicalInputs!$D$6</f>
        <v>2821362.817949818</v>
      </c>
      <c r="J19" s="39">
        <f>5542700*(TabularOutputs!C67)/(TabularOutputs!C67+TabularOutputs!D67+TabularOutputs!H67+TabularOutputs!T67)</f>
        <v>2599820.3555855127</v>
      </c>
      <c r="K19" s="39">
        <v>0</v>
      </c>
      <c r="L19" s="39"/>
      <c r="M19" s="39">
        <f t="shared" ref="M19:M43" si="4">SUM(I19:L19)</f>
        <v>5421183.1735353302</v>
      </c>
      <c r="O19" s="3">
        <f>O18+1</f>
        <v>2011</v>
      </c>
      <c r="P19" s="39">
        <v>0</v>
      </c>
      <c r="Q19" s="39">
        <f>5542700*(TabularOutputs!D67)/(TabularOutputs!C67+TabularOutputs!D67+TabularOutputs!H67+TabularOutputs!T67)</f>
        <v>1429901.1955720324</v>
      </c>
      <c r="R19" s="39"/>
      <c r="S19" s="39"/>
      <c r="T19" s="39">
        <f t="shared" ref="T19:T43" si="5">SUM(P19:S19)</f>
        <v>1429901.1955720324</v>
      </c>
      <c r="V19" s="3">
        <f>V18+1</f>
        <v>2011</v>
      </c>
      <c r="W19" s="39">
        <f>IF(SUM(TabularOutputs!B67:C67)=0,0,TabularOutputs!E67*TabularOutputs!C67/(TabularOutputs!C67+TabularOutputs!B67)*(TechnicalInputs!$D$10*TechnicalInputs!$D$13+TechnicalInputs!$D$11*TechnicalInputs!$D$14+TechnicalInputs!$D$12*TechnicalInputs!$D$15))</f>
        <v>0</v>
      </c>
      <c r="X19" s="39">
        <f>TabularOutputs!E67/$B$3</f>
        <v>0</v>
      </c>
      <c r="Y19" s="39"/>
      <c r="Z19" s="39"/>
      <c r="AA19" s="39">
        <f t="shared" ref="AA19:AA43" si="6">SUM(W19:Z19)</f>
        <v>0</v>
      </c>
      <c r="AC19" s="3">
        <f>AC18+1</f>
        <v>2011</v>
      </c>
      <c r="AD19" s="39">
        <v>0</v>
      </c>
      <c r="AE19" s="39">
        <f>$B$10*EconomicInputs!C5/$B$13</f>
        <v>3438231.2727272729</v>
      </c>
      <c r="AF19" s="39">
        <f t="shared" ref="AF19:AF22" si="7">$B$6*$B$8</f>
        <v>39694.728566302707</v>
      </c>
      <c r="AG19" s="39">
        <v>0</v>
      </c>
      <c r="AH19" s="39">
        <f t="shared" ref="AH19:AH43" si="8">SUM(AD19:AG19)</f>
        <v>3477926.0012935759</v>
      </c>
      <c r="AJ19" s="3">
        <f>AJ18+1</f>
        <v>2011</v>
      </c>
      <c r="AK19" s="39">
        <v>0</v>
      </c>
      <c r="AL19" s="39">
        <f>SUM(EconomicInputs!E5:F5)*CollectionCosts!$B$12</f>
        <v>4963929.2713327594</v>
      </c>
      <c r="AM19" s="39">
        <f t="shared" ref="AM19:AM22" si="9">$B$6*$B$7</f>
        <v>1704466.0756856366</v>
      </c>
      <c r="AN19" s="39">
        <v>0</v>
      </c>
      <c r="AO19" s="39">
        <f t="shared" ref="AO19:AO43" si="10">SUM(AK19:AN19)</f>
        <v>6668395.3470183965</v>
      </c>
      <c r="AV19" t="s">
        <v>296</v>
      </c>
      <c r="AW19" s="90">
        <v>102510</v>
      </c>
      <c r="AX19" s="90">
        <v>108722</v>
      </c>
      <c r="AY19" s="90">
        <v>150100</v>
      </c>
      <c r="AZ19" s="90">
        <v>160335</v>
      </c>
      <c r="BA19" s="92">
        <f t="shared" si="2"/>
        <v>1.2542600887017726E-4</v>
      </c>
      <c r="BB19" s="92">
        <f t="shared" si="1"/>
        <v>1.3251567756437739E-4</v>
      </c>
      <c r="BC19" s="92">
        <f t="shared" si="1"/>
        <v>1.6055368236983652E-4</v>
      </c>
    </row>
    <row r="20" spans="1:55">
      <c r="A20" s="3">
        <f t="shared" ref="A20:A43" si="11">A19+1</f>
        <v>2012</v>
      </c>
      <c r="B20" s="39">
        <f>EconomicInputs!K6*(1-Evasion!B6)*TabularOutputs!B6*TechnicalInputs!$D$6</f>
        <v>8666804.6315317489</v>
      </c>
      <c r="C20" s="39">
        <v>7362937</v>
      </c>
      <c r="D20" s="39"/>
      <c r="E20" s="39"/>
      <c r="F20" s="39">
        <f t="shared" si="3"/>
        <v>16029741.631531749</v>
      </c>
      <c r="H20" s="3">
        <f t="shared" ref="H20:H43" si="12">H19+1</f>
        <v>2012</v>
      </c>
      <c r="I20" s="39">
        <f>TabularOutputs!C68*TechnicalInputs!$D$6</f>
        <v>2816526.3838769593</v>
      </c>
      <c r="J20" s="39">
        <f>4211295*(TabularOutputs!C68)/(TabularOutputs!C68+TabularOutputs!D68+TabularOutputs!H68+TabularOutputs!T68)</f>
        <v>1951666.0746767221</v>
      </c>
      <c r="K20" s="39">
        <v>0</v>
      </c>
      <c r="L20" s="39"/>
      <c r="M20" s="39">
        <f t="shared" si="4"/>
        <v>4768192.4585536812</v>
      </c>
      <c r="O20" s="3">
        <f t="shared" ref="O20:O43" si="13">O19+1</f>
        <v>2012</v>
      </c>
      <c r="P20" s="39">
        <v>0</v>
      </c>
      <c r="Q20" s="39">
        <f>4211295*(TabularOutputs!D68)/(TabularOutputs!C68+TabularOutputs!D68+TabularOutputs!H68+TabularOutputs!T68)</f>
        <v>1073416.3410721971</v>
      </c>
      <c r="R20" s="39"/>
      <c r="S20" s="39"/>
      <c r="T20" s="39">
        <f t="shared" si="5"/>
        <v>1073416.3410721971</v>
      </c>
      <c r="V20" s="3">
        <f t="shared" ref="V20:V43" si="14">V19+1</f>
        <v>2012</v>
      </c>
      <c r="W20" s="39">
        <f>IF(SUM(TabularOutputs!B68:C68)=0,0,TabularOutputs!E68*TabularOutputs!C68/(TabularOutputs!C68+TabularOutputs!B68)*(TechnicalInputs!$D$10*TechnicalInputs!$D$13+TechnicalInputs!$D$11*TechnicalInputs!$D$14+TechnicalInputs!$D$12*TechnicalInputs!$D$15))</f>
        <v>0</v>
      </c>
      <c r="X20" s="39">
        <f>TabularOutputs!E68/$B$3</f>
        <v>0</v>
      </c>
      <c r="Y20" s="39"/>
      <c r="Z20" s="39"/>
      <c r="AA20" s="39">
        <f t="shared" si="6"/>
        <v>0</v>
      </c>
      <c r="AC20" s="3">
        <f t="shared" ref="AC20:AC43" si="15">AC19+1</f>
        <v>2012</v>
      </c>
      <c r="AD20" s="39">
        <v>0</v>
      </c>
      <c r="AE20" s="39">
        <f>$B$10*EconomicInputs!C6/$B$13</f>
        <v>3370754.1818181816</v>
      </c>
      <c r="AF20" s="39">
        <f t="shared" si="7"/>
        <v>39694.728566302707</v>
      </c>
      <c r="AG20" s="39">
        <v>0</v>
      </c>
      <c r="AH20" s="39">
        <f t="shared" si="8"/>
        <v>3410448.9103844846</v>
      </c>
      <c r="AJ20" s="3">
        <f t="shared" ref="AJ20:AJ43" si="16">AJ19+1</f>
        <v>2012</v>
      </c>
      <c r="AK20" s="39">
        <v>0</v>
      </c>
      <c r="AL20" s="39">
        <f>SUM(EconomicInputs!E6:F6)*CollectionCosts!$B$12</f>
        <v>5010580.6578110112</v>
      </c>
      <c r="AM20" s="39">
        <f t="shared" si="9"/>
        <v>1704466.0756856366</v>
      </c>
      <c r="AN20" s="39">
        <v>0</v>
      </c>
      <c r="AO20" s="39">
        <f t="shared" si="10"/>
        <v>6715046.7334966473</v>
      </c>
      <c r="AV20" t="s">
        <v>297</v>
      </c>
      <c r="AW20" s="90">
        <v>278440665</v>
      </c>
      <c r="AX20" s="90">
        <v>279251127</v>
      </c>
      <c r="AY20" s="90">
        <v>299933084</v>
      </c>
      <c r="AZ20" s="90">
        <v>311606729</v>
      </c>
      <c r="BA20" s="92">
        <f t="shared" si="2"/>
        <v>0.34068579961084827</v>
      </c>
      <c r="BB20" s="92">
        <f t="shared" si="1"/>
        <v>0.34036489675521975</v>
      </c>
      <c r="BC20" s="92">
        <f t="shared" si="1"/>
        <v>0.32082185943198865</v>
      </c>
    </row>
    <row r="21" spans="1:55">
      <c r="A21" s="3">
        <f t="shared" si="11"/>
        <v>2013</v>
      </c>
      <c r="B21" s="39">
        <f>EconomicInputs!K7*(1-Evasion!B7)*TabularOutputs!B7*TechnicalInputs!$D$6</f>
        <v>8621709.6421382669</v>
      </c>
      <c r="C21" s="39">
        <v>7362937</v>
      </c>
      <c r="D21" s="39"/>
      <c r="E21" s="39"/>
      <c r="F21" s="39">
        <f t="shared" si="3"/>
        <v>15984646.642138267</v>
      </c>
      <c r="H21" s="3">
        <f t="shared" si="12"/>
        <v>2013</v>
      </c>
      <c r="I21" s="39">
        <f>TabularOutputs!C69*TechnicalInputs!$D$6</f>
        <v>2870120.9017104725</v>
      </c>
      <c r="J21" s="39">
        <f>4211295*(TabularOutputs!C69)/(TabularOutputs!C69+TabularOutputs!D69+TabularOutputs!H69+TabularOutputs!T69)</f>
        <v>1952185.3997002593</v>
      </c>
      <c r="K21" s="39">
        <v>0</v>
      </c>
      <c r="L21" s="39"/>
      <c r="M21" s="39">
        <f t="shared" si="4"/>
        <v>4822306.3014107319</v>
      </c>
      <c r="O21" s="3">
        <f t="shared" si="13"/>
        <v>2013</v>
      </c>
      <c r="P21" s="39">
        <v>0</v>
      </c>
      <c r="Q21" s="39">
        <f>4211295*(TabularOutputs!D69)/(TabularOutputs!C69+TabularOutputs!D69+TabularOutputs!H69+TabularOutputs!T69)</f>
        <v>1073701.9698351426</v>
      </c>
      <c r="R21" s="39"/>
      <c r="S21" s="39"/>
      <c r="T21" s="39">
        <f t="shared" si="5"/>
        <v>1073701.9698351426</v>
      </c>
      <c r="V21" s="3">
        <f t="shared" si="14"/>
        <v>2013</v>
      </c>
      <c r="W21" s="39">
        <f>IF(SUM(TabularOutputs!B69:C69)=0,0,TabularOutputs!E69*TabularOutputs!C69/(TabularOutputs!C69+TabularOutputs!B69)*(TechnicalInputs!$D$10*TechnicalInputs!$D$13+TechnicalInputs!$D$11*TechnicalInputs!$D$14+TechnicalInputs!$D$12*TechnicalInputs!$D$15))</f>
        <v>0</v>
      </c>
      <c r="X21" s="39">
        <f>TabularOutputs!E69/$B$3</f>
        <v>0</v>
      </c>
      <c r="Y21" s="39"/>
      <c r="Z21" s="39"/>
      <c r="AA21" s="39">
        <f t="shared" si="6"/>
        <v>0</v>
      </c>
      <c r="AC21" s="3">
        <f t="shared" si="15"/>
        <v>2013</v>
      </c>
      <c r="AD21" s="39">
        <v>0</v>
      </c>
      <c r="AE21" s="39">
        <f>$B$10*EconomicInputs!C7/$B$13</f>
        <v>3330501.0909090908</v>
      </c>
      <c r="AF21" s="39">
        <f t="shared" si="7"/>
        <v>39694.728566302707</v>
      </c>
      <c r="AG21" s="39">
        <v>0</v>
      </c>
      <c r="AH21" s="39">
        <f t="shared" si="8"/>
        <v>3370195.8194753937</v>
      </c>
      <c r="AJ21" s="3">
        <f t="shared" si="16"/>
        <v>2013</v>
      </c>
      <c r="AK21" s="39">
        <v>0</v>
      </c>
      <c r="AL21" s="39">
        <f>SUM(EconomicInputs!E7:F7)*CollectionCosts!$B$12</f>
        <v>5070092.2174608633</v>
      </c>
      <c r="AM21" s="39">
        <f t="shared" si="9"/>
        <v>1704466.0756856366</v>
      </c>
      <c r="AN21" s="39">
        <v>0</v>
      </c>
      <c r="AO21" s="39">
        <f t="shared" si="10"/>
        <v>6774558.2931465004</v>
      </c>
      <c r="AV21" t="s">
        <v>299</v>
      </c>
      <c r="AW21" s="90">
        <v>60201321</v>
      </c>
      <c r="AX21" s="90">
        <v>61165060</v>
      </c>
      <c r="AY21" s="90">
        <v>61334564</v>
      </c>
      <c r="BA21" s="92">
        <f t="shared" si="2"/>
        <v>7.3659266625133057E-2</v>
      </c>
      <c r="BB21" s="92">
        <f t="shared" si="1"/>
        <v>7.4550959043853102E-2</v>
      </c>
      <c r="BC21" s="92">
        <f t="shared" si="1"/>
        <v>6.5606196580602336E-2</v>
      </c>
    </row>
    <row r="22" spans="1:55">
      <c r="A22" s="3">
        <f t="shared" si="11"/>
        <v>2014</v>
      </c>
      <c r="B22" s="39">
        <f>EconomicInputs!K8*(1-Evasion!B8)*TabularOutputs!B8*TechnicalInputs!$D$6</f>
        <v>8556635.4207075015</v>
      </c>
      <c r="C22" s="39">
        <f>B1</f>
        <v>9682918</v>
      </c>
      <c r="D22" s="39"/>
      <c r="E22" s="39"/>
      <c r="F22" s="39">
        <f t="shared" si="3"/>
        <v>18239553.420707501</v>
      </c>
      <c r="H22" s="3">
        <f t="shared" si="12"/>
        <v>2014</v>
      </c>
      <c r="I22" s="39">
        <f>TabularOutputs!C70*TechnicalInputs!$D$6</f>
        <v>2898303.3095918451</v>
      </c>
      <c r="J22" s="39">
        <f>$B$2*(TabularOutputs!C70)/(TabularOutputs!C70+TabularOutputs!D70+TabularOutputs!H70+TabularOutputs!T70)</f>
        <v>2274849.5858666957</v>
      </c>
      <c r="K22" s="39">
        <v>0</v>
      </c>
      <c r="L22" s="39"/>
      <c r="M22" s="39">
        <f t="shared" si="4"/>
        <v>5173152.8954585409</v>
      </c>
      <c r="O22" s="3">
        <f t="shared" si="13"/>
        <v>2014</v>
      </c>
      <c r="P22" s="39">
        <v>0</v>
      </c>
      <c r="Q22" s="39">
        <f>$B$2*(TabularOutputs!D70)/(TabularOutputs!C70+TabularOutputs!D70+TabularOutputs!H70+TabularOutputs!T70)</f>
        <v>1251167.2722266826</v>
      </c>
      <c r="R22" s="39"/>
      <c r="S22" s="39"/>
      <c r="T22" s="39">
        <f t="shared" si="5"/>
        <v>1251167.2722266826</v>
      </c>
      <c r="V22" s="3">
        <f t="shared" si="14"/>
        <v>2014</v>
      </c>
      <c r="W22" s="39">
        <f>IF(SUM(TabularOutputs!B70:C70)=0,0,TabularOutputs!E70*TabularOutputs!C70/(TabularOutputs!C70+TabularOutputs!B70)*(TechnicalInputs!$D$10*TechnicalInputs!$D$13+TechnicalInputs!$D$11*TechnicalInputs!$D$14+TechnicalInputs!$D$12*TechnicalInputs!$D$15))</f>
        <v>0</v>
      </c>
      <c r="X22" s="39">
        <f>TabularOutputs!E70/$B$3</f>
        <v>0</v>
      </c>
      <c r="Y22" s="39"/>
      <c r="Z22" s="39"/>
      <c r="AA22" s="39">
        <f t="shared" si="6"/>
        <v>0</v>
      </c>
      <c r="AC22" s="3">
        <f t="shared" si="15"/>
        <v>2014</v>
      </c>
      <c r="AD22" s="39">
        <v>0</v>
      </c>
      <c r="AE22" s="39">
        <f>$B$10*EconomicInputs!C8/$B$13</f>
        <v>3318713.4545454546</v>
      </c>
      <c r="AF22" s="39">
        <f t="shared" si="7"/>
        <v>39694.728566302707</v>
      </c>
      <c r="AG22" s="39">
        <v>0</v>
      </c>
      <c r="AH22" s="39">
        <f t="shared" si="8"/>
        <v>3358408.1831117575</v>
      </c>
      <c r="AJ22" s="3">
        <f t="shared" si="16"/>
        <v>2014</v>
      </c>
      <c r="AK22" s="39">
        <v>0</v>
      </c>
      <c r="AL22" s="39">
        <f>SUM(EconomicInputs!E8:F8)*CollectionCosts!$B$12</f>
        <v>5120682.772731971</v>
      </c>
      <c r="AM22" s="39">
        <f t="shared" si="9"/>
        <v>1704466.0756856366</v>
      </c>
      <c r="AN22" s="39">
        <v>0</v>
      </c>
      <c r="AO22" s="39">
        <f t="shared" si="10"/>
        <v>6825148.8484176081</v>
      </c>
      <c r="AU22" t="s">
        <v>301</v>
      </c>
      <c r="AV22" t="s">
        <v>300</v>
      </c>
      <c r="AW22" s="90">
        <v>69045492</v>
      </c>
      <c r="AX22" s="90">
        <v>71808265</v>
      </c>
      <c r="AY22" s="90">
        <v>74328582</v>
      </c>
      <c r="BA22" s="92">
        <f t="shared" si="2"/>
        <v>8.4480543283950382E-2</v>
      </c>
      <c r="BB22" s="92">
        <f t="shared" si="1"/>
        <v>8.7523416522850631E-2</v>
      </c>
      <c r="BC22" s="92">
        <f t="shared" si="1"/>
        <v>7.9505180182733837E-2</v>
      </c>
    </row>
    <row r="23" spans="1:55">
      <c r="A23" s="3">
        <f t="shared" si="11"/>
        <v>2015</v>
      </c>
      <c r="B23" s="39">
        <f>EconomicInputs!K9*(1-Evasion!B9)*TabularOutputs!B9*TechnicalInputs!$D$6</f>
        <v>8234859.6488785772</v>
      </c>
      <c r="C23" s="39">
        <f>C22*(1+TechnicalInputs!$D$2)</f>
        <v>9924990.9499999993</v>
      </c>
      <c r="D23" s="39"/>
      <c r="E23" s="39"/>
      <c r="F23" s="39">
        <f t="shared" si="3"/>
        <v>18159850.598878577</v>
      </c>
      <c r="H23" s="3">
        <f t="shared" si="12"/>
        <v>2015</v>
      </c>
      <c r="I23" s="39">
        <f>TabularOutputs!C71*TechnicalInputs!$D$6</f>
        <v>2921545.3380076624</v>
      </c>
      <c r="J23" s="39">
        <f>$B$2*(TabularOutputs!C71)/(TabularOutputs!C71+TabularOutputs!D71+TabularOutputs!H71+TabularOutputs!T71)*(1+TechnicalInputs!$D$2)^(H23-$H$22)</f>
        <v>2339912.7519995319</v>
      </c>
      <c r="K23" s="39">
        <v>0</v>
      </c>
      <c r="L23" s="39"/>
      <c r="M23" s="39">
        <f t="shared" si="4"/>
        <v>5261458.0900071943</v>
      </c>
      <c r="O23" s="3">
        <f t="shared" si="13"/>
        <v>2015</v>
      </c>
      <c r="P23" s="39">
        <v>0</v>
      </c>
      <c r="Q23" s="39">
        <f>$B$2*(TabularOutputs!D71)/(TabularOutputs!C71+TabularOutputs!D71+TabularOutputs!H71+TabularOutputs!T71)*(1+TechnicalInputs!$D$2)^(CollectionCosts!O23-CollectionCosts!$O$22)</f>
        <v>1286952.0135997422</v>
      </c>
      <c r="R23" s="39"/>
      <c r="S23" s="39"/>
      <c r="T23" s="39">
        <f t="shared" si="5"/>
        <v>1286952.0135997422</v>
      </c>
      <c r="V23" s="3">
        <f t="shared" si="14"/>
        <v>2015</v>
      </c>
      <c r="W23" s="39">
        <f>IF(SUM(TabularOutputs!B71:C71)=0,0,TabularOutputs!E71*TabularOutputs!C71/(TabularOutputs!C71+TabularOutputs!B71)*(TechnicalInputs!$D$10*TechnicalInputs!$D$13+TechnicalInputs!$D$11*TechnicalInputs!$D$14+TechnicalInputs!$D$12*TechnicalInputs!$D$15))</f>
        <v>0</v>
      </c>
      <c r="X23" s="39">
        <f>TabularOutputs!E71/$B$3</f>
        <v>0</v>
      </c>
      <c r="Y23" s="39"/>
      <c r="Z23" s="39"/>
      <c r="AA23" s="39">
        <f t="shared" si="6"/>
        <v>0</v>
      </c>
      <c r="AC23" s="3">
        <f t="shared" si="15"/>
        <v>2015</v>
      </c>
      <c r="AD23" s="39">
        <v>0</v>
      </c>
      <c r="AE23" s="39">
        <f>$B$10*EconomicInputs!C9*(1+TechnicalInputs!$D$2)^(CollectionCosts!AC23-CollectionCosts!$AC$22)/$B$13</f>
        <v>3450060.4768727268</v>
      </c>
      <c r="AF23" s="39">
        <f>$B$6*$B$8*(1+TechnicalInputs!$D$2)^(CollectionCosts!AC23-CollectionCosts!$AC$22)</f>
        <v>40687.09678046027</v>
      </c>
      <c r="AG23" s="39">
        <v>0</v>
      </c>
      <c r="AH23" s="39">
        <f t="shared" si="8"/>
        <v>3490747.5736531871</v>
      </c>
      <c r="AJ23" s="3">
        <f t="shared" si="16"/>
        <v>2015</v>
      </c>
      <c r="AK23" s="39">
        <v>0</v>
      </c>
      <c r="AL23" s="39">
        <f>SUM(EconomicInputs!E9:F9)*CollectionCosts!$B$12*(1+TechnicalInputs!$D$2)^(CollectionCosts!AJ23-CollectionCosts!$AJ$22)</f>
        <v>5301574.1300014704</v>
      </c>
      <c r="AM23" s="39">
        <f>$B$6*$B$7*(1+TechnicalInputs!$D$2)^(CollectionCosts!AJ23-CollectionCosts!$AC$22)</f>
        <v>1747077.7275777773</v>
      </c>
      <c r="AN23" s="39">
        <v>0</v>
      </c>
      <c r="AO23" s="39">
        <f t="shared" si="10"/>
        <v>7048651.857579248</v>
      </c>
      <c r="AV23" t="s">
        <v>302</v>
      </c>
      <c r="AW23" s="79">
        <v>387685943</v>
      </c>
      <c r="AX23" s="79">
        <v>384784450</v>
      </c>
      <c r="AY23" s="79">
        <v>474257769</v>
      </c>
      <c r="AZ23" s="90"/>
      <c r="BA23" s="92">
        <f t="shared" si="2"/>
        <v>0.47435275120047837</v>
      </c>
      <c r="BB23" s="92">
        <f t="shared" si="1"/>
        <v>0.46899405923351573</v>
      </c>
      <c r="BC23" s="92">
        <f t="shared" si="1"/>
        <v>0.50728734980315326</v>
      </c>
    </row>
    <row r="24" spans="1:55">
      <c r="A24" s="3">
        <f t="shared" si="11"/>
        <v>2016</v>
      </c>
      <c r="B24" s="39">
        <f>EconomicInputs!K10*(1-Evasion!B10)*TabularOutputs!B10*TechnicalInputs!$D$6</f>
        <v>8174814.0974114053</v>
      </c>
      <c r="C24" s="39">
        <f>C23*(1+TechnicalInputs!$D$2)</f>
        <v>10173115.723749999</v>
      </c>
      <c r="D24" s="39"/>
      <c r="E24" s="39"/>
      <c r="F24" s="39">
        <f t="shared" si="3"/>
        <v>18347929.821161404</v>
      </c>
      <c r="H24" s="3">
        <f t="shared" si="12"/>
        <v>2016</v>
      </c>
      <c r="I24" s="39">
        <f>TabularOutputs!C72*TechnicalInputs!$D$6</f>
        <v>2945648.0130590508</v>
      </c>
      <c r="J24" s="39">
        <f>$B$2*(TabularOutputs!C72)/(TabularOutputs!C72+TabularOutputs!D72+TabularOutputs!H72+TabularOutputs!T72)*(1+TechnicalInputs!$D$2)^(H24-$H$22)</f>
        <v>2396108.6475634514</v>
      </c>
      <c r="K24" s="39">
        <v>0</v>
      </c>
      <c r="L24" s="39"/>
      <c r="M24" s="39">
        <f t="shared" si="4"/>
        <v>5341756.6606225017</v>
      </c>
      <c r="O24" s="3">
        <f t="shared" si="13"/>
        <v>2016</v>
      </c>
      <c r="P24" s="39">
        <v>0</v>
      </c>
      <c r="Q24" s="39">
        <f>$B$2*(TabularOutputs!D72)/(TabularOutputs!C72+TabularOutputs!D72+TabularOutputs!H72+TabularOutputs!T72)*(1+TechnicalInputs!$D$2)^(CollectionCosts!O24-CollectionCosts!$O$22)</f>
        <v>1317859.7561598981</v>
      </c>
      <c r="R24" s="39"/>
      <c r="S24" s="39"/>
      <c r="T24" s="39">
        <f t="shared" si="5"/>
        <v>1317859.7561598981</v>
      </c>
      <c r="V24" s="3">
        <f t="shared" si="14"/>
        <v>2016</v>
      </c>
      <c r="W24" s="39">
        <f>IF(SUM(TabularOutputs!B72:C72)=0,0,TabularOutputs!E72*TabularOutputs!C72/(TabularOutputs!C72+TabularOutputs!B72)*(TechnicalInputs!$D$10*TechnicalInputs!$D$13+TechnicalInputs!$D$11*TechnicalInputs!$D$14+TechnicalInputs!$D$12*TechnicalInputs!$D$15))</f>
        <v>0</v>
      </c>
      <c r="X24" s="39">
        <f>TabularOutputs!E72/$B$3</f>
        <v>0</v>
      </c>
      <c r="Y24" s="39"/>
      <c r="Z24" s="39"/>
      <c r="AA24" s="39">
        <f t="shared" si="6"/>
        <v>0</v>
      </c>
      <c r="AC24" s="3">
        <f t="shared" si="15"/>
        <v>2016</v>
      </c>
      <c r="AD24" s="39">
        <v>0</v>
      </c>
      <c r="AE24" s="39">
        <f>$B$10*EconomicInputs!C10*(1+TechnicalInputs!$D$2)^(CollectionCosts!AC24-CollectionCosts!$AC$22)/$B$13</f>
        <v>3557886.6558374199</v>
      </c>
      <c r="AF24" s="39">
        <f>$B$6*$B$8*(1+TechnicalInputs!$D$2)^(CollectionCosts!AC24-CollectionCosts!$AC$22)</f>
        <v>41704.274199971776</v>
      </c>
      <c r="AG24" s="39">
        <v>0</v>
      </c>
      <c r="AH24" s="39">
        <f t="shared" si="8"/>
        <v>3599590.9300373918</v>
      </c>
      <c r="AJ24" s="3">
        <f t="shared" si="16"/>
        <v>2016</v>
      </c>
      <c r="AK24" s="39">
        <v>0</v>
      </c>
      <c r="AL24" s="39">
        <f>SUM(EconomicInputs!E10:F10)*CollectionCosts!$B$12*(1+TechnicalInputs!$D$2)^(CollectionCosts!AJ24-CollectionCosts!$AJ$22)</f>
        <v>5488454.6180840209</v>
      </c>
      <c r="AM24" s="39">
        <f>$B$6*$B$7*(1+TechnicalInputs!$D$2)^(CollectionCosts!AJ24-CollectionCosts!$AC$22)</f>
        <v>1790754.6707672218</v>
      </c>
      <c r="AN24" s="39">
        <v>0</v>
      </c>
      <c r="AO24" s="39">
        <f t="shared" si="10"/>
        <v>7279209.2888512425</v>
      </c>
      <c r="AV24" t="s">
        <v>303</v>
      </c>
      <c r="AW24" s="90">
        <v>9291239</v>
      </c>
      <c r="AX24" s="90">
        <v>8827269</v>
      </c>
      <c r="AY24" s="90">
        <v>9469338</v>
      </c>
      <c r="AZ24" s="90"/>
      <c r="BA24" s="92">
        <f t="shared" si="2"/>
        <v>1.1368286266987972E-2</v>
      </c>
      <c r="BB24" s="92">
        <f t="shared" si="1"/>
        <v>1.0759106092401024E-2</v>
      </c>
      <c r="BC24" s="92">
        <f t="shared" si="1"/>
        <v>1.0128828018018808E-2</v>
      </c>
    </row>
    <row r="25" spans="1:55">
      <c r="A25" s="3">
        <f t="shared" si="11"/>
        <v>2017</v>
      </c>
      <c r="B25" s="39">
        <f>EconomicInputs!K11*(1-Evasion!B11)*TabularOutputs!B11*TechnicalInputs!$D$6</f>
        <v>12571747.558080995</v>
      </c>
      <c r="C25" s="39">
        <f>C24*(1+TechnicalInputs!$D$2)</f>
        <v>10427443.616843749</v>
      </c>
      <c r="D25" s="39"/>
      <c r="E25" s="39"/>
      <c r="F25" s="39">
        <f t="shared" si="3"/>
        <v>22999191.174924746</v>
      </c>
      <c r="H25" s="3">
        <f t="shared" si="12"/>
        <v>2017</v>
      </c>
      <c r="I25" s="39">
        <f>TabularOutputs!C73*TechnicalInputs!$D$6</f>
        <v>2959952.8497819402</v>
      </c>
      <c r="J25" s="39">
        <f>$B$2*(TabularOutputs!C73)/(TabularOutputs!C73+TabularOutputs!D73+TabularOutputs!H73+TabularOutputs!T73)*(1+TechnicalInputs!$D$2)^(H25-$H$22)</f>
        <v>2450215.9208448255</v>
      </c>
      <c r="K25" s="39">
        <v>0</v>
      </c>
      <c r="L25" s="39"/>
      <c r="M25" s="39">
        <f t="shared" si="4"/>
        <v>5410168.7706267657</v>
      </c>
      <c r="O25" s="3">
        <f t="shared" si="13"/>
        <v>2017</v>
      </c>
      <c r="P25" s="39">
        <v>0</v>
      </c>
      <c r="Q25" s="39">
        <f>$B$2*(TabularOutputs!D73)/(TabularOutputs!C73+TabularOutputs!D73+TabularOutputs!H73+TabularOutputs!T73)*(1+TechnicalInputs!$D$2)^(CollectionCosts!O25-CollectionCosts!$O$22)</f>
        <v>1347618.7564646541</v>
      </c>
      <c r="R25" s="39"/>
      <c r="S25" s="39"/>
      <c r="T25" s="39">
        <f t="shared" si="5"/>
        <v>1347618.7564646541</v>
      </c>
      <c r="V25" s="3">
        <f t="shared" si="14"/>
        <v>2017</v>
      </c>
      <c r="W25" s="39">
        <f>IF(SUM(TabularOutputs!B73:C73)=0,0,TabularOutputs!E73*TabularOutputs!C73/(TabularOutputs!C73+TabularOutputs!B73)*(TechnicalInputs!$D$10*TechnicalInputs!$D$13+TechnicalInputs!$D$11*TechnicalInputs!$D$14+TechnicalInputs!$D$12*TechnicalInputs!$D$15))</f>
        <v>0</v>
      </c>
      <c r="X25" s="39">
        <f>TabularOutputs!E73/$B$3</f>
        <v>0</v>
      </c>
      <c r="Y25" s="39"/>
      <c r="Z25" s="39"/>
      <c r="AA25" s="39">
        <f t="shared" si="6"/>
        <v>0</v>
      </c>
      <c r="AC25" s="3">
        <f t="shared" si="15"/>
        <v>2017</v>
      </c>
      <c r="AD25" s="39">
        <v>0</v>
      </c>
      <c r="AE25" s="39">
        <f>$B$10*EconomicInputs!C11*(1+TechnicalInputs!$D$2)^(CollectionCosts!AC25-CollectionCosts!$AC$22)/$B$13</f>
        <v>3669082.7713432447</v>
      </c>
      <c r="AF25" s="39">
        <f>$B$6*$B$8*(1+TechnicalInputs!$D$2)^(CollectionCosts!AC25-CollectionCosts!$AC$22)</f>
        <v>42746.881054971069</v>
      </c>
      <c r="AG25" s="39">
        <v>0</v>
      </c>
      <c r="AH25" s="39">
        <f t="shared" si="8"/>
        <v>3711829.6523982156</v>
      </c>
      <c r="AJ25" s="3">
        <f t="shared" si="16"/>
        <v>2017</v>
      </c>
      <c r="AK25" s="39">
        <v>0</v>
      </c>
      <c r="AL25" s="39">
        <f>SUM(EconomicInputs!E11:F11)*CollectionCosts!$B$12*(1+TechnicalInputs!$D$2)^(CollectionCosts!AJ25-CollectionCosts!$AJ$22)</f>
        <v>5681922.6433714842</v>
      </c>
      <c r="AM25" s="39">
        <f>$B$6*$B$7*(1+TechnicalInputs!$D$2)^(CollectionCosts!AJ25-CollectionCosts!$AC$22)</f>
        <v>1835523.5375364022</v>
      </c>
      <c r="AN25" s="39">
        <v>0</v>
      </c>
      <c r="AO25" s="39">
        <f t="shared" si="10"/>
        <v>7517446.1809078865</v>
      </c>
      <c r="AV25" t="s">
        <v>304</v>
      </c>
      <c r="AW25" s="90">
        <v>100512</v>
      </c>
      <c r="AX25" s="90">
        <v>96836</v>
      </c>
      <c r="AY25" s="90">
        <v>105328</v>
      </c>
      <c r="AZ25" s="90">
        <v>160212</v>
      </c>
      <c r="BA25" s="92">
        <f t="shared" si="2"/>
        <v>1.2298135795102191E-4</v>
      </c>
      <c r="BB25" s="92">
        <f t="shared" si="1"/>
        <v>1.1802844091006466E-4</v>
      </c>
      <c r="BC25" s="92">
        <f t="shared" si="1"/>
        <v>1.1266354601365851E-4</v>
      </c>
    </row>
    <row r="26" spans="1:55">
      <c r="A26" s="3">
        <f t="shared" si="11"/>
        <v>2018</v>
      </c>
      <c r="B26" s="39">
        <f>EconomicInputs!K12*(1-Evasion!B12)*TabularOutputs!B12*TechnicalInputs!$D$6</f>
        <v>12419332.770459292</v>
      </c>
      <c r="C26" s="39">
        <f>C25*(1+TechnicalInputs!$D$2)</f>
        <v>10688129.707264842</v>
      </c>
      <c r="D26" s="39"/>
      <c r="E26" s="39"/>
      <c r="F26" s="39">
        <f t="shared" si="3"/>
        <v>23107462.477724135</v>
      </c>
      <c r="H26" s="3">
        <f t="shared" si="12"/>
        <v>2018</v>
      </c>
      <c r="I26" s="39">
        <f>TabularOutputs!C74*TechnicalInputs!$D$6</f>
        <v>2977490.606776386</v>
      </c>
      <c r="J26" s="39">
        <f>$B$2*(TabularOutputs!C74)/(TabularOutputs!C74+TabularOutputs!D74+TabularOutputs!H74+TabularOutputs!T74)*(1+TechnicalInputs!$D$2)^(H26-$H$22)</f>
        <v>2508753.4006928923</v>
      </c>
      <c r="K26" s="39">
        <v>0</v>
      </c>
      <c r="L26" s="39"/>
      <c r="M26" s="39">
        <f t="shared" si="4"/>
        <v>5486244.0074692778</v>
      </c>
      <c r="O26" s="3">
        <f t="shared" si="13"/>
        <v>2018</v>
      </c>
      <c r="P26" s="39">
        <v>0</v>
      </c>
      <c r="Q26" s="39">
        <f>$B$2*(TabularOutputs!D74)/(TabularOutputs!C74+TabularOutputs!D74+TabularOutputs!H74+TabularOutputs!T74)*(1+TechnicalInputs!$D$2)^(CollectionCosts!O26-CollectionCosts!$O$22)</f>
        <v>1379814.3703810906</v>
      </c>
      <c r="R26" s="39"/>
      <c r="S26" s="39"/>
      <c r="T26" s="39">
        <f t="shared" si="5"/>
        <v>1379814.3703810906</v>
      </c>
      <c r="V26" s="3">
        <f t="shared" si="14"/>
        <v>2018</v>
      </c>
      <c r="W26" s="39">
        <f>IF(SUM(TabularOutputs!B74:C74)=0,0,TabularOutputs!E74*TabularOutputs!C74/(TabularOutputs!C74+TabularOutputs!B74)*(TechnicalInputs!$D$10*TechnicalInputs!$D$13+TechnicalInputs!$D$11*TechnicalInputs!$D$14+TechnicalInputs!$D$12*TechnicalInputs!$D$15))</f>
        <v>0</v>
      </c>
      <c r="X26" s="39">
        <f>TabularOutputs!E74/$B$3</f>
        <v>0</v>
      </c>
      <c r="Y26" s="39"/>
      <c r="Z26" s="39"/>
      <c r="AA26" s="39">
        <f t="shared" si="6"/>
        <v>0</v>
      </c>
      <c r="AC26" s="3">
        <f t="shared" si="15"/>
        <v>2018</v>
      </c>
      <c r="AD26" s="39">
        <v>0</v>
      </c>
      <c r="AE26" s="39">
        <f>$B$10*EconomicInputs!C12*(1+TechnicalInputs!$D$2)^(CollectionCosts!AC26-CollectionCosts!$AC$22)/$B$13</f>
        <v>3783754.1454223846</v>
      </c>
      <c r="AF26" s="39">
        <f>$B$6*$B$8*(1+TechnicalInputs!$D$2)^(CollectionCosts!AC26-CollectionCosts!$AC$22)</f>
        <v>43815.553081345344</v>
      </c>
      <c r="AG26" s="39">
        <v>0</v>
      </c>
      <c r="AH26" s="39">
        <f t="shared" si="8"/>
        <v>3827569.6985037299</v>
      </c>
      <c r="AJ26" s="3">
        <f t="shared" si="16"/>
        <v>2018</v>
      </c>
      <c r="AK26" s="39">
        <v>0</v>
      </c>
      <c r="AL26" s="39">
        <f>SUM(EconomicInputs!E12:F12)*CollectionCosts!$B$12*(1+TechnicalInputs!$D$2)^(CollectionCosts!AJ26-CollectionCosts!$AJ$22)</f>
        <v>5882210.4165503271</v>
      </c>
      <c r="AM26" s="39">
        <f>$B$6*$B$7*(1+TechnicalInputs!$D$2)^(CollectionCosts!AJ26-CollectionCosts!$AC$22)</f>
        <v>1881411.6259748121</v>
      </c>
      <c r="AN26" s="39">
        <v>0</v>
      </c>
      <c r="AO26" s="39">
        <f t="shared" si="10"/>
        <v>7763622.0425251387</v>
      </c>
      <c r="AW26" s="90">
        <f>SUM(AW15:AW25)</f>
        <v>817294602</v>
      </c>
      <c r="AX26" s="90">
        <f t="shared" ref="AX26:AY26" si="17">SUM(AX15:AX25)</f>
        <v>820446320</v>
      </c>
      <c r="AY26" s="90">
        <f t="shared" si="17"/>
        <v>934889800</v>
      </c>
      <c r="AZ26" s="90"/>
    </row>
    <row r="27" spans="1:55">
      <c r="A27" s="3">
        <f t="shared" si="11"/>
        <v>2019</v>
      </c>
      <c r="B27" s="39">
        <f>EconomicInputs!K13*(1-Evasion!B13)*TabularOutputs!B13*TechnicalInputs!$D$6</f>
        <v>12261195.67337957</v>
      </c>
      <c r="C27" s="39">
        <f>C26*(1+TechnicalInputs!$D$2)</f>
        <v>10955332.949946463</v>
      </c>
      <c r="D27" s="39"/>
      <c r="E27" s="39"/>
      <c r="F27" s="39">
        <f t="shared" si="3"/>
        <v>23216528.623326033</v>
      </c>
      <c r="H27" s="3">
        <f t="shared" si="12"/>
        <v>2019</v>
      </c>
      <c r="I27" s="39">
        <f>TabularOutputs!C75*TechnicalInputs!$D$6</f>
        <v>3001643.6390677923</v>
      </c>
      <c r="J27" s="39">
        <f>$B$2*(TabularOutputs!C75)/(TabularOutputs!C75+TabularOutputs!D75+TabularOutputs!H75+TabularOutputs!T75)*(1+TechnicalInputs!$D$2)^(H27-$H$22)</f>
        <v>2571503.2275225166</v>
      </c>
      <c r="K27" s="39">
        <v>0</v>
      </c>
      <c r="L27" s="39"/>
      <c r="M27" s="39">
        <f t="shared" si="4"/>
        <v>5573146.866590309</v>
      </c>
      <c r="O27" s="3">
        <f t="shared" si="13"/>
        <v>2019</v>
      </c>
      <c r="P27" s="39">
        <v>0</v>
      </c>
      <c r="Q27" s="39">
        <f>$B$2*(TabularOutputs!D75)/(TabularOutputs!C75+TabularOutputs!D75+TabularOutputs!H75+TabularOutputs!T75)*(1+TechnicalInputs!$D$2)^(CollectionCosts!O27-CollectionCosts!$O$22)</f>
        <v>1414326.7751373842</v>
      </c>
      <c r="R27" s="39"/>
      <c r="S27" s="39"/>
      <c r="T27" s="39">
        <f t="shared" si="5"/>
        <v>1414326.7751373842</v>
      </c>
      <c r="V27" s="3">
        <f t="shared" si="14"/>
        <v>2019</v>
      </c>
      <c r="W27" s="39">
        <f>IF(SUM(TabularOutputs!B75:C75)=0,0,TabularOutputs!E75*TabularOutputs!C75/(TabularOutputs!C75+TabularOutputs!B75)*(TechnicalInputs!$D$10*TechnicalInputs!$D$13+TechnicalInputs!$D$11*TechnicalInputs!$D$14+TechnicalInputs!$D$12*TechnicalInputs!$D$15))</f>
        <v>0</v>
      </c>
      <c r="X27" s="39">
        <f>TabularOutputs!E75/$B$3</f>
        <v>0</v>
      </c>
      <c r="Y27" s="39"/>
      <c r="Z27" s="39"/>
      <c r="AA27" s="39">
        <f t="shared" si="6"/>
        <v>0</v>
      </c>
      <c r="AC27" s="3">
        <f t="shared" si="15"/>
        <v>2019</v>
      </c>
      <c r="AD27" s="39">
        <v>0</v>
      </c>
      <c r="AE27" s="39">
        <f>$B$10*EconomicInputs!C13*(1+TechnicalInputs!$D$2)^(CollectionCosts!AC27-CollectionCosts!$AC$22)/$B$13</f>
        <v>3902009.3917804225</v>
      </c>
      <c r="AF27" s="39">
        <f>$B$6*$B$8*(1+TechnicalInputs!$D$2)^(CollectionCosts!AC27-CollectionCosts!$AC$22)</f>
        <v>44910.941908378976</v>
      </c>
      <c r="AG27" s="39">
        <v>0</v>
      </c>
      <c r="AH27" s="39">
        <f t="shared" si="8"/>
        <v>3946920.3336888016</v>
      </c>
      <c r="AJ27" s="3">
        <f t="shared" si="16"/>
        <v>2019</v>
      </c>
      <c r="AK27" s="39">
        <v>0</v>
      </c>
      <c r="AL27" s="39">
        <f>SUM(EconomicInputs!E13:F13)*CollectionCosts!$B$12*(1+TechnicalInputs!$D$2)^(CollectionCosts!AJ27-CollectionCosts!$AJ$22)</f>
        <v>6089558.3337337263</v>
      </c>
      <c r="AM27" s="39">
        <f>$B$6*$B$7*(1+TechnicalInputs!$D$2)^(CollectionCosts!AJ27-CollectionCosts!$AC$22)</f>
        <v>1928446.9166241824</v>
      </c>
      <c r="AN27" s="39">
        <v>0</v>
      </c>
      <c r="AO27" s="39">
        <f t="shared" si="10"/>
        <v>8018005.2503579091</v>
      </c>
      <c r="AW27" s="90"/>
      <c r="AX27" s="90"/>
      <c r="AY27" s="90"/>
      <c r="AZ27" s="90"/>
    </row>
    <row r="28" spans="1:55">
      <c r="A28" s="3">
        <f t="shared" si="11"/>
        <v>2020</v>
      </c>
      <c r="B28" s="39">
        <f>EconomicInputs!K14*(1-Evasion!B14)*TabularOutputs!B14*TechnicalInputs!$D$6</f>
        <v>12093981.842275718</v>
      </c>
      <c r="C28" s="39">
        <f>C27*(1+TechnicalInputs!$D$2)</f>
        <v>11229216.273695124</v>
      </c>
      <c r="D28" s="39"/>
      <c r="E28" s="39"/>
      <c r="F28" s="39">
        <f t="shared" si="3"/>
        <v>23323198.115970843</v>
      </c>
      <c r="H28" s="3">
        <f t="shared" si="12"/>
        <v>2020</v>
      </c>
      <c r="I28" s="39">
        <f>TabularOutputs!C76*TechnicalInputs!$D$6</f>
        <v>3028505.7122722557</v>
      </c>
      <c r="J28" s="39">
        <f>$B$2*(TabularOutputs!C76)/(TabularOutputs!C76+TabularOutputs!D76+TabularOutputs!H76+TabularOutputs!T76)*(1+TechnicalInputs!$D$2)^(H28-$H$22)</f>
        <v>2637091.6364531401</v>
      </c>
      <c r="K28" s="39">
        <v>0</v>
      </c>
      <c r="L28" s="39"/>
      <c r="M28" s="39">
        <f t="shared" si="4"/>
        <v>5665597.3487253953</v>
      </c>
      <c r="O28" s="3">
        <f t="shared" si="13"/>
        <v>2020</v>
      </c>
      <c r="P28" s="39">
        <v>0</v>
      </c>
      <c r="Q28" s="39">
        <f>$B$2*(TabularOutputs!D76)/(TabularOutputs!C76+TabularOutputs!D76+TabularOutputs!H76+TabularOutputs!T76)*(1+TechnicalInputs!$D$2)^(CollectionCosts!O28-CollectionCosts!$O$22)</f>
        <v>1450400.4000492275</v>
      </c>
      <c r="R28" s="39"/>
      <c r="S28" s="39"/>
      <c r="T28" s="39">
        <f t="shared" si="5"/>
        <v>1450400.4000492275</v>
      </c>
      <c r="V28" s="3">
        <f t="shared" si="14"/>
        <v>2020</v>
      </c>
      <c r="W28" s="39">
        <f>IF(SUM(TabularOutputs!B76:C76)=0,0,TabularOutputs!E76*TabularOutputs!C76/(TabularOutputs!C76+TabularOutputs!B76)*(TechnicalInputs!$D$10*TechnicalInputs!$D$13+TechnicalInputs!$D$11*TechnicalInputs!$D$14+TechnicalInputs!$D$12*TechnicalInputs!$D$15))</f>
        <v>0</v>
      </c>
      <c r="X28" s="39">
        <f>TabularOutputs!E76/$B$3</f>
        <v>0</v>
      </c>
      <c r="Y28" s="39"/>
      <c r="Z28" s="39"/>
      <c r="AA28" s="39">
        <f t="shared" si="6"/>
        <v>0</v>
      </c>
      <c r="AC28" s="3">
        <f t="shared" si="15"/>
        <v>2020</v>
      </c>
      <c r="AD28" s="39">
        <v>0</v>
      </c>
      <c r="AE28" s="39">
        <f>$B$10*EconomicInputs!C14*(1+TechnicalInputs!$D$2)^(CollectionCosts!AC28-CollectionCosts!$AC$22)/$B$13</f>
        <v>4023960.5186723797</v>
      </c>
      <c r="AF28" s="39">
        <f>$B$6*$B$8*(1+TechnicalInputs!$D$2)^(CollectionCosts!AC28-CollectionCosts!$AC$22)</f>
        <v>46033.715456088445</v>
      </c>
      <c r="AG28" s="39">
        <v>0</v>
      </c>
      <c r="AH28" s="39">
        <f t="shared" si="8"/>
        <v>4069994.2341284682</v>
      </c>
      <c r="AJ28" s="3">
        <f t="shared" si="16"/>
        <v>2020</v>
      </c>
      <c r="AK28" s="39">
        <v>0</v>
      </c>
      <c r="AL28" s="39">
        <f>SUM(EconomicInputs!E14:F14)*CollectionCosts!$B$12*(1+TechnicalInputs!$D$2)^(CollectionCosts!AJ28-CollectionCosts!$AJ$22)</f>
        <v>6304215.264997839</v>
      </c>
      <c r="AM28" s="39">
        <f>$B$6*$B$7*(1+TechnicalInputs!$D$2)^(CollectionCosts!AJ28-CollectionCosts!$AC$22)</f>
        <v>1976658.0895397868</v>
      </c>
      <c r="AN28" s="39">
        <v>0</v>
      </c>
      <c r="AO28" s="39">
        <f t="shared" si="10"/>
        <v>8280873.3545376258</v>
      </c>
    </row>
    <row r="29" spans="1:55">
      <c r="A29" s="3">
        <f t="shared" si="11"/>
        <v>2021</v>
      </c>
      <c r="B29" s="39">
        <f>EconomicInputs!K15*(1-Evasion!B15)*TabularOutputs!B15*TechnicalInputs!$D$6</f>
        <v>11906317.196586655</v>
      </c>
      <c r="C29" s="39">
        <f>C28*(1+TechnicalInputs!$D$2)</f>
        <v>11509946.680537501</v>
      </c>
      <c r="D29" s="39"/>
      <c r="E29" s="39"/>
      <c r="F29" s="39">
        <f t="shared" si="3"/>
        <v>23416263.877124157</v>
      </c>
      <c r="H29" s="3">
        <f t="shared" si="12"/>
        <v>2021</v>
      </c>
      <c r="I29" s="39">
        <f>TabularOutputs!C77*TechnicalInputs!$D$6</f>
        <v>3058081.99568043</v>
      </c>
      <c r="J29" s="39">
        <f>$B$2*(TabularOutputs!C77)/(TabularOutputs!C77+TabularOutputs!D77+TabularOutputs!H77+TabularOutputs!T77)*(1+TechnicalInputs!$D$2)^(H29-$H$22)</f>
        <v>2705553.7040288132</v>
      </c>
      <c r="K29" s="39">
        <v>0</v>
      </c>
      <c r="L29" s="39"/>
      <c r="M29" s="39">
        <f t="shared" si="4"/>
        <v>5763635.6997092431</v>
      </c>
      <c r="O29" s="3">
        <f t="shared" si="13"/>
        <v>2021</v>
      </c>
      <c r="P29" s="39">
        <v>0</v>
      </c>
      <c r="Q29" s="39">
        <f>$B$2*(TabularOutputs!D77)/(TabularOutputs!C77+TabularOutputs!D77+TabularOutputs!H77+TabularOutputs!T77)*(1+TechnicalInputs!$D$2)^(CollectionCosts!O29-CollectionCosts!$O$22)</f>
        <v>1488054.5372158473</v>
      </c>
      <c r="R29" s="39"/>
      <c r="S29" s="39"/>
      <c r="T29" s="39">
        <f t="shared" si="5"/>
        <v>1488054.5372158473</v>
      </c>
      <c r="V29" s="3">
        <f t="shared" si="14"/>
        <v>2021</v>
      </c>
      <c r="W29" s="39">
        <f>IF(SUM(TabularOutputs!B77:C77)=0,0,TabularOutputs!E77*TabularOutputs!C77/(TabularOutputs!C77+TabularOutputs!B77)*(TechnicalInputs!$D$10*TechnicalInputs!$D$13+TechnicalInputs!$D$11*TechnicalInputs!$D$14+TechnicalInputs!$D$12*TechnicalInputs!$D$15))</f>
        <v>0</v>
      </c>
      <c r="X29" s="39">
        <f>TabularOutputs!E77/$B$3</f>
        <v>0</v>
      </c>
      <c r="Y29" s="39"/>
      <c r="Z29" s="39"/>
      <c r="AA29" s="39">
        <f t="shared" si="6"/>
        <v>0</v>
      </c>
      <c r="AC29" s="3">
        <f t="shared" si="15"/>
        <v>2021</v>
      </c>
      <c r="AD29" s="39">
        <v>0</v>
      </c>
      <c r="AE29" s="39">
        <f>$B$10*EconomicInputs!C15*(1+TechnicalInputs!$D$2)^(CollectionCosts!AC29-CollectionCosts!$AC$22)/$B$13</f>
        <v>4148974.1326921107</v>
      </c>
      <c r="AF29" s="39">
        <f>$B$6*$B$8*(1+TechnicalInputs!$D$2)^(CollectionCosts!AC29-CollectionCosts!$AC$22)</f>
        <v>47184.558342490658</v>
      </c>
      <c r="AG29" s="39">
        <v>0</v>
      </c>
      <c r="AH29" s="39">
        <f t="shared" si="8"/>
        <v>4196158.6910346011</v>
      </c>
      <c r="AJ29" s="3">
        <f t="shared" si="16"/>
        <v>2021</v>
      </c>
      <c r="AK29" s="39">
        <v>0</v>
      </c>
      <c r="AL29" s="39">
        <f>SUM(EconomicInputs!E15:F15)*CollectionCosts!$B$12*(1+TechnicalInputs!$D$2)^(CollectionCosts!AJ29-CollectionCosts!$AJ$22)</f>
        <v>6526438.8530890131</v>
      </c>
      <c r="AM29" s="39">
        <f>$B$6*$B$7*(1+TechnicalInputs!$D$2)^(CollectionCosts!AJ29-CollectionCosts!$AC$22)</f>
        <v>2026074.5417782816</v>
      </c>
      <c r="AN29" s="39">
        <v>0</v>
      </c>
      <c r="AO29" s="39">
        <f t="shared" si="10"/>
        <v>8552513.3948672954</v>
      </c>
    </row>
    <row r="30" spans="1:55">
      <c r="A30" s="3">
        <f t="shared" si="11"/>
        <v>2022</v>
      </c>
      <c r="B30" s="39">
        <f>EconomicInputs!K16*(1-Evasion!B16)*TabularOutputs!B16*TechnicalInputs!$D$6</f>
        <v>11700715.345062546</v>
      </c>
      <c r="C30" s="39">
        <f>C29*(1+TechnicalInputs!$D$2)</f>
        <v>11797695.347550938</v>
      </c>
      <c r="D30" s="39"/>
      <c r="E30" s="39"/>
      <c r="F30" s="39">
        <f t="shared" si="3"/>
        <v>23498410.692613482</v>
      </c>
      <c r="H30" s="3">
        <f t="shared" si="12"/>
        <v>2022</v>
      </c>
      <c r="I30" s="39">
        <f>TabularOutputs!C78*TechnicalInputs!$D$6</f>
        <v>3090847.1898492924</v>
      </c>
      <c r="J30" s="39">
        <f>$B$2*(TabularOutputs!C78)/(TabularOutputs!C78+TabularOutputs!D78+TabularOutputs!H78+TabularOutputs!T78)*(1+TechnicalInputs!$D$2)^(H30-$H$22)</f>
        <v>2777012.9046698576</v>
      </c>
      <c r="K30" s="39">
        <v>0</v>
      </c>
      <c r="L30" s="39"/>
      <c r="M30" s="39">
        <f t="shared" si="4"/>
        <v>5867860.0945191495</v>
      </c>
      <c r="O30" s="3">
        <f t="shared" si="13"/>
        <v>2022</v>
      </c>
      <c r="P30" s="39">
        <v>0</v>
      </c>
      <c r="Q30" s="39">
        <f>$B$2*(TabularOutputs!D78)/(TabularOutputs!C78+TabularOutputs!D78+TabularOutputs!H78+TabularOutputs!T78)*(1+TechnicalInputs!$D$2)^(CollectionCosts!O30-CollectionCosts!$O$22)</f>
        <v>1527357.0975684219</v>
      </c>
      <c r="R30" s="39"/>
      <c r="S30" s="39"/>
      <c r="T30" s="39">
        <f t="shared" si="5"/>
        <v>1527357.0975684219</v>
      </c>
      <c r="V30" s="3">
        <f t="shared" si="14"/>
        <v>2022</v>
      </c>
      <c r="W30" s="39">
        <f>IF(SUM(TabularOutputs!B78:C78)=0,0,TabularOutputs!E78*TabularOutputs!C78/(TabularOutputs!C78+TabularOutputs!B78)*(TechnicalInputs!$D$10*TechnicalInputs!$D$13+TechnicalInputs!$D$11*TechnicalInputs!$D$14+TechnicalInputs!$D$12*TechnicalInputs!$D$15))</f>
        <v>0</v>
      </c>
      <c r="X30" s="39">
        <f>TabularOutputs!E78/$B$3</f>
        <v>0</v>
      </c>
      <c r="Y30" s="39"/>
      <c r="Z30" s="39"/>
      <c r="AA30" s="39">
        <f t="shared" si="6"/>
        <v>0</v>
      </c>
      <c r="AC30" s="3">
        <f t="shared" si="15"/>
        <v>2022</v>
      </c>
      <c r="AD30" s="39">
        <v>0</v>
      </c>
      <c r="AE30" s="39">
        <f>$B$10*EconomicInputs!C16*(1+TechnicalInputs!$D$2)^(CollectionCosts!AC30-CollectionCosts!$AC$22)/$B$13</f>
        <v>4277871.5829517236</v>
      </c>
      <c r="AF30" s="39">
        <f>$B$6*$B$8*(1+TechnicalInputs!$D$2)^(CollectionCosts!AC30-CollectionCosts!$AC$22)</f>
        <v>48364.172301052917</v>
      </c>
      <c r="AG30" s="39">
        <v>0</v>
      </c>
      <c r="AH30" s="39">
        <f t="shared" si="8"/>
        <v>4326235.7552527767</v>
      </c>
      <c r="AJ30" s="3">
        <f t="shared" si="16"/>
        <v>2022</v>
      </c>
      <c r="AK30" s="39">
        <v>0</v>
      </c>
      <c r="AL30" s="39">
        <f>SUM(EconomicInputs!E16:F16)*CollectionCosts!$B$12*(1+TechnicalInputs!$D$2)^(CollectionCosts!AJ30-CollectionCosts!$AJ$22)</f>
        <v>6756495.8226604005</v>
      </c>
      <c r="AM30" s="39">
        <f>$B$6*$B$7*(1+TechnicalInputs!$D$2)^(CollectionCosts!AJ30-CollectionCosts!$AC$22)</f>
        <v>2076726.4053227382</v>
      </c>
      <c r="AN30" s="39">
        <v>0</v>
      </c>
      <c r="AO30" s="39">
        <f t="shared" si="10"/>
        <v>8833222.2279831395</v>
      </c>
    </row>
    <row r="31" spans="1:55">
      <c r="A31" s="3">
        <f t="shared" si="11"/>
        <v>2023</v>
      </c>
      <c r="B31" s="39">
        <f>EconomicInputs!K17*(1-Evasion!B17)*TabularOutputs!B17*TechnicalInputs!$D$6</f>
        <v>11479539.738736076</v>
      </c>
      <c r="C31" s="39">
        <f>C30*(1+TechnicalInputs!$D$2)</f>
        <v>12092637.73123971</v>
      </c>
      <c r="D31" s="39"/>
      <c r="E31" s="39"/>
      <c r="F31" s="39">
        <f t="shared" si="3"/>
        <v>23572177.469975784</v>
      </c>
      <c r="H31" s="3">
        <f t="shared" si="12"/>
        <v>2023</v>
      </c>
      <c r="I31" s="39">
        <f>TabularOutputs!C79*TechnicalInputs!$D$6</f>
        <v>3127079.8725353056</v>
      </c>
      <c r="J31" s="39">
        <f>$B$2*(TabularOutputs!C79)/(TabularOutputs!C79+TabularOutputs!D79+TabularOutputs!H79+TabularOutputs!T79)*(1+TechnicalInputs!$D$2)^(H31-$H$22)</f>
        <v>2851568.762360015</v>
      </c>
      <c r="K31" s="39">
        <v>0</v>
      </c>
      <c r="L31" s="39"/>
      <c r="M31" s="39">
        <f t="shared" si="4"/>
        <v>5978648.634895321</v>
      </c>
      <c r="O31" s="3">
        <f t="shared" si="13"/>
        <v>2023</v>
      </c>
      <c r="P31" s="39">
        <v>0</v>
      </c>
      <c r="Q31" s="39">
        <f>$B$2*(TabularOutputs!D79)/(TabularOutputs!C79+TabularOutputs!D79+TabularOutputs!H79+TabularOutputs!T79)*(1+TechnicalInputs!$D$2)^(CollectionCosts!O31-CollectionCosts!$O$22)</f>
        <v>1568362.8192980087</v>
      </c>
      <c r="R31" s="39"/>
      <c r="S31" s="39"/>
      <c r="T31" s="39">
        <f t="shared" si="5"/>
        <v>1568362.8192980087</v>
      </c>
      <c r="V31" s="3">
        <f t="shared" si="14"/>
        <v>2023</v>
      </c>
      <c r="W31" s="39">
        <f>IF(SUM(TabularOutputs!B79:C79)=0,0,TabularOutputs!E79*TabularOutputs!C79/(TabularOutputs!C79+TabularOutputs!B79)*(TechnicalInputs!$D$10*TechnicalInputs!$D$13+TechnicalInputs!$D$11*TechnicalInputs!$D$14+TechnicalInputs!$D$12*TechnicalInputs!$D$15))</f>
        <v>0</v>
      </c>
      <c r="X31" s="39">
        <f>TabularOutputs!E79/$B$3</f>
        <v>0</v>
      </c>
      <c r="Y31" s="39"/>
      <c r="Z31" s="39"/>
      <c r="AA31" s="39">
        <f t="shared" si="6"/>
        <v>0</v>
      </c>
      <c r="AC31" s="3">
        <f t="shared" si="15"/>
        <v>2023</v>
      </c>
      <c r="AD31" s="39">
        <v>0</v>
      </c>
      <c r="AE31" s="39">
        <f>$B$10*EconomicInputs!C17*(1+TechnicalInputs!$D$2)^(CollectionCosts!AC31-CollectionCosts!$AC$22)/$B$13</f>
        <v>4410773.5297813471</v>
      </c>
      <c r="AF31" s="39">
        <f>$B$6*$B$8*(1+TechnicalInputs!$D$2)^(CollectionCosts!AC31-CollectionCosts!$AC$22)</f>
        <v>49573.276608579232</v>
      </c>
      <c r="AG31" s="39">
        <v>0</v>
      </c>
      <c r="AH31" s="39">
        <f t="shared" si="8"/>
        <v>4460346.806389926</v>
      </c>
      <c r="AJ31" s="3">
        <f t="shared" si="16"/>
        <v>2023</v>
      </c>
      <c r="AK31" s="39">
        <v>0</v>
      </c>
      <c r="AL31" s="39">
        <f>SUM(EconomicInputs!E17:F17)*CollectionCosts!$B$12*(1+TechnicalInputs!$D$2)^(CollectionCosts!AJ31-CollectionCosts!$AJ$22)</f>
        <v>6994662.3004091792</v>
      </c>
      <c r="AM31" s="39">
        <f>$B$6*$B$7*(1+TechnicalInputs!$D$2)^(CollectionCosts!AJ31-CollectionCosts!$AC$22)</f>
        <v>2128644.5654558064</v>
      </c>
      <c r="AN31" s="39">
        <v>0</v>
      </c>
      <c r="AO31" s="39">
        <f t="shared" si="10"/>
        <v>9123306.8658649847</v>
      </c>
    </row>
    <row r="32" spans="1:55">
      <c r="A32" s="3">
        <f t="shared" si="11"/>
        <v>2024</v>
      </c>
      <c r="B32" s="39">
        <f>EconomicInputs!K18*(1-Evasion!B18)*TabularOutputs!B18*TechnicalInputs!$D$6</f>
        <v>11242793.523051245</v>
      </c>
      <c r="C32" s="39">
        <f>C31*(1+TechnicalInputs!$D$2)</f>
        <v>12394953.674520701</v>
      </c>
      <c r="D32" s="39"/>
      <c r="E32" s="39"/>
      <c r="F32" s="39">
        <f t="shared" si="3"/>
        <v>23637747.197571948</v>
      </c>
      <c r="H32" s="3">
        <f t="shared" si="12"/>
        <v>2024</v>
      </c>
      <c r="I32" s="39">
        <f>TabularOutputs!C80*TechnicalInputs!$D$6</f>
        <v>3166357.4817473982</v>
      </c>
      <c r="J32" s="39">
        <f>$B$2*(TabularOutputs!C80)/(TabularOutputs!C80+TabularOutputs!D80+TabularOutputs!H80+TabularOutputs!T80)*(1+TechnicalInputs!$D$2)^(H32-$H$22)</f>
        <v>2929147.552697754</v>
      </c>
      <c r="K32" s="39">
        <v>0</v>
      </c>
      <c r="L32" s="39"/>
      <c r="M32" s="39">
        <f t="shared" si="4"/>
        <v>6095505.0344451517</v>
      </c>
      <c r="O32" s="3">
        <f t="shared" si="13"/>
        <v>2024</v>
      </c>
      <c r="P32" s="39">
        <v>0</v>
      </c>
      <c r="Q32" s="39">
        <f>$B$2*(TabularOutputs!D80)/(TabularOutputs!C80+TabularOutputs!D80+TabularOutputs!H80+TabularOutputs!T80)*(1+TechnicalInputs!$D$2)^(CollectionCosts!O32-CollectionCosts!$O$22)</f>
        <v>1611031.1539837646</v>
      </c>
      <c r="R32" s="39"/>
      <c r="S32" s="39"/>
      <c r="T32" s="39">
        <f t="shared" si="5"/>
        <v>1611031.1539837646</v>
      </c>
      <c r="V32" s="3">
        <f t="shared" si="14"/>
        <v>2024</v>
      </c>
      <c r="W32" s="39">
        <f>IF(SUM(TabularOutputs!B80:C80)=0,0,TabularOutputs!E80*TabularOutputs!C80/(TabularOutputs!C80+TabularOutputs!B80)*(TechnicalInputs!$D$10*TechnicalInputs!$D$13+TechnicalInputs!$D$11*TechnicalInputs!$D$14+TechnicalInputs!$D$12*TechnicalInputs!$D$15))</f>
        <v>0</v>
      </c>
      <c r="X32" s="39">
        <f>TabularOutputs!E80/$B$3</f>
        <v>0</v>
      </c>
      <c r="Y32" s="39"/>
      <c r="Z32" s="39"/>
      <c r="AA32" s="39">
        <f t="shared" si="6"/>
        <v>0</v>
      </c>
      <c r="AC32" s="3">
        <f t="shared" si="15"/>
        <v>2024</v>
      </c>
      <c r="AD32" s="39">
        <v>0</v>
      </c>
      <c r="AE32" s="39">
        <f>$B$10*EconomicInputs!C18*(1+TechnicalInputs!$D$2)^(CollectionCosts!AC32-CollectionCosts!$AC$22)/$B$13</f>
        <v>4547804.3821025463</v>
      </c>
      <c r="AF32" s="39">
        <f>$B$6*$B$8*(1+TechnicalInputs!$D$2)^(CollectionCosts!AC32-CollectionCosts!$AC$22)</f>
        <v>50812.608523793715</v>
      </c>
      <c r="AG32" s="39">
        <v>0</v>
      </c>
      <c r="AH32" s="39">
        <f t="shared" si="8"/>
        <v>4598616.9906263398</v>
      </c>
      <c r="AJ32" s="3">
        <f t="shared" si="16"/>
        <v>2024</v>
      </c>
      <c r="AK32" s="39">
        <v>0</v>
      </c>
      <c r="AL32" s="39">
        <f>SUM(EconomicInputs!E18:F18)*CollectionCosts!$B$12*(1+TechnicalInputs!$D$2)^(CollectionCosts!AJ32-CollectionCosts!$AJ$22)</f>
        <v>7241224.1464986028</v>
      </c>
      <c r="AM32" s="39">
        <f>$B$6*$B$7*(1+TechnicalInputs!$D$2)^(CollectionCosts!AJ32-CollectionCosts!$AC$22)</f>
        <v>2181860.6795922015</v>
      </c>
      <c r="AN32" s="39">
        <v>0</v>
      </c>
      <c r="AO32" s="39">
        <f t="shared" si="10"/>
        <v>9423084.8260908052</v>
      </c>
    </row>
    <row r="33" spans="1:41">
      <c r="A33" s="3">
        <f t="shared" si="11"/>
        <v>2025</v>
      </c>
      <c r="B33" s="39">
        <f>EconomicInputs!K19*(1-Evasion!B19)*TabularOutputs!B19*TechnicalInputs!$D$6</f>
        <v>10994095.223054685</v>
      </c>
      <c r="C33" s="39">
        <f>C32*(1+TechnicalInputs!$D$2)</f>
        <v>12704827.516383717</v>
      </c>
      <c r="D33" s="39"/>
      <c r="E33" s="39"/>
      <c r="F33" s="39">
        <f t="shared" si="3"/>
        <v>23698922.7394384</v>
      </c>
      <c r="H33" s="3">
        <f t="shared" si="12"/>
        <v>2025</v>
      </c>
      <c r="I33" s="39">
        <f>TabularOutputs!C81*TechnicalInputs!$D$6</f>
        <v>3207961.564557523</v>
      </c>
      <c r="J33" s="39">
        <f>$B$2*(TabularOutputs!C81)/(TabularOutputs!C81+TabularOutputs!D81+TabularOutputs!H81+TabularOutputs!T81)*(1+TechnicalInputs!$D$2)^(H33-$H$22)</f>
        <v>3009599.7189592347</v>
      </c>
      <c r="K33" s="39">
        <v>0</v>
      </c>
      <c r="L33" s="39"/>
      <c r="M33" s="39">
        <f t="shared" si="4"/>
        <v>6217561.2835167572</v>
      </c>
      <c r="O33" s="3">
        <f t="shared" si="13"/>
        <v>2025</v>
      </c>
      <c r="P33" s="39">
        <v>0</v>
      </c>
      <c r="Q33" s="39">
        <f>$B$2*(TabularOutputs!D81)/(TabularOutputs!C81+TabularOutputs!D81+TabularOutputs!H81+TabularOutputs!T81)*(1+TechnicalInputs!$D$2)^(CollectionCosts!O33-CollectionCosts!$O$22)</f>
        <v>1655279.8454275792</v>
      </c>
      <c r="R33" s="39"/>
      <c r="S33" s="39"/>
      <c r="T33" s="39">
        <f t="shared" si="5"/>
        <v>1655279.8454275792</v>
      </c>
      <c r="V33" s="3">
        <f t="shared" si="14"/>
        <v>2025</v>
      </c>
      <c r="W33" s="39">
        <f>IF(SUM(TabularOutputs!B81:C81)=0,0,TabularOutputs!E81*TabularOutputs!C81/(TabularOutputs!C81+TabularOutputs!B81)*(TechnicalInputs!$D$10*TechnicalInputs!$D$13+TechnicalInputs!$D$11*TechnicalInputs!$D$14+TechnicalInputs!$D$12*TechnicalInputs!$D$15))</f>
        <v>0</v>
      </c>
      <c r="X33" s="39">
        <f>TabularOutputs!E81/$B$3</f>
        <v>0</v>
      </c>
      <c r="Y33" s="39"/>
      <c r="Z33" s="39"/>
      <c r="AA33" s="39">
        <f t="shared" si="6"/>
        <v>0</v>
      </c>
      <c r="AC33" s="3">
        <f t="shared" si="15"/>
        <v>2025</v>
      </c>
      <c r="AD33" s="39">
        <v>0</v>
      </c>
      <c r="AE33" s="39">
        <f>$B$10*EconomicInputs!C19*(1+TechnicalInputs!$D$2)^(CollectionCosts!AC33-CollectionCosts!$AC$22)/$B$13</f>
        <v>4689092.4138869634</v>
      </c>
      <c r="AF33" s="39">
        <f>$B$6*$B$8*(1+TechnicalInputs!$D$2)^(CollectionCosts!AC33-CollectionCosts!$AC$22)</f>
        <v>52082.923736888559</v>
      </c>
      <c r="AG33" s="39">
        <v>0</v>
      </c>
      <c r="AH33" s="39">
        <f t="shared" si="8"/>
        <v>4741175.3376238523</v>
      </c>
      <c r="AJ33" s="3">
        <f t="shared" si="16"/>
        <v>2025</v>
      </c>
      <c r="AK33" s="39">
        <v>0</v>
      </c>
      <c r="AL33" s="39">
        <f>SUM(EconomicInputs!E19:F19)*CollectionCosts!$B$12*(1+TechnicalInputs!$D$2)^(CollectionCosts!AJ33-CollectionCosts!$AJ$22)</f>
        <v>7496477.2976626791</v>
      </c>
      <c r="AM33" s="39">
        <f>$B$6*$B$7*(1+TechnicalInputs!$D$2)^(CollectionCosts!AJ33-CollectionCosts!$AC$22)</f>
        <v>2236407.1965820068</v>
      </c>
      <c r="AN33" s="39">
        <v>0</v>
      </c>
      <c r="AO33" s="39">
        <f t="shared" si="10"/>
        <v>9732884.4942446854</v>
      </c>
    </row>
    <row r="34" spans="1:41">
      <c r="A34" s="3">
        <f t="shared" si="11"/>
        <v>2026</v>
      </c>
      <c r="B34" s="39">
        <f>EconomicInputs!K20*(1-Evasion!B20)*TabularOutputs!B20*TechnicalInputs!$D$6</f>
        <v>10748246.124254243</v>
      </c>
      <c r="C34" s="39">
        <f>C33*(1+TechnicalInputs!$D$2)</f>
        <v>13022448.204293309</v>
      </c>
      <c r="D34" s="39"/>
      <c r="E34" s="39"/>
      <c r="F34" s="39">
        <f t="shared" si="3"/>
        <v>23770694.328547552</v>
      </c>
      <c r="H34" s="3">
        <f t="shared" si="12"/>
        <v>2026</v>
      </c>
      <c r="I34" s="39">
        <f>TabularOutputs!C82*TechnicalInputs!$D$6</f>
        <v>3251196.741958268</v>
      </c>
      <c r="J34" s="39">
        <f>$B$2*(TabularOutputs!C82)/(TabularOutputs!C82+TabularOutputs!D82+TabularOutputs!H82+TabularOutputs!T82)*(1+TechnicalInputs!$D$2)^(H34-$H$22)</f>
        <v>3092781.7071553003</v>
      </c>
      <c r="K34" s="39">
        <v>0</v>
      </c>
      <c r="L34" s="39"/>
      <c r="M34" s="39">
        <f t="shared" si="4"/>
        <v>6343978.4491135683</v>
      </c>
      <c r="O34" s="3">
        <f t="shared" si="13"/>
        <v>2026</v>
      </c>
      <c r="P34" s="39">
        <v>0</v>
      </c>
      <c r="Q34" s="39">
        <f>$B$2*(TabularOutputs!D82)/(TabularOutputs!C82+TabularOutputs!D82+TabularOutputs!H82+TabularOutputs!T82)*(1+TechnicalInputs!$D$2)^(CollectionCosts!O34-CollectionCosts!$O$22)</f>
        <v>1701029.9389354156</v>
      </c>
      <c r="R34" s="39"/>
      <c r="S34" s="39"/>
      <c r="T34" s="39">
        <f t="shared" si="5"/>
        <v>1701029.9389354156</v>
      </c>
      <c r="V34" s="3">
        <f t="shared" si="14"/>
        <v>2026</v>
      </c>
      <c r="W34" s="39">
        <f>IF(SUM(TabularOutputs!B82:C82)=0,0,TabularOutputs!E82*TabularOutputs!C82/(TabularOutputs!C82+TabularOutputs!B82)*(TechnicalInputs!$D$10*TechnicalInputs!$D$13+TechnicalInputs!$D$11*TechnicalInputs!$D$14+TechnicalInputs!$D$12*TechnicalInputs!$D$15))</f>
        <v>0</v>
      </c>
      <c r="X34" s="39">
        <f>TabularOutputs!E82/$B$3</f>
        <v>0</v>
      </c>
      <c r="Y34" s="39"/>
      <c r="Z34" s="39"/>
      <c r="AA34" s="39">
        <f t="shared" si="6"/>
        <v>0</v>
      </c>
      <c r="AC34" s="3">
        <f t="shared" si="15"/>
        <v>2026</v>
      </c>
      <c r="AD34" s="39">
        <v>0</v>
      </c>
      <c r="AE34" s="39">
        <f>$B$10*EconomicInputs!C20*(1+TechnicalInputs!$D$2)^(CollectionCosts!AC34-CollectionCosts!$AC$22)/$B$13</f>
        <v>4833956.3727347208</v>
      </c>
      <c r="AF34" s="39">
        <f>$B$6*$B$8*(1+TechnicalInputs!$D$2)^(CollectionCosts!AC34-CollectionCosts!$AC$22)</f>
        <v>53384.996830310767</v>
      </c>
      <c r="AG34" s="39">
        <v>0</v>
      </c>
      <c r="AH34" s="39">
        <f t="shared" si="8"/>
        <v>4887341.3695650315</v>
      </c>
      <c r="AJ34" s="3">
        <f t="shared" si="16"/>
        <v>2026</v>
      </c>
      <c r="AK34" s="39">
        <v>0</v>
      </c>
      <c r="AL34" s="39">
        <f>SUM(EconomicInputs!E20:F20)*CollectionCosts!$B$12*(1+TechnicalInputs!$D$2)^(CollectionCosts!AJ34-CollectionCosts!$AJ$22)</f>
        <v>7760728.1224052878</v>
      </c>
      <c r="AM34" s="39">
        <f>$B$6*$B$7*(1+TechnicalInputs!$D$2)^(CollectionCosts!AJ34-CollectionCosts!$AC$22)</f>
        <v>2292317.3764965567</v>
      </c>
      <c r="AN34" s="39">
        <v>0</v>
      </c>
      <c r="AO34" s="39">
        <f t="shared" si="10"/>
        <v>10053045.498901844</v>
      </c>
    </row>
    <row r="35" spans="1:41">
      <c r="A35" s="3">
        <f t="shared" si="11"/>
        <v>2027</v>
      </c>
      <c r="B35" s="39">
        <f>EconomicInputs!K21*(1-Evasion!B21)*TabularOutputs!B21*TechnicalInputs!$D$6</f>
        <v>10509775.362237025</v>
      </c>
      <c r="C35" s="39">
        <f>C34*(1+TechnicalInputs!$D$2)</f>
        <v>13348009.40940064</v>
      </c>
      <c r="D35" s="39"/>
      <c r="E35" s="39"/>
      <c r="F35" s="39">
        <f t="shared" si="3"/>
        <v>23857784.771637663</v>
      </c>
      <c r="H35" s="3">
        <f t="shared" si="12"/>
        <v>2027</v>
      </c>
      <c r="I35" s="39">
        <f>TabularOutputs!C83*TechnicalInputs!$D$6</f>
        <v>3295924.0924880146</v>
      </c>
      <c r="J35" s="39">
        <f>$B$2*(TabularOutputs!C83)/(TabularOutputs!C83+TabularOutputs!D83+TabularOutputs!H83+TabularOutputs!T83)*(1+TechnicalInputs!$D$2)^(H35-$H$22)</f>
        <v>3178700.1742611234</v>
      </c>
      <c r="K35" s="39">
        <v>0</v>
      </c>
      <c r="L35" s="39"/>
      <c r="M35" s="39">
        <f t="shared" si="4"/>
        <v>6474624.266749138</v>
      </c>
      <c r="O35" s="3">
        <f t="shared" si="13"/>
        <v>2027</v>
      </c>
      <c r="P35" s="39">
        <v>0</v>
      </c>
      <c r="Q35" s="39">
        <f>$B$2*(TabularOutputs!D83)/(TabularOutputs!C83+TabularOutputs!D83+TabularOutputs!H83+TabularOutputs!T83)*(1+TechnicalInputs!$D$2)^(CollectionCosts!O35-CollectionCosts!$O$22)</f>
        <v>1748285.0958436178</v>
      </c>
      <c r="R35" s="39"/>
      <c r="S35" s="39"/>
      <c r="T35" s="39">
        <f t="shared" si="5"/>
        <v>1748285.0958436178</v>
      </c>
      <c r="V35" s="3">
        <f t="shared" si="14"/>
        <v>2027</v>
      </c>
      <c r="W35" s="39">
        <f>IF(SUM(TabularOutputs!B83:C83)=0,0,TabularOutputs!E83*TabularOutputs!C83/(TabularOutputs!C83+TabularOutputs!B83)*(TechnicalInputs!$D$10*TechnicalInputs!$D$13+TechnicalInputs!$D$11*TechnicalInputs!$D$14+TechnicalInputs!$D$12*TechnicalInputs!$D$15))</f>
        <v>0</v>
      </c>
      <c r="X35" s="39">
        <f>TabularOutputs!E83/$B$3</f>
        <v>0</v>
      </c>
      <c r="Y35" s="39"/>
      <c r="Z35" s="39"/>
      <c r="AA35" s="39">
        <f t="shared" si="6"/>
        <v>0</v>
      </c>
      <c r="AC35" s="3">
        <f t="shared" si="15"/>
        <v>2027</v>
      </c>
      <c r="AD35" s="39">
        <v>0</v>
      </c>
      <c r="AE35" s="39">
        <f>$B$10*EconomicInputs!C21*(1+TechnicalInputs!$D$2)^(CollectionCosts!AC35-CollectionCosts!$AC$22)/$B$13</f>
        <v>4983295.7320908783</v>
      </c>
      <c r="AF35" s="39">
        <f>$B$6*$B$8*(1+TechnicalInputs!$D$2)^(CollectionCosts!AC35-CollectionCosts!$AC$22)</f>
        <v>54719.621751068531</v>
      </c>
      <c r="AG35" s="39">
        <v>0</v>
      </c>
      <c r="AH35" s="39">
        <f t="shared" si="8"/>
        <v>5038015.3538419465</v>
      </c>
      <c r="AJ35" s="3">
        <f t="shared" si="16"/>
        <v>2027</v>
      </c>
      <c r="AK35" s="39">
        <v>0</v>
      </c>
      <c r="AL35" s="39">
        <f>SUM(EconomicInputs!E21:F21)*CollectionCosts!$B$12*(1+TechnicalInputs!$D$2)^(CollectionCosts!AJ35-CollectionCosts!$AJ$22)</f>
        <v>8034293.7887200741</v>
      </c>
      <c r="AM35" s="39">
        <f>$B$6*$B$7*(1+TechnicalInputs!$D$2)^(CollectionCosts!AJ35-CollectionCosts!$AC$22)</f>
        <v>2349625.3109089704</v>
      </c>
      <c r="AN35" s="39">
        <v>0</v>
      </c>
      <c r="AO35" s="39">
        <f t="shared" si="10"/>
        <v>10383919.099629045</v>
      </c>
    </row>
    <row r="36" spans="1:41">
      <c r="A36" s="3">
        <f t="shared" si="11"/>
        <v>2028</v>
      </c>
      <c r="B36" s="39">
        <f>EconomicInputs!K22*(1-Evasion!B22)*TabularOutputs!B22*TechnicalInputs!$D$6</f>
        <v>10278890.261732502</v>
      </c>
      <c r="C36" s="39">
        <f>C35*(1+TechnicalInputs!$D$2)</f>
        <v>13681709.644635655</v>
      </c>
      <c r="D36" s="39"/>
      <c r="E36" s="39"/>
      <c r="F36" s="39">
        <f t="shared" si="3"/>
        <v>23960599.906368159</v>
      </c>
      <c r="H36" s="3">
        <f t="shared" si="12"/>
        <v>2028</v>
      </c>
      <c r="I36" s="39">
        <f>TabularOutputs!C84*TechnicalInputs!$D$6</f>
        <v>3342202.3330213916</v>
      </c>
      <c r="J36" s="39">
        <f>$B$2*(TabularOutputs!C84)/(TabularOutputs!C84+TabularOutputs!D84+TabularOutputs!H84+TabularOutputs!T84)*(1+TechnicalInputs!$D$2)^(H36-$H$22)</f>
        <v>3267419.2014116021</v>
      </c>
      <c r="K36" s="39">
        <v>0</v>
      </c>
      <c r="L36" s="39"/>
      <c r="M36" s="39">
        <f t="shared" si="4"/>
        <v>6609621.5344329942</v>
      </c>
      <c r="O36" s="3">
        <f t="shared" si="13"/>
        <v>2028</v>
      </c>
      <c r="P36" s="39">
        <v>0</v>
      </c>
      <c r="Q36" s="39">
        <f>$B$2*(TabularOutputs!D84)/(TabularOutputs!C84+TabularOutputs!D84+TabularOutputs!H84+TabularOutputs!T84)*(1+TechnicalInputs!$D$2)^(CollectionCosts!O36-CollectionCosts!$O$22)</f>
        <v>1797080.5607763811</v>
      </c>
      <c r="R36" s="39"/>
      <c r="S36" s="39"/>
      <c r="T36" s="39">
        <f t="shared" si="5"/>
        <v>1797080.5607763811</v>
      </c>
      <c r="V36" s="3">
        <f t="shared" si="14"/>
        <v>2028</v>
      </c>
      <c r="W36" s="39">
        <f>IF(SUM(TabularOutputs!B84:C84)=0,0,TabularOutputs!E84*TabularOutputs!C84/(TabularOutputs!C84+TabularOutputs!B84)*(TechnicalInputs!$D$10*TechnicalInputs!$D$13+TechnicalInputs!$D$11*TechnicalInputs!$D$14+TechnicalInputs!$D$12*TechnicalInputs!$D$15))</f>
        <v>0</v>
      </c>
      <c r="X36" s="39">
        <f>TabularOutputs!E84/$B$3</f>
        <v>0</v>
      </c>
      <c r="Y36" s="39"/>
      <c r="Z36" s="39"/>
      <c r="AA36" s="39">
        <f t="shared" si="6"/>
        <v>0</v>
      </c>
      <c r="AC36" s="3">
        <f t="shared" si="15"/>
        <v>2028</v>
      </c>
      <c r="AD36" s="39">
        <v>0</v>
      </c>
      <c r="AE36" s="39">
        <f>$B$10*EconomicInputs!C22*(1+TechnicalInputs!$D$2)^(CollectionCosts!AC36-CollectionCosts!$AC$22)/$B$13</f>
        <v>5137248.7541558463</v>
      </c>
      <c r="AF36" s="39">
        <f>$B$6*$B$8*(1+TechnicalInputs!$D$2)^(CollectionCosts!AC36-CollectionCosts!$AC$22)</f>
        <v>56087.612294845239</v>
      </c>
      <c r="AG36" s="39">
        <v>0</v>
      </c>
      <c r="AH36" s="39">
        <f t="shared" si="8"/>
        <v>5193336.3664506916</v>
      </c>
      <c r="AJ36" s="3">
        <f t="shared" si="16"/>
        <v>2028</v>
      </c>
      <c r="AK36" s="39">
        <v>0</v>
      </c>
      <c r="AL36" s="39">
        <f>SUM(EconomicInputs!E22:F22)*CollectionCosts!$B$12*(1+TechnicalInputs!$D$2)^(CollectionCosts!AJ36-CollectionCosts!$AJ$22)</f>
        <v>8317502.644772457</v>
      </c>
      <c r="AM36" s="39">
        <f>$B$6*$B$7*(1+TechnicalInputs!$D$2)^(CollectionCosts!AJ36-CollectionCosts!$AC$22)</f>
        <v>2408365.9436816946</v>
      </c>
      <c r="AN36" s="39">
        <v>0</v>
      </c>
      <c r="AO36" s="39">
        <f t="shared" si="10"/>
        <v>10725868.588454152</v>
      </c>
    </row>
    <row r="37" spans="1:41">
      <c r="A37" s="3">
        <f t="shared" si="11"/>
        <v>2029</v>
      </c>
      <c r="B37" s="39">
        <f>EconomicInputs!K23*(1-Evasion!B23)*TabularOutputs!B23*TechnicalInputs!$D$6</f>
        <v>10055731.294400478</v>
      </c>
      <c r="C37" s="39">
        <f>C36*(1+TechnicalInputs!$D$2)</f>
        <v>14023752.385751545</v>
      </c>
      <c r="D37" s="39"/>
      <c r="E37" s="39"/>
      <c r="F37" s="39">
        <f t="shared" si="3"/>
        <v>24079483.680152021</v>
      </c>
      <c r="H37" s="3">
        <f t="shared" si="12"/>
        <v>2029</v>
      </c>
      <c r="I37" s="39">
        <f>TabularOutputs!C85*TechnicalInputs!$D$6</f>
        <v>3389824.7149332487</v>
      </c>
      <c r="J37" s="39">
        <f>$B$2*(TabularOutputs!C85)/(TabularOutputs!C85+TabularOutputs!D85+TabularOutputs!H85+TabularOutputs!T85)*(1+TechnicalInputs!$D$2)^(H37-$H$22)</f>
        <v>3358934.7430312368</v>
      </c>
      <c r="K37" s="39">
        <v>0</v>
      </c>
      <c r="L37" s="39"/>
      <c r="M37" s="39">
        <f t="shared" si="4"/>
        <v>6748759.4579644855</v>
      </c>
      <c r="O37" s="3">
        <f t="shared" si="13"/>
        <v>2029</v>
      </c>
      <c r="P37" s="39">
        <v>0</v>
      </c>
      <c r="Q37" s="39">
        <f>$B$2*(TabularOutputs!D85)/(TabularOutputs!C85+TabularOutputs!D85+TabularOutputs!H85+TabularOutputs!T85)*(1+TechnicalInputs!$D$2)^(CollectionCosts!O37-CollectionCosts!$O$22)</f>
        <v>1847414.1086671802</v>
      </c>
      <c r="R37" s="39"/>
      <c r="S37" s="39"/>
      <c r="T37" s="39">
        <f t="shared" si="5"/>
        <v>1847414.1086671802</v>
      </c>
      <c r="V37" s="3">
        <f t="shared" si="14"/>
        <v>2029</v>
      </c>
      <c r="W37" s="39">
        <f>IF(SUM(TabularOutputs!B85:C85)=0,0,TabularOutputs!E85*TabularOutputs!C85/(TabularOutputs!C85+TabularOutputs!B85)*(TechnicalInputs!$D$10*TechnicalInputs!$D$13+TechnicalInputs!$D$11*TechnicalInputs!$D$14+TechnicalInputs!$D$12*TechnicalInputs!$D$15))</f>
        <v>0</v>
      </c>
      <c r="X37" s="39">
        <f>TabularOutputs!E85/$B$3</f>
        <v>0</v>
      </c>
      <c r="Y37" s="39"/>
      <c r="Z37" s="39"/>
      <c r="AA37" s="39">
        <f t="shared" si="6"/>
        <v>0</v>
      </c>
      <c r="AC37" s="3">
        <f t="shared" si="15"/>
        <v>2029</v>
      </c>
      <c r="AD37" s="39">
        <v>0</v>
      </c>
      <c r="AE37" s="39">
        <f>$B$10*EconomicInputs!C23*(1+TechnicalInputs!$D$2)^(CollectionCosts!AC37-CollectionCosts!$AC$22)/$B$13</f>
        <v>5295957.9725770364</v>
      </c>
      <c r="AF37" s="39">
        <f>$B$6*$B$8*(1+TechnicalInputs!$D$2)^(CollectionCosts!AC37-CollectionCosts!$AC$22)</f>
        <v>57489.802602216383</v>
      </c>
      <c r="AG37" s="39">
        <v>0</v>
      </c>
      <c r="AH37" s="39">
        <f t="shared" si="8"/>
        <v>5353447.775179253</v>
      </c>
      <c r="AJ37" s="3">
        <f t="shared" si="16"/>
        <v>2029</v>
      </c>
      <c r="AK37" s="39">
        <v>0</v>
      </c>
      <c r="AL37" s="39">
        <f>SUM(EconomicInputs!E23:F23)*CollectionCosts!$B$12*(1+TechnicalInputs!$D$2)^(CollectionCosts!AJ37-CollectionCosts!$AJ$22)</f>
        <v>8610694.6130006872</v>
      </c>
      <c r="AM37" s="39">
        <f>$B$6*$B$7*(1+TechnicalInputs!$D$2)^(CollectionCosts!AJ37-CollectionCosts!$AC$22)</f>
        <v>2468575.0922737373</v>
      </c>
      <c r="AN37" s="39">
        <v>0</v>
      </c>
      <c r="AO37" s="39">
        <f t="shared" si="10"/>
        <v>11079269.705274425</v>
      </c>
    </row>
    <row r="38" spans="1:41">
      <c r="A38" s="3">
        <f t="shared" si="11"/>
        <v>2030</v>
      </c>
      <c r="B38" s="39">
        <f>EconomicInputs!K24*(1-Evasion!B24)*TabularOutputs!B24*TechnicalInputs!$D$6</f>
        <v>9840246.9847400729</v>
      </c>
      <c r="C38" s="39">
        <f>C37*(1+TechnicalInputs!$D$2)</f>
        <v>14374346.195395334</v>
      </c>
      <c r="D38" s="39"/>
      <c r="E38" s="39"/>
      <c r="F38" s="39">
        <f t="shared" si="3"/>
        <v>24214593.180135407</v>
      </c>
      <c r="H38" s="3">
        <f t="shared" si="12"/>
        <v>2030</v>
      </c>
      <c r="I38" s="39">
        <f>TabularOutputs!C86*TechnicalInputs!$D$6</f>
        <v>3439392.8560660821</v>
      </c>
      <c r="J38" s="39">
        <f>$B$2*(TabularOutputs!C86)/(TabularOutputs!C86+TabularOutputs!D86+TabularOutputs!H86+TabularOutputs!T86)*(1+TechnicalInputs!$D$2)^(H38-$H$22)</f>
        <v>3453467.0605071322</v>
      </c>
      <c r="K38" s="39">
        <v>0</v>
      </c>
      <c r="L38" s="39"/>
      <c r="M38" s="39">
        <f t="shared" si="4"/>
        <v>6892859.9165732143</v>
      </c>
      <c r="O38" s="3">
        <f t="shared" si="13"/>
        <v>2030</v>
      </c>
      <c r="P38" s="39">
        <v>0</v>
      </c>
      <c r="Q38" s="39">
        <f>$B$2*(TabularOutputs!D86)/(TabularOutputs!C86+TabularOutputs!D86+TabularOutputs!H86+TabularOutputs!T86)*(1+TechnicalInputs!$D$2)^(CollectionCosts!O38-CollectionCosts!$O$22)</f>
        <v>1899406.8832789224</v>
      </c>
      <c r="R38" s="39"/>
      <c r="S38" s="39"/>
      <c r="T38" s="39">
        <f t="shared" si="5"/>
        <v>1899406.8832789224</v>
      </c>
      <c r="V38" s="3">
        <f t="shared" si="14"/>
        <v>2030</v>
      </c>
      <c r="W38" s="39">
        <f>IF(SUM(TabularOutputs!B86:C86)=0,0,TabularOutputs!E86*TabularOutputs!C86/(TabularOutputs!C86+TabularOutputs!B86)*(TechnicalInputs!$D$10*TechnicalInputs!$D$13+TechnicalInputs!$D$11*TechnicalInputs!$D$14+TechnicalInputs!$D$12*TechnicalInputs!$D$15))</f>
        <v>0</v>
      </c>
      <c r="X38" s="39">
        <f>TabularOutputs!E86/$B$3</f>
        <v>0</v>
      </c>
      <c r="Y38" s="39"/>
      <c r="Z38" s="39"/>
      <c r="AA38" s="39">
        <f t="shared" si="6"/>
        <v>0</v>
      </c>
      <c r="AC38" s="3">
        <f t="shared" si="15"/>
        <v>2030</v>
      </c>
      <c r="AD38" s="39">
        <v>0</v>
      </c>
      <c r="AE38" s="39">
        <f>$B$10*EconomicInputs!C24*(1+TechnicalInputs!$D$2)^(CollectionCosts!AC38-CollectionCosts!$AC$22)/$B$13</f>
        <v>5459570.324410147</v>
      </c>
      <c r="AF38" s="39">
        <f>$B$6*$B$8*(1+TechnicalInputs!$D$2)^(CollectionCosts!AC38-CollectionCosts!$AC$22)</f>
        <v>58927.047667271785</v>
      </c>
      <c r="AG38" s="39">
        <v>0</v>
      </c>
      <c r="AH38" s="39">
        <f t="shared" si="8"/>
        <v>5518497.3720774185</v>
      </c>
      <c r="AJ38" s="3">
        <f t="shared" si="16"/>
        <v>2030</v>
      </c>
      <c r="AK38" s="39">
        <v>0</v>
      </c>
      <c r="AL38" s="39">
        <f>SUM(EconomicInputs!E24:F24)*CollectionCosts!$B$12*(1+TechnicalInputs!$D$2)^(CollectionCosts!AJ38-CollectionCosts!$AJ$22)</f>
        <v>8914221.5981089622</v>
      </c>
      <c r="AM38" s="39">
        <f>$B$6*$B$7*(1+TechnicalInputs!$D$2)^(CollectionCosts!AJ38-CollectionCosts!$AC$22)</f>
        <v>2530289.4695805805</v>
      </c>
      <c r="AN38" s="39">
        <v>0</v>
      </c>
      <c r="AO38" s="39">
        <f t="shared" si="10"/>
        <v>11444511.067689542</v>
      </c>
    </row>
    <row r="39" spans="1:41">
      <c r="A39" s="3">
        <f t="shared" si="11"/>
        <v>2031</v>
      </c>
      <c r="B39" s="39">
        <f>EconomicInputs!K25*(1-Evasion!B25)*TabularOutputs!B25*TechnicalInputs!$D$6</f>
        <v>9632491.3966912255</v>
      </c>
      <c r="C39" s="39">
        <f>C38*(1+TechnicalInputs!$D$2)</f>
        <v>14733704.850280216</v>
      </c>
      <c r="D39" s="39"/>
      <c r="E39" s="39"/>
      <c r="F39" s="39">
        <f t="shared" si="3"/>
        <v>24366196.246971443</v>
      </c>
      <c r="H39" s="3">
        <f t="shared" si="12"/>
        <v>2031</v>
      </c>
      <c r="I39" s="39">
        <f>TabularOutputs!C87*TechnicalInputs!$D$6</f>
        <v>3490537.9469957831</v>
      </c>
      <c r="J39" s="39">
        <f>$B$2*(TabularOutputs!C87)/(TabularOutputs!C87+TabularOutputs!D87+TabularOutputs!H87+TabularOutputs!T87)*(1+TechnicalInputs!$D$2)^(H39-$H$22)</f>
        <v>3550974.9616772737</v>
      </c>
      <c r="K39" s="39">
        <v>0</v>
      </c>
      <c r="L39" s="39"/>
      <c r="M39" s="39">
        <f t="shared" si="4"/>
        <v>7041512.9086730573</v>
      </c>
      <c r="O39" s="3">
        <f t="shared" si="13"/>
        <v>2031</v>
      </c>
      <c r="P39" s="39">
        <v>0</v>
      </c>
      <c r="Q39" s="39">
        <f>$B$2*(TabularOutputs!D87)/(TabularOutputs!C87+TabularOutputs!D87+TabularOutputs!H87+TabularOutputs!T87)*(1+TechnicalInputs!$D$2)^(CollectionCosts!O39-CollectionCosts!$O$22)</f>
        <v>1953036.2289225003</v>
      </c>
      <c r="R39" s="39"/>
      <c r="S39" s="39"/>
      <c r="T39" s="39">
        <f t="shared" si="5"/>
        <v>1953036.2289225003</v>
      </c>
      <c r="V39" s="3">
        <f t="shared" si="14"/>
        <v>2031</v>
      </c>
      <c r="W39" s="39">
        <f>IF(SUM(TabularOutputs!B87:C87)=0,0,TabularOutputs!E87*TabularOutputs!C87/(TabularOutputs!C87+TabularOutputs!B87)*(TechnicalInputs!$D$10*TechnicalInputs!$D$13+TechnicalInputs!$D$11*TechnicalInputs!$D$14+TechnicalInputs!$D$12*TechnicalInputs!$D$15))</f>
        <v>0</v>
      </c>
      <c r="X39" s="39">
        <f>TabularOutputs!E87/$B$3</f>
        <v>0</v>
      </c>
      <c r="Y39" s="39"/>
      <c r="Z39" s="39"/>
      <c r="AA39" s="39">
        <f t="shared" si="6"/>
        <v>0</v>
      </c>
      <c r="AC39" s="3">
        <f t="shared" si="15"/>
        <v>2031</v>
      </c>
      <c r="AD39" s="39">
        <v>0</v>
      </c>
      <c r="AE39" s="39">
        <f>$B$10*EconomicInputs!C25*(1+TechnicalInputs!$D$2)^(CollectionCosts!AC39-CollectionCosts!$AC$22)/$B$13</f>
        <v>5627667.2947343718</v>
      </c>
      <c r="AF39" s="39">
        <f>$B$6*$B$8*(1+TechnicalInputs!$D$2)^(CollectionCosts!AC39-CollectionCosts!$AC$22)</f>
        <v>60400.22385895357</v>
      </c>
      <c r="AG39" s="39">
        <v>0</v>
      </c>
      <c r="AH39" s="39">
        <f t="shared" si="8"/>
        <v>5688067.5185933253</v>
      </c>
      <c r="AJ39" s="3">
        <f t="shared" si="16"/>
        <v>2031</v>
      </c>
      <c r="AK39" s="39">
        <v>0</v>
      </c>
      <c r="AL39" s="39">
        <f>SUM(EconomicInputs!E25:F25)*CollectionCosts!$B$12*(1+TechnicalInputs!$D$2)^(CollectionCosts!AJ39-CollectionCosts!$AJ$22)</f>
        <v>9228447.9094423018</v>
      </c>
      <c r="AM39" s="39">
        <f>$B$6*$B$7*(1+TechnicalInputs!$D$2)^(CollectionCosts!AJ39-CollectionCosts!$AC$22)</f>
        <v>2593546.7063200944</v>
      </c>
      <c r="AN39" s="39">
        <v>0</v>
      </c>
      <c r="AO39" s="39">
        <f t="shared" si="10"/>
        <v>11821994.615762396</v>
      </c>
    </row>
    <row r="40" spans="1:41">
      <c r="A40" s="3">
        <f t="shared" si="11"/>
        <v>2032</v>
      </c>
      <c r="B40" s="39">
        <f>EconomicInputs!K26*(1-Evasion!B26)*TabularOutputs!B26*TechnicalInputs!$D$6</f>
        <v>9432401.1381934993</v>
      </c>
      <c r="C40" s="39">
        <f>C39*(1+TechnicalInputs!$D$2)</f>
        <v>15102047.471537219</v>
      </c>
      <c r="D40" s="39"/>
      <c r="E40" s="39"/>
      <c r="F40" s="39">
        <f t="shared" si="3"/>
        <v>24534448.609730721</v>
      </c>
      <c r="H40" s="3">
        <f t="shared" si="12"/>
        <v>2032</v>
      </c>
      <c r="I40" s="39">
        <f>TabularOutputs!C88*TechnicalInputs!$D$6</f>
        <v>3543240.0231246366</v>
      </c>
      <c r="J40" s="39">
        <f>$B$2*(TabularOutputs!C88)/(TabularOutputs!C88+TabularOutputs!D88+TabularOutputs!H88+TabularOutputs!T88)*(1+TechnicalInputs!$D$2)^(H40-$H$22)</f>
        <v>3651514.6909390078</v>
      </c>
      <c r="K40" s="39">
        <v>0</v>
      </c>
      <c r="L40" s="39"/>
      <c r="M40" s="39">
        <f t="shared" si="4"/>
        <v>7194754.7140636444</v>
      </c>
      <c r="O40" s="3">
        <f t="shared" si="13"/>
        <v>2032</v>
      </c>
      <c r="P40" s="39">
        <v>0</v>
      </c>
      <c r="Q40" s="39">
        <f>$B$2*(TabularOutputs!D88)/(TabularOutputs!C88+TabularOutputs!D88+TabularOutputs!H88+TabularOutputs!T88)*(1+TechnicalInputs!$D$2)^(CollectionCosts!O40-CollectionCosts!$O$22)</f>
        <v>2008333.0800164544</v>
      </c>
      <c r="R40" s="39"/>
      <c r="S40" s="39"/>
      <c r="T40" s="39">
        <f t="shared" si="5"/>
        <v>2008333.0800164544</v>
      </c>
      <c r="V40" s="3">
        <f t="shared" si="14"/>
        <v>2032</v>
      </c>
      <c r="W40" s="39">
        <f>IF(SUM(TabularOutputs!B88:C88)=0,0,TabularOutputs!E88*TabularOutputs!C88/(TabularOutputs!C88+TabularOutputs!B88)*(TechnicalInputs!$D$10*TechnicalInputs!$D$13+TechnicalInputs!$D$11*TechnicalInputs!$D$14+TechnicalInputs!$D$12*TechnicalInputs!$D$15))</f>
        <v>0</v>
      </c>
      <c r="X40" s="39">
        <f>TabularOutputs!E88/$B$3</f>
        <v>0</v>
      </c>
      <c r="Y40" s="39"/>
      <c r="Z40" s="39"/>
      <c r="AA40" s="39">
        <f t="shared" si="6"/>
        <v>0</v>
      </c>
      <c r="AC40" s="3">
        <f t="shared" si="15"/>
        <v>2032</v>
      </c>
      <c r="AD40" s="39">
        <v>0</v>
      </c>
      <c r="AE40" s="39">
        <f>$B$10*EconomicInputs!C26*(1+TechnicalInputs!$D$2)^(CollectionCosts!AC40-CollectionCosts!$AC$22)/$B$13</f>
        <v>5800939.8722498538</v>
      </c>
      <c r="AF40" s="39">
        <f>$B$6*$B$8*(1+TechnicalInputs!$D$2)^(CollectionCosts!AC40-CollectionCosts!$AC$22)</f>
        <v>61910.229455427412</v>
      </c>
      <c r="AG40" s="39">
        <v>0</v>
      </c>
      <c r="AH40" s="39">
        <f t="shared" si="8"/>
        <v>5862850.1017052811</v>
      </c>
      <c r="AJ40" s="3">
        <f t="shared" si="16"/>
        <v>2032</v>
      </c>
      <c r="AK40" s="39">
        <v>0</v>
      </c>
      <c r="AL40" s="39">
        <f>SUM(EconomicInputs!E26:F26)*CollectionCosts!$B$12*(1+TechnicalInputs!$D$2)^(CollectionCosts!AJ40-CollectionCosts!$AJ$22)</f>
        <v>9553750.6982501429</v>
      </c>
      <c r="AM40" s="39">
        <f>$B$6*$B$7*(1+TechnicalInputs!$D$2)^(CollectionCosts!AJ40-CollectionCosts!$AC$22)</f>
        <v>2658385.373978097</v>
      </c>
      <c r="AN40" s="39">
        <v>0</v>
      </c>
      <c r="AO40" s="39">
        <f t="shared" si="10"/>
        <v>12212136.07222824</v>
      </c>
    </row>
    <row r="41" spans="1:41">
      <c r="A41" s="3">
        <f t="shared" si="11"/>
        <v>2033</v>
      </c>
      <c r="B41" s="39">
        <f>EconomicInputs!K27*(1-Evasion!B27)*TabularOutputs!B27*TechnicalInputs!$D$6</f>
        <v>9237954.3306794837</v>
      </c>
      <c r="C41" s="39">
        <f>C40*(1+TechnicalInputs!$D$2)</f>
        <v>15479598.658325648</v>
      </c>
      <c r="D41" s="39"/>
      <c r="E41" s="39"/>
      <c r="F41" s="39">
        <f t="shared" si="3"/>
        <v>24717552.989005134</v>
      </c>
      <c r="H41" s="3">
        <f t="shared" si="12"/>
        <v>2033</v>
      </c>
      <c r="I41" s="39">
        <f>TabularOutputs!C89*TechnicalInputs!$D$6</f>
        <v>3597103.2967844591</v>
      </c>
      <c r="J41" s="39">
        <f>$B$2*(TabularOutputs!C89)/(TabularOutputs!C89+TabularOutputs!D89+TabularOutputs!H89+TabularOutputs!T89)*(1+TechnicalInputs!$D$2)^(H41-$H$22)</f>
        <v>3751964.034661971</v>
      </c>
      <c r="K41" s="39">
        <v>0</v>
      </c>
      <c r="L41" s="39"/>
      <c r="M41" s="39">
        <f t="shared" si="4"/>
        <v>7349067.3314464297</v>
      </c>
      <c r="O41" s="3">
        <f t="shared" si="13"/>
        <v>2033</v>
      </c>
      <c r="P41" s="39">
        <v>0</v>
      </c>
      <c r="Q41" s="39">
        <f>$B$2*(TabularOutputs!D89)/(TabularOutputs!C89+TabularOutputs!D89+TabularOutputs!H89+TabularOutputs!T89)*(1+TechnicalInputs!$D$2)^(CollectionCosts!O41-CollectionCosts!$O$22)</f>
        <v>2063580.2190640846</v>
      </c>
      <c r="R41" s="39"/>
      <c r="S41" s="39"/>
      <c r="T41" s="39">
        <f t="shared" si="5"/>
        <v>2063580.2190640846</v>
      </c>
      <c r="V41" s="3">
        <f t="shared" si="14"/>
        <v>2033</v>
      </c>
      <c r="W41" s="39">
        <f>IF(SUM(TabularOutputs!B89:C89)=0,0,TabularOutputs!E89*TabularOutputs!C89/(TabularOutputs!C89+TabularOutputs!B89)*(TechnicalInputs!$D$10*TechnicalInputs!$D$13+TechnicalInputs!$D$11*TechnicalInputs!$D$14+TechnicalInputs!$D$12*TechnicalInputs!$D$15))</f>
        <v>0</v>
      </c>
      <c r="X41" s="39">
        <f>TabularOutputs!E89/$B$3</f>
        <v>0</v>
      </c>
      <c r="Y41" s="39"/>
      <c r="Z41" s="39"/>
      <c r="AA41" s="39">
        <f t="shared" si="6"/>
        <v>0</v>
      </c>
      <c r="AC41" s="3">
        <f t="shared" si="15"/>
        <v>2033</v>
      </c>
      <c r="AD41" s="39">
        <v>0</v>
      </c>
      <c r="AE41" s="39">
        <f>$B$10*EconomicInputs!C27*(1+TechnicalInputs!$D$2)^(CollectionCosts!AC41-CollectionCosts!$AC$22)/$B$13</f>
        <v>5979547.4108684817</v>
      </c>
      <c r="AF41" s="39">
        <f>$B$6*$B$8*(1+TechnicalInputs!$D$2)^(CollectionCosts!AC41-CollectionCosts!$AC$22)</f>
        <v>63457.985191813103</v>
      </c>
      <c r="AG41" s="39">
        <v>0</v>
      </c>
      <c r="AH41" s="39">
        <f t="shared" si="8"/>
        <v>6043005.3960602945</v>
      </c>
      <c r="AJ41" s="3">
        <f t="shared" si="16"/>
        <v>2033</v>
      </c>
      <c r="AK41" s="39">
        <v>0</v>
      </c>
      <c r="AL41" s="39">
        <f>SUM(EconomicInputs!E27:F27)*CollectionCosts!$B$12*(1+TechnicalInputs!$D$2)^(CollectionCosts!AJ41-CollectionCosts!$AJ$22)</f>
        <v>9890520.41036346</v>
      </c>
      <c r="AM41" s="39">
        <f>$B$6*$B$7*(1+TechnicalInputs!$D$2)^(CollectionCosts!AJ41-CollectionCosts!$AC$22)</f>
        <v>2724845.0083275493</v>
      </c>
      <c r="AN41" s="39">
        <v>0</v>
      </c>
      <c r="AO41" s="39">
        <f t="shared" si="10"/>
        <v>12615365.418691009</v>
      </c>
    </row>
    <row r="42" spans="1:41">
      <c r="A42" s="3">
        <f t="shared" si="11"/>
        <v>2034</v>
      </c>
      <c r="B42" s="39">
        <f>EconomicInputs!K28*(1-Evasion!B28)*TabularOutputs!B28*TechnicalInputs!$D$6</f>
        <v>9048869.0847628284</v>
      </c>
      <c r="C42" s="39">
        <f>C41*(1+TechnicalInputs!$D$2)</f>
        <v>15866588.624783788</v>
      </c>
      <c r="D42" s="39"/>
      <c r="E42" s="39"/>
      <c r="F42" s="39">
        <f t="shared" si="3"/>
        <v>24915457.709546618</v>
      </c>
      <c r="H42" s="3">
        <f t="shared" si="12"/>
        <v>2034</v>
      </c>
      <c r="I42" s="39">
        <f>TabularOutputs!C90*TechnicalInputs!$D$6</f>
        <v>3652719.6992544918</v>
      </c>
      <c r="J42" s="39">
        <f>$B$2*(TabularOutputs!C90)/(TabularOutputs!C90+TabularOutputs!D90+TabularOutputs!H90+TabularOutputs!T90)*(1+TechnicalInputs!$D$2)^(H42-$H$22)</f>
        <v>3855315.3887944715</v>
      </c>
      <c r="K42" s="39">
        <v>0</v>
      </c>
      <c r="L42" s="39"/>
      <c r="M42" s="39">
        <f t="shared" si="4"/>
        <v>7508035.0880489629</v>
      </c>
      <c r="O42" s="3">
        <f t="shared" si="13"/>
        <v>2034</v>
      </c>
      <c r="P42" s="39">
        <v>0</v>
      </c>
      <c r="Q42" s="39">
        <f>$B$2*(TabularOutputs!D90)/(TabularOutputs!C90+TabularOutputs!D90+TabularOutputs!H90+TabularOutputs!T90)*(1+TechnicalInputs!$D$2)^(CollectionCosts!O42-CollectionCosts!$O$22)</f>
        <v>2120423.4638369591</v>
      </c>
      <c r="R42" s="39"/>
      <c r="S42" s="39"/>
      <c r="T42" s="39">
        <f t="shared" si="5"/>
        <v>2120423.4638369591</v>
      </c>
      <c r="V42" s="3">
        <f t="shared" si="14"/>
        <v>2034</v>
      </c>
      <c r="W42" s="39">
        <f>IF(SUM(TabularOutputs!B90:C90)=0,0,TabularOutputs!E90*TabularOutputs!C90/(TabularOutputs!C90+TabularOutputs!B90)*(TechnicalInputs!$D$10*TechnicalInputs!$D$13+TechnicalInputs!$D$11*TechnicalInputs!$D$14+TechnicalInputs!$D$12*TechnicalInputs!$D$15))</f>
        <v>0</v>
      </c>
      <c r="X42" s="39">
        <f>TabularOutputs!E90/$B$3</f>
        <v>0</v>
      </c>
      <c r="Y42" s="39"/>
      <c r="Z42" s="39"/>
      <c r="AA42" s="39">
        <f t="shared" si="6"/>
        <v>0</v>
      </c>
      <c r="AC42" s="3">
        <f t="shared" si="15"/>
        <v>2034</v>
      </c>
      <c r="AD42" s="39">
        <v>0</v>
      </c>
      <c r="AE42" s="39">
        <f>$B$10*EconomicInputs!C28*(1+TechnicalInputs!$D$2)^(CollectionCosts!AC42-CollectionCosts!$AC$22)/$B$13</f>
        <v>6163654.170915693</v>
      </c>
      <c r="AF42" s="39">
        <f>$B$6*$B$8*(1+TechnicalInputs!$D$2)^(CollectionCosts!AC42-CollectionCosts!$AC$22)</f>
        <v>65044.434821608418</v>
      </c>
      <c r="AG42" s="39">
        <v>0</v>
      </c>
      <c r="AH42" s="39">
        <f t="shared" si="8"/>
        <v>6228698.6057373015</v>
      </c>
      <c r="AJ42" s="3">
        <f t="shared" si="16"/>
        <v>2034</v>
      </c>
      <c r="AK42" s="39">
        <v>0</v>
      </c>
      <c r="AL42" s="39">
        <f>SUM(EconomicInputs!E28:F28)*CollectionCosts!$B$12*(1+TechnicalInputs!$D$2)^(CollectionCosts!AJ42-CollectionCosts!$AJ$22)</f>
        <v>10239161.25482877</v>
      </c>
      <c r="AM42" s="39">
        <f>$B$6*$B$7*(1+TechnicalInputs!$D$2)^(CollectionCosts!AJ42-CollectionCosts!$AC$22)</f>
        <v>2792966.1335357376</v>
      </c>
      <c r="AN42" s="39">
        <v>0</v>
      </c>
      <c r="AO42" s="39">
        <f t="shared" si="10"/>
        <v>13032127.388364507</v>
      </c>
    </row>
    <row r="43" spans="1:41">
      <c r="A43" s="3">
        <f t="shared" si="11"/>
        <v>2035</v>
      </c>
      <c r="B43" s="39">
        <f>EconomicInputs!K29*(1-Evasion!B29)*TabularOutputs!B29*TechnicalInputs!$D$6</f>
        <v>8865144.5218854584</v>
      </c>
      <c r="C43" s="39">
        <f>C42*(1+TechnicalInputs!$D$2)</f>
        <v>16263253.340403382</v>
      </c>
      <c r="D43" s="39"/>
      <c r="E43" s="39"/>
      <c r="F43" s="39">
        <f t="shared" si="3"/>
        <v>25128397.86228884</v>
      </c>
      <c r="H43" s="3">
        <f t="shared" si="12"/>
        <v>2035</v>
      </c>
      <c r="I43" s="39">
        <f>TabularOutputs!C91*TechnicalInputs!$D$6</f>
        <v>3709968.8701633704</v>
      </c>
      <c r="J43" s="39">
        <f>$B$2*(TabularOutputs!C91)/(TabularOutputs!C91+TabularOutputs!D91+TabularOutputs!H91+TabularOutputs!T91)*(1+TechnicalInputs!$D$2)^(H43-$H$22)</f>
        <v>3961602.0590989417</v>
      </c>
      <c r="K43" s="39">
        <v>0</v>
      </c>
      <c r="L43" s="39"/>
      <c r="M43" s="39">
        <f t="shared" si="4"/>
        <v>7671570.9292623121</v>
      </c>
      <c r="O43" s="3">
        <f t="shared" si="13"/>
        <v>2035</v>
      </c>
      <c r="P43" s="39">
        <v>0</v>
      </c>
      <c r="Q43" s="39">
        <f>$B$2*(TabularOutputs!D91)/(TabularOutputs!C91+TabularOutputs!D91+TabularOutputs!H91+TabularOutputs!T91)*(1+TechnicalInputs!$D$2)^(CollectionCosts!O43-CollectionCosts!$O$22)</f>
        <v>2178881.132504418</v>
      </c>
      <c r="R43" s="39"/>
      <c r="S43" s="39"/>
      <c r="T43" s="39">
        <f t="shared" si="5"/>
        <v>2178881.132504418</v>
      </c>
      <c r="V43" s="3">
        <f t="shared" si="14"/>
        <v>2035</v>
      </c>
      <c r="W43" s="39">
        <f>IF(SUM(TabularOutputs!B91:C91)=0,0,TabularOutputs!E91*TabularOutputs!C91/(TabularOutputs!C91+TabularOutputs!B91)*(TechnicalInputs!$D$10*TechnicalInputs!$D$13+TechnicalInputs!$D$11*TechnicalInputs!$D$14+TechnicalInputs!$D$12*TechnicalInputs!$D$15))</f>
        <v>0</v>
      </c>
      <c r="X43" s="39">
        <f>TabularOutputs!E91/$B$3</f>
        <v>0</v>
      </c>
      <c r="Y43" s="39"/>
      <c r="Z43" s="39"/>
      <c r="AA43" s="39">
        <f t="shared" si="6"/>
        <v>0</v>
      </c>
      <c r="AC43" s="3">
        <f t="shared" si="15"/>
        <v>2035</v>
      </c>
      <c r="AD43" s="39">
        <v>0</v>
      </c>
      <c r="AE43" s="39">
        <f>$B$10*EconomicInputs!C29*(1+TechnicalInputs!$D$2)^(CollectionCosts!AC43-CollectionCosts!$AC$22)/$B$13</f>
        <v>6353429.4701960711</v>
      </c>
      <c r="AF43" s="39">
        <f>$B$6*$B$8*(1+TechnicalInputs!$D$2)^(CollectionCosts!AC43-CollectionCosts!$AC$22)</f>
        <v>66670.545692148618</v>
      </c>
      <c r="AG43" s="39">
        <v>0</v>
      </c>
      <c r="AH43" s="39">
        <f t="shared" si="8"/>
        <v>6420100.0158882197</v>
      </c>
      <c r="AJ43" s="3">
        <f t="shared" si="16"/>
        <v>2035</v>
      </c>
      <c r="AK43" s="39">
        <v>0</v>
      </c>
      <c r="AL43" s="39">
        <f>SUM(EconomicInputs!E29:F29)*CollectionCosts!$B$12*(1+TechnicalInputs!$D$2)^(CollectionCosts!AJ43-CollectionCosts!$AJ$22)</f>
        <v>10600091.689061483</v>
      </c>
      <c r="AM43" s="39">
        <f>$B$6*$B$7*(1+TechnicalInputs!$D$2)^(CollectionCosts!AJ43-CollectionCosts!$AC$22)</f>
        <v>2862790.2868741308</v>
      </c>
      <c r="AN43" s="39">
        <v>0</v>
      </c>
      <c r="AO43" s="39">
        <f t="shared" si="10"/>
        <v>13462881.975935614</v>
      </c>
    </row>
    <row r="44" spans="1:41">
      <c r="AH44" s="69"/>
      <c r="AO44" s="69"/>
    </row>
    <row r="45" spans="1:41">
      <c r="A45" s="263" t="s">
        <v>157</v>
      </c>
      <c r="B45" s="263"/>
      <c r="C45" s="263"/>
      <c r="D45" s="263"/>
      <c r="E45" s="263"/>
      <c r="F45" s="263"/>
      <c r="H45" s="263" t="s">
        <v>24</v>
      </c>
      <c r="I45" s="263"/>
      <c r="J45" s="263"/>
      <c r="K45" s="263"/>
      <c r="L45" s="263"/>
      <c r="M45" s="263"/>
      <c r="O45" s="263" t="s">
        <v>173</v>
      </c>
      <c r="P45" s="263"/>
      <c r="Q45" s="263"/>
      <c r="R45" s="263"/>
      <c r="S45" s="263"/>
      <c r="T45" s="263"/>
      <c r="V45" s="263" t="s">
        <v>174</v>
      </c>
      <c r="W45" s="263"/>
      <c r="X45" s="263"/>
      <c r="Y45" s="263"/>
      <c r="Z45" s="263"/>
      <c r="AA45" s="263"/>
      <c r="AC45" s="263" t="s">
        <v>175</v>
      </c>
      <c r="AD45" s="263"/>
      <c r="AE45" s="263"/>
      <c r="AF45" s="263"/>
      <c r="AG45" s="263"/>
      <c r="AH45" s="263"/>
      <c r="AJ45" s="263" t="s">
        <v>37</v>
      </c>
      <c r="AK45" s="263"/>
      <c r="AL45" s="263"/>
      <c r="AM45" s="263"/>
      <c r="AN45" s="263"/>
      <c r="AO45" s="263"/>
    </row>
    <row r="46" spans="1:41">
      <c r="A46" s="223" t="s">
        <v>71</v>
      </c>
      <c r="B46" s="223" t="s">
        <v>164</v>
      </c>
      <c r="C46" s="223"/>
      <c r="D46" s="223" t="s">
        <v>163</v>
      </c>
      <c r="E46" s="223"/>
      <c r="F46" s="223" t="s">
        <v>141</v>
      </c>
      <c r="H46" s="223" t="s">
        <v>71</v>
      </c>
      <c r="I46" s="223" t="s">
        <v>164</v>
      </c>
      <c r="J46" s="223"/>
      <c r="K46" s="223" t="s">
        <v>163</v>
      </c>
      <c r="L46" s="223"/>
      <c r="M46" s="223" t="s">
        <v>141</v>
      </c>
      <c r="O46" s="223" t="s">
        <v>71</v>
      </c>
      <c r="P46" s="223" t="s">
        <v>164</v>
      </c>
      <c r="Q46" s="223"/>
      <c r="R46" s="223" t="s">
        <v>163</v>
      </c>
      <c r="S46" s="223" t="s">
        <v>165</v>
      </c>
      <c r="T46" s="223" t="s">
        <v>141</v>
      </c>
      <c r="V46" s="223" t="s">
        <v>71</v>
      </c>
      <c r="W46" s="223" t="s">
        <v>164</v>
      </c>
      <c r="X46" s="223"/>
      <c r="Y46" s="223" t="s">
        <v>163</v>
      </c>
      <c r="Z46" s="223"/>
      <c r="AA46" s="223" t="s">
        <v>141</v>
      </c>
      <c r="AC46" s="223" t="s">
        <v>71</v>
      </c>
      <c r="AD46" s="223" t="s">
        <v>164</v>
      </c>
      <c r="AE46" s="223"/>
      <c r="AF46" s="223" t="s">
        <v>163</v>
      </c>
      <c r="AG46" s="223"/>
      <c r="AH46" s="264" t="s">
        <v>141</v>
      </c>
      <c r="AJ46" s="223" t="s">
        <v>71</v>
      </c>
      <c r="AK46" s="223" t="s">
        <v>164</v>
      </c>
      <c r="AL46" s="223"/>
      <c r="AM46" s="223" t="s">
        <v>163</v>
      </c>
      <c r="AN46" s="223" t="s">
        <v>165</v>
      </c>
      <c r="AO46" s="264" t="s">
        <v>141</v>
      </c>
    </row>
    <row r="47" spans="1:41">
      <c r="A47" s="223"/>
      <c r="B47" s="66" t="s">
        <v>166</v>
      </c>
      <c r="C47" s="66" t="s">
        <v>164</v>
      </c>
      <c r="D47" s="223"/>
      <c r="E47" s="223"/>
      <c r="F47" s="223"/>
      <c r="H47" s="223"/>
      <c r="I47" s="66" t="s">
        <v>166</v>
      </c>
      <c r="J47" s="66" t="s">
        <v>167</v>
      </c>
      <c r="K47" s="223"/>
      <c r="L47" s="223"/>
      <c r="M47" s="223"/>
      <c r="O47" s="223"/>
      <c r="P47" s="66" t="s">
        <v>166</v>
      </c>
      <c r="Q47" s="66" t="s">
        <v>167</v>
      </c>
      <c r="R47" s="223"/>
      <c r="S47" s="223"/>
      <c r="T47" s="223"/>
      <c r="V47" s="223"/>
      <c r="W47" s="66" t="s">
        <v>166</v>
      </c>
      <c r="X47" s="66" t="s">
        <v>164</v>
      </c>
      <c r="Y47" s="223"/>
      <c r="Z47" s="223"/>
      <c r="AA47" s="223"/>
      <c r="AC47" s="223"/>
      <c r="AD47" s="66" t="s">
        <v>166</v>
      </c>
      <c r="AE47" s="66" t="s">
        <v>164</v>
      </c>
      <c r="AF47" s="223"/>
      <c r="AG47" s="223"/>
      <c r="AH47" s="265"/>
      <c r="AJ47" s="223"/>
      <c r="AK47" s="66" t="s">
        <v>166</v>
      </c>
      <c r="AL47" s="66" t="s">
        <v>167</v>
      </c>
      <c r="AM47" s="223"/>
      <c r="AN47" s="223"/>
      <c r="AO47" s="265"/>
    </row>
    <row r="48" spans="1:41">
      <c r="A48" s="3">
        <v>2010</v>
      </c>
      <c r="B48" s="39">
        <v>0</v>
      </c>
      <c r="C48" s="39">
        <f>5542700*(TabularOutputs!H66)/(TabularOutputs!C66+TabularOutputs!D66+TabularOutputs!H66+TabularOutputs!T66)</f>
        <v>1244654.2370432406</v>
      </c>
      <c r="D48" s="39"/>
      <c r="E48" s="39"/>
      <c r="F48" s="39">
        <f>SUM(B48:E48)</f>
        <v>1244654.2370432406</v>
      </c>
      <c r="H48" s="3">
        <v>2010</v>
      </c>
      <c r="I48" s="39">
        <v>0</v>
      </c>
      <c r="J48" s="39">
        <f>SUM(EconomicInputs!D4:H4)*CollectionCosts!$B$11</f>
        <v>792917.41282169684</v>
      </c>
      <c r="K48" s="39">
        <f>$B$6*$B$9</f>
        <v>2467935.3676729747</v>
      </c>
      <c r="L48" s="39"/>
      <c r="M48" s="39">
        <f>SUM(I48:L48)</f>
        <v>3260852.7804946713</v>
      </c>
      <c r="O48" s="3">
        <v>2010</v>
      </c>
      <c r="P48" s="39">
        <v>0</v>
      </c>
      <c r="Q48" s="39">
        <f>AL18*EconomicInputs!F4/(EconomicInputs!F4+EconomicInputs!E4)</f>
        <v>106</v>
      </c>
      <c r="R48" s="39">
        <f>AM18*EconomicInputs!F4/(EconomicInputs!F4+EconomicInputs!E4)</f>
        <v>36.761279867549888</v>
      </c>
      <c r="S48" s="39">
        <v>0</v>
      </c>
      <c r="T48" s="39">
        <f>SUM(P48:S48)</f>
        <v>142.76127986754989</v>
      </c>
      <c r="V48" s="3">
        <v>2010</v>
      </c>
      <c r="W48" s="39">
        <f>TabularOutputs!K66*TechnicalInputs!$D$12</f>
        <v>0</v>
      </c>
      <c r="X48" s="39">
        <f>TabularOutputs!K66/$B$3</f>
        <v>0</v>
      </c>
      <c r="Y48" s="39"/>
      <c r="Z48" s="39"/>
      <c r="AA48" s="39">
        <f>SUM(W48:Z48)</f>
        <v>0</v>
      </c>
      <c r="AC48" s="3">
        <v>2010</v>
      </c>
      <c r="AD48" s="39">
        <v>0</v>
      </c>
      <c r="AE48" s="39">
        <f>TabularOutputs!L66/$B$3</f>
        <v>0</v>
      </c>
      <c r="AF48" s="39">
        <v>0</v>
      </c>
      <c r="AG48" s="39"/>
      <c r="AH48" s="39">
        <f>SUM(AD48:AG48)</f>
        <v>0</v>
      </c>
      <c r="AJ48" s="3">
        <v>2010</v>
      </c>
      <c r="AK48" s="39">
        <v>0</v>
      </c>
      <c r="AL48" s="39">
        <v>0</v>
      </c>
      <c r="AM48" s="39">
        <v>0</v>
      </c>
      <c r="AN48" s="39">
        <v>0</v>
      </c>
      <c r="AO48" s="39">
        <f>SUM(AK48:AN48)</f>
        <v>0</v>
      </c>
    </row>
    <row r="49" spans="1:41">
      <c r="A49" s="3">
        <f>A48+1</f>
        <v>2011</v>
      </c>
      <c r="B49" s="39">
        <v>0</v>
      </c>
      <c r="C49" s="39">
        <f>5542700*(TabularOutputs!H67)/(TabularOutputs!C67+TabularOutputs!D67+TabularOutputs!H67+TabularOutputs!T67)</f>
        <v>1313657.3131760287</v>
      </c>
      <c r="D49" s="39"/>
      <c r="E49" s="39"/>
      <c r="F49" s="39">
        <f t="shared" ref="F49:F73" si="18">SUM(B49:E49)</f>
        <v>1313657.3131760287</v>
      </c>
      <c r="H49" s="3">
        <f>H48+1</f>
        <v>2011</v>
      </c>
      <c r="I49" s="39">
        <v>0</v>
      </c>
      <c r="J49" s="39">
        <f>SUM(EconomicInputs!D5:H5)*CollectionCosts!$B$11</f>
        <v>800761.17835991376</v>
      </c>
      <c r="K49" s="39">
        <f>$B$6*$B$9</f>
        <v>2467935.3676729747</v>
      </c>
      <c r="L49" s="39"/>
      <c r="M49" s="39">
        <f t="shared" ref="M49:M73" si="19">SUM(I49:L49)</f>
        <v>3268696.5460328883</v>
      </c>
      <c r="O49" s="3">
        <f>O48+1</f>
        <v>2011</v>
      </c>
      <c r="P49" s="39">
        <v>0</v>
      </c>
      <c r="Q49" s="39">
        <f>AL19*EconomicInputs!F5/(EconomicInputs!F5+EconomicInputs!E5)</f>
        <v>114</v>
      </c>
      <c r="R49" s="39">
        <f>AM19*EconomicInputs!F5/(EconomicInputs!F5+EconomicInputs!E5)</f>
        <v>39.144218623403702</v>
      </c>
      <c r="S49" s="39">
        <v>0</v>
      </c>
      <c r="T49" s="39">
        <f t="shared" ref="T49:T73" si="20">SUM(P49:S49)</f>
        <v>153.1442186234037</v>
      </c>
      <c r="V49" s="3">
        <f>V48+1</f>
        <v>2011</v>
      </c>
      <c r="W49" s="39">
        <f>TabularOutputs!K67*TechnicalInputs!$D$12</f>
        <v>0</v>
      </c>
      <c r="X49" s="39">
        <f>TabularOutputs!K67/$B$3</f>
        <v>0</v>
      </c>
      <c r="Y49" s="39"/>
      <c r="Z49" s="39"/>
      <c r="AA49" s="39">
        <f t="shared" ref="AA49:AA73" si="21">SUM(W49:Z49)</f>
        <v>0</v>
      </c>
      <c r="AC49" s="3">
        <f>AC48+1</f>
        <v>2011</v>
      </c>
      <c r="AD49" s="39">
        <v>0</v>
      </c>
      <c r="AE49" s="39">
        <f>TabularOutputs!L67/$B$3</f>
        <v>0</v>
      </c>
      <c r="AF49" s="39">
        <v>0</v>
      </c>
      <c r="AG49" s="39"/>
      <c r="AH49" s="39">
        <f t="shared" ref="AH49:AH73" si="22">SUM(AD49:AG49)</f>
        <v>0</v>
      </c>
      <c r="AJ49" s="3">
        <f>AJ48+1</f>
        <v>2011</v>
      </c>
      <c r="AK49" s="39">
        <v>0</v>
      </c>
      <c r="AL49" s="39">
        <v>0</v>
      </c>
      <c r="AM49" s="39">
        <v>0</v>
      </c>
      <c r="AN49" s="39">
        <v>0</v>
      </c>
      <c r="AO49" s="39">
        <f t="shared" ref="AO49:AO73" si="23">SUM(AK49:AN49)</f>
        <v>0</v>
      </c>
    </row>
    <row r="50" spans="1:41">
      <c r="A50" s="3">
        <f t="shared" ref="A50:A73" si="24">A49+1</f>
        <v>2012</v>
      </c>
      <c r="B50" s="39">
        <v>0</v>
      </c>
      <c r="C50" s="39">
        <f>4211295*(TabularOutputs!H68)/(TabularOutputs!C68+TabularOutputs!D68+TabularOutputs!H68+TabularOutputs!T68)</f>
        <v>1007802.7868862404</v>
      </c>
      <c r="D50" s="39"/>
      <c r="E50" s="39"/>
      <c r="F50" s="39">
        <f t="shared" si="18"/>
        <v>1007802.7868862404</v>
      </c>
      <c r="H50" s="3">
        <f t="shared" ref="H50:H73" si="25">H49+1</f>
        <v>2012</v>
      </c>
      <c r="I50" s="39">
        <v>0</v>
      </c>
      <c r="J50" s="39">
        <f>SUM(EconomicInputs!D6:H6)*CollectionCosts!$B$11</f>
        <v>808233.5840509577</v>
      </c>
      <c r="K50" s="39">
        <f>$B$6*$B$9</f>
        <v>2467935.3676729747</v>
      </c>
      <c r="L50" s="39"/>
      <c r="M50" s="39">
        <f t="shared" si="19"/>
        <v>3276168.9517239323</v>
      </c>
      <c r="O50" s="3">
        <f t="shared" ref="O50:O73" si="26">O49+1</f>
        <v>2012</v>
      </c>
      <c r="P50" s="39">
        <v>0</v>
      </c>
      <c r="Q50" s="39">
        <f>AL20*EconomicInputs!F6/(EconomicInputs!F6+EconomicInputs!E6)</f>
        <v>181</v>
      </c>
      <c r="R50" s="39">
        <f>AM20*EconomicInputs!F6/(EconomicInputs!F6+EconomicInputs!E6)</f>
        <v>61.571378801809225</v>
      </c>
      <c r="S50" s="39">
        <v>0</v>
      </c>
      <c r="T50" s="39">
        <f t="shared" si="20"/>
        <v>242.57137880180923</v>
      </c>
      <c r="V50" s="3">
        <f t="shared" ref="V50:V73" si="27">V49+1</f>
        <v>2012</v>
      </c>
      <c r="W50" s="39">
        <f>TabularOutputs!K68*TechnicalInputs!$D$12</f>
        <v>0</v>
      </c>
      <c r="X50" s="39">
        <f>TabularOutputs!K68/$B$3</f>
        <v>0</v>
      </c>
      <c r="Y50" s="39"/>
      <c r="Z50" s="39"/>
      <c r="AA50" s="39">
        <f t="shared" si="21"/>
        <v>0</v>
      </c>
      <c r="AC50" s="3">
        <f t="shared" ref="AC50:AC73" si="28">AC49+1</f>
        <v>2012</v>
      </c>
      <c r="AD50" s="39">
        <v>0</v>
      </c>
      <c r="AE50" s="39">
        <f>TabularOutputs!L68/$B$3</f>
        <v>0</v>
      </c>
      <c r="AF50" s="39">
        <v>0</v>
      </c>
      <c r="AG50" s="39"/>
      <c r="AH50" s="39">
        <f t="shared" si="22"/>
        <v>0</v>
      </c>
      <c r="AJ50" s="3">
        <f t="shared" ref="AJ50:AJ73" si="29">AJ49+1</f>
        <v>2012</v>
      </c>
      <c r="AK50" s="39">
        <v>0</v>
      </c>
      <c r="AL50" s="39">
        <v>0</v>
      </c>
      <c r="AM50" s="39">
        <v>0</v>
      </c>
      <c r="AN50" s="39">
        <v>0</v>
      </c>
      <c r="AO50" s="39">
        <f t="shared" si="23"/>
        <v>0</v>
      </c>
    </row>
    <row r="51" spans="1:41">
      <c r="A51" s="3">
        <f t="shared" si="24"/>
        <v>2013</v>
      </c>
      <c r="B51" s="39">
        <v>0</v>
      </c>
      <c r="C51" s="39">
        <f>4211295*(TabularOutputs!H69)/(TabularOutputs!C69+TabularOutputs!D69+TabularOutputs!H69+TabularOutputs!T69)</f>
        <v>1009924.3135533062</v>
      </c>
      <c r="D51" s="39"/>
      <c r="E51" s="39"/>
      <c r="F51" s="39">
        <f t="shared" si="18"/>
        <v>1009924.3135533062</v>
      </c>
      <c r="H51" s="3">
        <f t="shared" si="25"/>
        <v>2013</v>
      </c>
      <c r="I51" s="39">
        <v>0</v>
      </c>
      <c r="J51" s="39">
        <f>SUM(EconomicInputs!D7:H7)*CollectionCosts!$B$11</f>
        <v>817639.18836189643</v>
      </c>
      <c r="K51" s="39">
        <f>$B$6*$B$9</f>
        <v>2467935.3676729747</v>
      </c>
      <c r="L51" s="39"/>
      <c r="M51" s="39">
        <f t="shared" si="19"/>
        <v>3285574.5560348714</v>
      </c>
      <c r="O51" s="3">
        <f t="shared" si="26"/>
        <v>2013</v>
      </c>
      <c r="P51" s="39">
        <v>0</v>
      </c>
      <c r="Q51" s="39">
        <f>AL21*EconomicInputs!F7/(EconomicInputs!F7+EconomicInputs!E7)</f>
        <v>379</v>
      </c>
      <c r="R51" s="39">
        <f>AM21*EconomicInputs!F7/(EconomicInputs!F7+EconomicInputs!E7)</f>
        <v>127.41240493814406</v>
      </c>
      <c r="S51" s="39">
        <v>0</v>
      </c>
      <c r="T51" s="39">
        <f t="shared" si="20"/>
        <v>506.41240493814405</v>
      </c>
      <c r="V51" s="3">
        <f t="shared" si="27"/>
        <v>2013</v>
      </c>
      <c r="W51" s="39">
        <f>TabularOutputs!K69*TechnicalInputs!$D$12</f>
        <v>0</v>
      </c>
      <c r="X51" s="39">
        <f>TabularOutputs!K69/$B$3</f>
        <v>0</v>
      </c>
      <c r="Y51" s="39"/>
      <c r="Z51" s="39"/>
      <c r="AA51" s="39">
        <f t="shared" si="21"/>
        <v>0</v>
      </c>
      <c r="AC51" s="3">
        <f t="shared" si="28"/>
        <v>2013</v>
      </c>
      <c r="AD51" s="39">
        <v>0</v>
      </c>
      <c r="AE51" s="39">
        <f>TabularOutputs!L69/$B$3</f>
        <v>0</v>
      </c>
      <c r="AF51" s="39">
        <v>0</v>
      </c>
      <c r="AG51" s="39"/>
      <c r="AH51" s="39">
        <f t="shared" si="22"/>
        <v>0</v>
      </c>
      <c r="AJ51" s="3">
        <f t="shared" si="29"/>
        <v>2013</v>
      </c>
      <c r="AK51" s="39">
        <v>0</v>
      </c>
      <c r="AL51" s="39">
        <v>0</v>
      </c>
      <c r="AM51" s="39">
        <v>0</v>
      </c>
      <c r="AN51" s="39">
        <v>0</v>
      </c>
      <c r="AO51" s="39">
        <f t="shared" si="23"/>
        <v>0</v>
      </c>
    </row>
    <row r="52" spans="1:41">
      <c r="A52" s="3">
        <f t="shared" si="24"/>
        <v>2014</v>
      </c>
      <c r="B52" s="39">
        <v>0</v>
      </c>
      <c r="C52" s="39">
        <f>$B$2*(TabularOutputs!H70)/(TabularOutputs!C70+TabularOutputs!D70+TabularOutputs!H70+TabularOutputs!T70)</f>
        <v>1206847.0237924173</v>
      </c>
      <c r="D52" s="39"/>
      <c r="E52" s="39"/>
      <c r="F52" s="39">
        <f t="shared" si="18"/>
        <v>1206847.0237924173</v>
      </c>
      <c r="H52" s="3">
        <f t="shared" si="25"/>
        <v>2014</v>
      </c>
      <c r="I52" s="39">
        <v>0</v>
      </c>
      <c r="J52" s="39">
        <f>SUM(EconomicInputs!D8:H8)*CollectionCosts!$B$11</f>
        <v>825710.85259602184</v>
      </c>
      <c r="K52" s="39">
        <f>$B$6*$B$9</f>
        <v>2467935.3676729747</v>
      </c>
      <c r="L52" s="39"/>
      <c r="M52" s="39">
        <f t="shared" si="19"/>
        <v>3293646.2202689964</v>
      </c>
      <c r="O52" s="3">
        <f t="shared" si="26"/>
        <v>2014</v>
      </c>
      <c r="P52" s="39">
        <v>0</v>
      </c>
      <c r="Q52" s="39">
        <f>AL22*EconomicInputs!F8/(EconomicInputs!F8+EconomicInputs!E8)</f>
        <v>582</v>
      </c>
      <c r="R52" s="39">
        <f>AM22*EconomicInputs!F8/(EconomicInputs!F8+EconomicInputs!E8)</f>
        <v>193.72402081447279</v>
      </c>
      <c r="S52" s="39">
        <v>0</v>
      </c>
      <c r="T52" s="39">
        <f t="shared" si="20"/>
        <v>775.72402081447285</v>
      </c>
      <c r="V52" s="3">
        <f t="shared" si="27"/>
        <v>2014</v>
      </c>
      <c r="W52" s="39">
        <f>TabularOutputs!K70*TechnicalInputs!$D$12</f>
        <v>0</v>
      </c>
      <c r="X52" s="39">
        <f>TabularOutputs!K70/$B$3</f>
        <v>0</v>
      </c>
      <c r="Y52" s="39"/>
      <c r="Z52" s="39"/>
      <c r="AA52" s="39">
        <f t="shared" si="21"/>
        <v>0</v>
      </c>
      <c r="AC52" s="3">
        <f t="shared" si="28"/>
        <v>2014</v>
      </c>
      <c r="AD52" s="39">
        <v>0</v>
      </c>
      <c r="AE52" s="39">
        <f>TabularOutputs!L70/$B$3</f>
        <v>0</v>
      </c>
      <c r="AF52" s="39">
        <v>0</v>
      </c>
      <c r="AG52" s="39"/>
      <c r="AH52" s="39">
        <f t="shared" si="22"/>
        <v>0</v>
      </c>
      <c r="AJ52" s="3">
        <f t="shared" si="29"/>
        <v>2014</v>
      </c>
      <c r="AK52" s="39">
        <v>0</v>
      </c>
      <c r="AL52" s="39">
        <v>0</v>
      </c>
      <c r="AM52" s="39">
        <v>0</v>
      </c>
      <c r="AN52" s="39">
        <v>0</v>
      </c>
      <c r="AO52" s="39">
        <f t="shared" si="23"/>
        <v>0</v>
      </c>
    </row>
    <row r="53" spans="1:41">
      <c r="A53" s="3">
        <f t="shared" si="24"/>
        <v>2015</v>
      </c>
      <c r="B53" s="39">
        <v>0</v>
      </c>
      <c r="C53" s="39">
        <f>$B$2*(TabularOutputs!H71)/(TabularOutputs!C71+TabularOutputs!D71+TabularOutputs!H71+TabularOutputs!T71)*(1+TechnicalInputs!$D$2)^(CollectionCosts!A53-CollectionCosts!$A$52)</f>
        <v>1214168.9239184542</v>
      </c>
      <c r="D53" s="39"/>
      <c r="E53" s="39"/>
      <c r="F53" s="39">
        <f t="shared" si="18"/>
        <v>1214168.9239184542</v>
      </c>
      <c r="H53" s="3">
        <f t="shared" si="25"/>
        <v>2015</v>
      </c>
      <c r="I53" s="39">
        <v>0</v>
      </c>
      <c r="J53" s="39">
        <f>SUM(EconomicInputs!D9:H9)*CollectionCosts!$B$11*(1+TechnicalInputs!$D$2)^(CollectionCosts!H53-CollectionCosts!$H$52)</f>
        <v>854784.28016258532</v>
      </c>
      <c r="K53" s="39">
        <f>$B$6*$B$9*(1+TechnicalInputs!$D$2)^(CollectionCosts!H53-CollectionCosts!$AC$22)</f>
        <v>2529633.7518647988</v>
      </c>
      <c r="L53" s="39"/>
      <c r="M53" s="39">
        <f t="shared" si="19"/>
        <v>3384418.0320273843</v>
      </c>
      <c r="O53" s="3">
        <f t="shared" si="26"/>
        <v>2015</v>
      </c>
      <c r="P53" s="39">
        <v>0</v>
      </c>
      <c r="Q53" s="39">
        <f>AL23*EconomicInputs!F9/(EconomicInputs!F9+EconomicInputs!E9)</f>
        <v>1417.2848224335351</v>
      </c>
      <c r="R53" s="39">
        <f>AM23*EconomicInputs!F9/(EconomicInputs!F9+EconomicInputs!E9)</f>
        <v>467.05123538600174</v>
      </c>
      <c r="S53" s="39">
        <v>0</v>
      </c>
      <c r="T53" s="39">
        <f t="shared" si="20"/>
        <v>1884.3360578195368</v>
      </c>
      <c r="V53" s="3">
        <f t="shared" si="27"/>
        <v>2015</v>
      </c>
      <c r="W53" s="39">
        <f>TabularOutputs!K71*TechnicalInputs!$D$12</f>
        <v>0</v>
      </c>
      <c r="X53" s="39">
        <f>TabularOutputs!K71/$B$3</f>
        <v>0</v>
      </c>
      <c r="Y53" s="39"/>
      <c r="Z53" s="39"/>
      <c r="AA53" s="39">
        <f t="shared" si="21"/>
        <v>0</v>
      </c>
      <c r="AC53" s="3">
        <f t="shared" si="28"/>
        <v>2015</v>
      </c>
      <c r="AD53" s="39">
        <v>0</v>
      </c>
      <c r="AE53" s="39">
        <f>TabularOutputs!L71/$B$3</f>
        <v>0</v>
      </c>
      <c r="AF53" s="39">
        <v>0</v>
      </c>
      <c r="AG53" s="39"/>
      <c r="AH53" s="39">
        <f t="shared" si="22"/>
        <v>0</v>
      </c>
      <c r="AJ53" s="3">
        <f t="shared" si="29"/>
        <v>2015</v>
      </c>
      <c r="AK53" s="39">
        <v>0</v>
      </c>
      <c r="AL53" s="39">
        <v>0</v>
      </c>
      <c r="AM53" s="39">
        <v>0</v>
      </c>
      <c r="AN53" s="39">
        <v>0</v>
      </c>
      <c r="AO53" s="39">
        <f t="shared" si="23"/>
        <v>0</v>
      </c>
    </row>
    <row r="54" spans="1:41">
      <c r="A54" s="3">
        <f t="shared" si="24"/>
        <v>2016</v>
      </c>
      <c r="B54" s="39">
        <v>0</v>
      </c>
      <c r="C54" s="39">
        <f>$B$2*(TabularOutputs!H72)/(TabularOutputs!C72+TabularOutputs!D72+TabularOutputs!H72+TabularOutputs!T72)*(1+TechnicalInputs!$D$2)^(CollectionCosts!A54-CollectionCosts!$A$52)</f>
        <v>1241860.7652703249</v>
      </c>
      <c r="D54" s="39"/>
      <c r="E54" s="39"/>
      <c r="F54" s="39">
        <f t="shared" si="18"/>
        <v>1241860.7652703249</v>
      </c>
      <c r="H54" s="3">
        <f t="shared" si="25"/>
        <v>2016</v>
      </c>
      <c r="I54" s="39">
        <v>0</v>
      </c>
      <c r="J54" s="39">
        <f>SUM(EconomicInputs!D10:H10)*CollectionCosts!$B$11*(1+TechnicalInputs!$D$2)^(CollectionCosts!H54-CollectionCosts!$H$52)</f>
        <v>884821.5628506724</v>
      </c>
      <c r="K54" s="39">
        <f>$B$6*$B$9*(1+TechnicalInputs!$D$2)^(CollectionCosts!H54-CollectionCosts!$AC$22)</f>
        <v>2592874.595661419</v>
      </c>
      <c r="L54" s="39"/>
      <c r="M54" s="39">
        <f t="shared" si="19"/>
        <v>3477696.1585120913</v>
      </c>
      <c r="O54" s="3">
        <f t="shared" si="26"/>
        <v>2016</v>
      </c>
      <c r="P54" s="39">
        <v>0</v>
      </c>
      <c r="Q54" s="39">
        <f>AL24*EconomicInputs!F10/(EconomicInputs!F10+EconomicInputs!E10)</f>
        <v>1831.1897371978807</v>
      </c>
      <c r="R54" s="39">
        <f>AM24*EconomicInputs!F10/(EconomicInputs!F10+EconomicInputs!E10)</f>
        <v>597.47448109407071</v>
      </c>
      <c r="S54" s="39">
        <v>0</v>
      </c>
      <c r="T54" s="39">
        <f t="shared" si="20"/>
        <v>2428.6642182919513</v>
      </c>
      <c r="V54" s="3">
        <f t="shared" si="27"/>
        <v>2016</v>
      </c>
      <c r="W54" s="39">
        <f>TabularOutputs!K72*TechnicalInputs!$D$12</f>
        <v>0</v>
      </c>
      <c r="X54" s="39">
        <f>TabularOutputs!K72/$B$3</f>
        <v>0</v>
      </c>
      <c r="Y54" s="39"/>
      <c r="Z54" s="39"/>
      <c r="AA54" s="39">
        <f t="shared" si="21"/>
        <v>0</v>
      </c>
      <c r="AC54" s="3">
        <f t="shared" si="28"/>
        <v>2016</v>
      </c>
      <c r="AD54" s="39">
        <v>0</v>
      </c>
      <c r="AE54" s="39">
        <f>TabularOutputs!L72/$B$3</f>
        <v>0</v>
      </c>
      <c r="AF54" s="39">
        <v>0</v>
      </c>
      <c r="AG54" s="39"/>
      <c r="AH54" s="39">
        <f t="shared" si="22"/>
        <v>0</v>
      </c>
      <c r="AJ54" s="3">
        <f t="shared" si="29"/>
        <v>2016</v>
      </c>
      <c r="AK54" s="39">
        <v>0</v>
      </c>
      <c r="AL54" s="39">
        <v>0</v>
      </c>
      <c r="AM54" s="39">
        <v>0</v>
      </c>
      <c r="AN54" s="39">
        <v>0</v>
      </c>
      <c r="AO54" s="39">
        <f t="shared" si="23"/>
        <v>0</v>
      </c>
    </row>
    <row r="55" spans="1:41">
      <c r="A55" s="3">
        <f t="shared" si="24"/>
        <v>2017</v>
      </c>
      <c r="B55" s="39">
        <v>0</v>
      </c>
      <c r="C55" s="39">
        <f>$B$2*(TabularOutputs!H73)/(TabularOutputs!C73+TabularOutputs!D73+TabularOutputs!H73+TabularOutputs!T73)*(1+TechnicalInputs!$D$2)^(CollectionCosts!A55-CollectionCosts!$A$52)</f>
        <v>1273676.5951820808</v>
      </c>
      <c r="D55" s="39"/>
      <c r="E55" s="39"/>
      <c r="F55" s="39">
        <f t="shared" si="18"/>
        <v>1273676.5951820808</v>
      </c>
      <c r="H55" s="3">
        <f t="shared" si="25"/>
        <v>2017</v>
      </c>
      <c r="I55" s="39">
        <v>0</v>
      </c>
      <c r="J55" s="39">
        <f>SUM(EconomicInputs!D11:H11)*CollectionCosts!$B$11*(1+TechnicalInputs!$D$2)^(CollectionCosts!H55-CollectionCosts!$H$52)</f>
        <v>915914.67818935972</v>
      </c>
      <c r="K55" s="39">
        <f>$B$6*$B$9*(1+TechnicalInputs!$D$2)^(CollectionCosts!H55-CollectionCosts!$AC$22)</f>
        <v>2657696.4605529541</v>
      </c>
      <c r="L55" s="39"/>
      <c r="M55" s="39">
        <f t="shared" si="19"/>
        <v>3573611.1387423137</v>
      </c>
      <c r="O55" s="3">
        <f t="shared" si="26"/>
        <v>2017</v>
      </c>
      <c r="P55" s="39">
        <v>0</v>
      </c>
      <c r="Q55" s="39">
        <f>AL25*EconomicInputs!F11/(EconomicInputs!F11+EconomicInputs!E11)</f>
        <v>2242.8518254920364</v>
      </c>
      <c r="R55" s="39">
        <f>AM25*EconomicInputs!F11/(EconomicInputs!F11+EconomicInputs!E11)</f>
        <v>724.54476684925953</v>
      </c>
      <c r="S55" s="39">
        <v>0</v>
      </c>
      <c r="T55" s="39">
        <f t="shared" si="20"/>
        <v>2967.3965923412961</v>
      </c>
      <c r="V55" s="3">
        <f t="shared" si="27"/>
        <v>2017</v>
      </c>
      <c r="W55" s="39">
        <f>TabularOutputs!K73*TechnicalInputs!$D$12</f>
        <v>0</v>
      </c>
      <c r="X55" s="39">
        <f>TabularOutputs!K73/$B$3</f>
        <v>0</v>
      </c>
      <c r="Y55" s="39"/>
      <c r="Z55" s="39"/>
      <c r="AA55" s="39">
        <f t="shared" si="21"/>
        <v>0</v>
      </c>
      <c r="AC55" s="3">
        <f t="shared" si="28"/>
        <v>2017</v>
      </c>
      <c r="AD55" s="39">
        <v>0</v>
      </c>
      <c r="AE55" s="39">
        <f>TabularOutputs!L73/$B$3</f>
        <v>0</v>
      </c>
      <c r="AF55" s="39">
        <v>0</v>
      </c>
      <c r="AG55" s="39"/>
      <c r="AH55" s="39">
        <f t="shared" si="22"/>
        <v>0</v>
      </c>
      <c r="AJ55" s="3">
        <f t="shared" si="29"/>
        <v>2017</v>
      </c>
      <c r="AK55" s="39">
        <v>0</v>
      </c>
      <c r="AL55" s="39">
        <v>0</v>
      </c>
      <c r="AM55" s="39">
        <v>0</v>
      </c>
      <c r="AN55" s="39">
        <v>0</v>
      </c>
      <c r="AO55" s="39">
        <f t="shared" si="23"/>
        <v>0</v>
      </c>
    </row>
    <row r="56" spans="1:41">
      <c r="A56" s="3">
        <f t="shared" si="24"/>
        <v>2018</v>
      </c>
      <c r="B56" s="39">
        <v>0</v>
      </c>
      <c r="C56" s="39">
        <f>$B$2*(TabularOutputs!H74)/(TabularOutputs!C74+TabularOutputs!D74+TabularOutputs!H74+TabularOutputs!T74)*(1+TechnicalInputs!$D$2)^(CollectionCosts!A56-CollectionCosts!$A$52)</f>
        <v>1301798.0663394504</v>
      </c>
      <c r="D56" s="39"/>
      <c r="E56" s="39"/>
      <c r="F56" s="39">
        <f t="shared" si="18"/>
        <v>1301798.0663394504</v>
      </c>
      <c r="H56" s="3">
        <f t="shared" si="25"/>
        <v>2018</v>
      </c>
      <c r="I56" s="39">
        <v>0</v>
      </c>
      <c r="J56" s="39">
        <f>SUM(EconomicInputs!D12:H12)*CollectionCosts!$B$11*(1+TechnicalInputs!$D$2)^(CollectionCosts!H56-CollectionCosts!$H$52)</f>
        <v>948100.74957019428</v>
      </c>
      <c r="K56" s="39">
        <f>$B$6*$B$9*(1+TechnicalInputs!$D$2)^(CollectionCosts!H56-CollectionCosts!$AC$22)</f>
        <v>2724138.8720667777</v>
      </c>
      <c r="L56" s="39"/>
      <c r="M56" s="39">
        <f t="shared" si="19"/>
        <v>3672239.6216369718</v>
      </c>
      <c r="O56" s="3">
        <f t="shared" si="26"/>
        <v>2018</v>
      </c>
      <c r="P56" s="39">
        <v>0</v>
      </c>
      <c r="Q56" s="39">
        <f>AL26*EconomicInputs!F12/(EconomicInputs!F12+EconomicInputs!E12)</f>
        <v>2746.7812393160057</v>
      </c>
      <c r="R56" s="39">
        <f>AM26*EconomicInputs!F12/(EconomicInputs!F12+EconomicInputs!E12)</f>
        <v>878.55173339571763</v>
      </c>
      <c r="S56" s="39">
        <v>0</v>
      </c>
      <c r="T56" s="39">
        <f t="shared" si="20"/>
        <v>3625.3329727117234</v>
      </c>
      <c r="V56" s="3">
        <f t="shared" si="27"/>
        <v>2018</v>
      </c>
      <c r="W56" s="39">
        <f>TabularOutputs!K74*TechnicalInputs!$D$12</f>
        <v>0</v>
      </c>
      <c r="X56" s="39">
        <f>TabularOutputs!K74/$B$3</f>
        <v>0</v>
      </c>
      <c r="Y56" s="39"/>
      <c r="Z56" s="39"/>
      <c r="AA56" s="39">
        <f t="shared" si="21"/>
        <v>0</v>
      </c>
      <c r="AC56" s="3">
        <f t="shared" si="28"/>
        <v>2018</v>
      </c>
      <c r="AD56" s="39">
        <v>0</v>
      </c>
      <c r="AE56" s="39">
        <f>TabularOutputs!L74/$B$3</f>
        <v>0</v>
      </c>
      <c r="AF56" s="39">
        <v>0</v>
      </c>
      <c r="AG56" s="39"/>
      <c r="AH56" s="39">
        <f t="shared" si="22"/>
        <v>0</v>
      </c>
      <c r="AJ56" s="3">
        <f t="shared" si="29"/>
        <v>2018</v>
      </c>
      <c r="AK56" s="39">
        <v>0</v>
      </c>
      <c r="AL56" s="39">
        <v>0</v>
      </c>
      <c r="AM56" s="39">
        <v>0</v>
      </c>
      <c r="AN56" s="39">
        <v>0</v>
      </c>
      <c r="AO56" s="39">
        <f t="shared" si="23"/>
        <v>0</v>
      </c>
    </row>
    <row r="57" spans="1:41">
      <c r="A57" s="3">
        <f t="shared" si="24"/>
        <v>2019</v>
      </c>
      <c r="B57" s="39">
        <v>0</v>
      </c>
      <c r="C57" s="39">
        <f>$B$2*(TabularOutputs!H75)/(TabularOutputs!C75+TabularOutputs!D75+TabularOutputs!H75+TabularOutputs!T75)*(1+TechnicalInputs!$D$2)^(CollectionCosts!A57-CollectionCosts!$A$52)</f>
        <v>1328445.0227843546</v>
      </c>
      <c r="D57" s="39"/>
      <c r="E57" s="39"/>
      <c r="F57" s="39">
        <f t="shared" si="18"/>
        <v>1328445.0227843546</v>
      </c>
      <c r="H57" s="3">
        <f t="shared" si="25"/>
        <v>2019</v>
      </c>
      <c r="I57" s="39">
        <v>0</v>
      </c>
      <c r="J57" s="39">
        <f>SUM(EconomicInputs!D13:H13)*CollectionCosts!$B$11*(1+TechnicalInputs!$D$2)^(CollectionCosts!H57-CollectionCosts!$H$52)</f>
        <v>981418.2059758337</v>
      </c>
      <c r="K57" s="39">
        <f>$B$6*$B$9*(1+TechnicalInputs!$D$2)^(CollectionCosts!H57-CollectionCosts!$AC$22)</f>
        <v>2792242.343868447</v>
      </c>
      <c r="L57" s="39"/>
      <c r="M57" s="39">
        <f t="shared" si="19"/>
        <v>3773660.5498442808</v>
      </c>
      <c r="O57" s="3">
        <f t="shared" si="26"/>
        <v>2019</v>
      </c>
      <c r="P57" s="39">
        <v>0</v>
      </c>
      <c r="Q57" s="39">
        <f>AL27*EconomicInputs!F13/(EconomicInputs!F13+EconomicInputs!E13)</f>
        <v>3234.978643544247</v>
      </c>
      <c r="R57" s="39">
        <f>AM27*EconomicInputs!F13/(EconomicInputs!F13+EconomicInputs!E13)</f>
        <v>1024.4560029796028</v>
      </c>
      <c r="S57" s="39">
        <v>0</v>
      </c>
      <c r="T57" s="39">
        <f t="shared" si="20"/>
        <v>4259.4346465238496</v>
      </c>
      <c r="V57" s="3">
        <f t="shared" si="27"/>
        <v>2019</v>
      </c>
      <c r="W57" s="39">
        <f>TabularOutputs!K75*TechnicalInputs!$D$12</f>
        <v>0</v>
      </c>
      <c r="X57" s="39">
        <f>TabularOutputs!K75/$B$3</f>
        <v>0</v>
      </c>
      <c r="Y57" s="39"/>
      <c r="Z57" s="39"/>
      <c r="AA57" s="39">
        <f t="shared" si="21"/>
        <v>0</v>
      </c>
      <c r="AC57" s="3">
        <f t="shared" si="28"/>
        <v>2019</v>
      </c>
      <c r="AD57" s="39">
        <v>0</v>
      </c>
      <c r="AE57" s="39">
        <f>TabularOutputs!L75/$B$3</f>
        <v>0</v>
      </c>
      <c r="AF57" s="39">
        <v>0</v>
      </c>
      <c r="AG57" s="39"/>
      <c r="AH57" s="39">
        <f t="shared" si="22"/>
        <v>0</v>
      </c>
      <c r="AJ57" s="3">
        <f t="shared" si="29"/>
        <v>2019</v>
      </c>
      <c r="AK57" s="39">
        <v>0</v>
      </c>
      <c r="AL57" s="39">
        <v>0</v>
      </c>
      <c r="AM57" s="39">
        <v>0</v>
      </c>
      <c r="AN57" s="39">
        <v>0</v>
      </c>
      <c r="AO57" s="39">
        <f t="shared" si="23"/>
        <v>0</v>
      </c>
    </row>
    <row r="58" spans="1:41">
      <c r="A58" s="3">
        <f t="shared" si="24"/>
        <v>2020</v>
      </c>
      <c r="B58" s="39">
        <v>0</v>
      </c>
      <c r="C58" s="39">
        <f>$B$2*(TabularOutputs!H76)/(TabularOutputs!C76+TabularOutputs!D76+TabularOutputs!H76+TabularOutputs!T76)*(1+TechnicalInputs!$D$2)^(CollectionCosts!A58-CollectionCosts!$A$52)</f>
        <v>1354632.1848705579</v>
      </c>
      <c r="D58" s="39"/>
      <c r="E58" s="39"/>
      <c r="F58" s="39">
        <f t="shared" si="18"/>
        <v>1354632.1848705579</v>
      </c>
      <c r="H58" s="3">
        <f t="shared" si="25"/>
        <v>2020</v>
      </c>
      <c r="I58" s="39">
        <v>0</v>
      </c>
      <c r="J58" s="39">
        <f>SUM(EconomicInputs!D14:H14)*CollectionCosts!$B$11*(1+TechnicalInputs!$D$2)^(CollectionCosts!H58-CollectionCosts!$H$52)</f>
        <v>1015906.8279065659</v>
      </c>
      <c r="K58" s="39">
        <f>$B$6*$B$9*(1+TechnicalInputs!$D$2)^(CollectionCosts!H58-CollectionCosts!$AC$22)</f>
        <v>2862048.4024651581</v>
      </c>
      <c r="L58" s="39"/>
      <c r="M58" s="39">
        <f t="shared" si="19"/>
        <v>3877955.2303717239</v>
      </c>
      <c r="O58" s="3">
        <f t="shared" si="26"/>
        <v>2020</v>
      </c>
      <c r="P58" s="39">
        <v>0</v>
      </c>
      <c r="Q58" s="39">
        <f>AL28*EconomicInputs!F14/(EconomicInputs!F14+EconomicInputs!E14)</f>
        <v>3725.6987616930883</v>
      </c>
      <c r="R58" s="39">
        <f>AM28*EconomicInputs!F14/(EconomicInputs!F14+EconomicInputs!E14)</f>
        <v>1168.175940529457</v>
      </c>
      <c r="S58" s="39">
        <v>0</v>
      </c>
      <c r="T58" s="39">
        <f t="shared" si="20"/>
        <v>4893.8747022225452</v>
      </c>
      <c r="V58" s="3">
        <f t="shared" si="27"/>
        <v>2020</v>
      </c>
      <c r="W58" s="39">
        <f>TabularOutputs!K76*TechnicalInputs!$D$12</f>
        <v>0</v>
      </c>
      <c r="X58" s="39">
        <f>TabularOutputs!K76/$B$3</f>
        <v>0</v>
      </c>
      <c r="Y58" s="39"/>
      <c r="Z58" s="39"/>
      <c r="AA58" s="39">
        <f t="shared" si="21"/>
        <v>0</v>
      </c>
      <c r="AC58" s="3">
        <f t="shared" si="28"/>
        <v>2020</v>
      </c>
      <c r="AD58" s="39">
        <v>0</v>
      </c>
      <c r="AE58" s="39">
        <f>TabularOutputs!L76/$B$3</f>
        <v>0</v>
      </c>
      <c r="AF58" s="39">
        <v>0</v>
      </c>
      <c r="AG58" s="39"/>
      <c r="AH58" s="39">
        <f t="shared" si="22"/>
        <v>0</v>
      </c>
      <c r="AJ58" s="3">
        <f t="shared" si="29"/>
        <v>2020</v>
      </c>
      <c r="AK58" s="39">
        <v>0</v>
      </c>
      <c r="AL58" s="39">
        <v>0</v>
      </c>
      <c r="AM58" s="39">
        <v>0</v>
      </c>
      <c r="AN58" s="39">
        <v>0</v>
      </c>
      <c r="AO58" s="39">
        <f t="shared" si="23"/>
        <v>0</v>
      </c>
    </row>
    <row r="59" spans="1:41">
      <c r="A59" s="3">
        <f t="shared" si="24"/>
        <v>2021</v>
      </c>
      <c r="B59" s="39">
        <v>0</v>
      </c>
      <c r="C59" s="39">
        <f>$B$2*(TabularOutputs!H77)/(TabularOutputs!C77+TabularOutputs!D77+TabularOutputs!H77+TabularOutputs!T77)*(1+TechnicalInputs!$D$2)^(CollectionCosts!A59-CollectionCosts!$A$52)</f>
        <v>1380392.9851357874</v>
      </c>
      <c r="D59" s="39"/>
      <c r="E59" s="39"/>
      <c r="F59" s="39">
        <f t="shared" si="18"/>
        <v>1380392.9851357874</v>
      </c>
      <c r="H59" s="3">
        <f t="shared" si="25"/>
        <v>2021</v>
      </c>
      <c r="I59" s="39">
        <v>0</v>
      </c>
      <c r="J59" s="39">
        <f>SUM(EconomicInputs!D15:H15)*CollectionCosts!$B$11*(1+TechnicalInputs!$D$2)^(CollectionCosts!H59-CollectionCosts!$H$52)</f>
        <v>1051607.7949227092</v>
      </c>
      <c r="K59" s="39">
        <f>$B$6*$B$9*(1+TechnicalInputs!$D$2)^(CollectionCosts!H59-CollectionCosts!$AC$22)</f>
        <v>2933599.612526787</v>
      </c>
      <c r="L59" s="39"/>
      <c r="M59" s="39">
        <f t="shared" si="19"/>
        <v>3985207.407449496</v>
      </c>
      <c r="O59" s="3">
        <f t="shared" si="26"/>
        <v>2021</v>
      </c>
      <c r="P59" s="39">
        <v>0</v>
      </c>
      <c r="Q59" s="39">
        <f>AL29*EconomicInputs!F15/(EconomicInputs!F15+EconomicInputs!E15)</f>
        <v>4239.7199638994325</v>
      </c>
      <c r="R59" s="39">
        <f>AM29*EconomicInputs!F15/(EconomicInputs!F15+EconomicInputs!E15)</f>
        <v>1316.1831247465175</v>
      </c>
      <c r="S59" s="39">
        <v>0</v>
      </c>
      <c r="T59" s="39">
        <f t="shared" si="20"/>
        <v>5555.9030886459495</v>
      </c>
      <c r="V59" s="3">
        <f t="shared" si="27"/>
        <v>2021</v>
      </c>
      <c r="W59" s="39">
        <f>TabularOutputs!K77*TechnicalInputs!$D$12</f>
        <v>0</v>
      </c>
      <c r="X59" s="39">
        <f>TabularOutputs!K77/$B$3</f>
        <v>0</v>
      </c>
      <c r="Y59" s="39"/>
      <c r="Z59" s="39"/>
      <c r="AA59" s="39">
        <f t="shared" si="21"/>
        <v>0</v>
      </c>
      <c r="AC59" s="3">
        <f t="shared" si="28"/>
        <v>2021</v>
      </c>
      <c r="AD59" s="39">
        <v>0</v>
      </c>
      <c r="AE59" s="39">
        <f>TabularOutputs!L77/$B$3</f>
        <v>0</v>
      </c>
      <c r="AF59" s="39">
        <v>0</v>
      </c>
      <c r="AG59" s="39"/>
      <c r="AH59" s="39">
        <f t="shared" si="22"/>
        <v>0</v>
      </c>
      <c r="AJ59" s="3">
        <f t="shared" si="29"/>
        <v>2021</v>
      </c>
      <c r="AK59" s="39">
        <v>0</v>
      </c>
      <c r="AL59" s="39">
        <v>0</v>
      </c>
      <c r="AM59" s="39">
        <v>0</v>
      </c>
      <c r="AN59" s="39">
        <v>0</v>
      </c>
      <c r="AO59" s="39">
        <f t="shared" si="23"/>
        <v>0</v>
      </c>
    </row>
    <row r="60" spans="1:41">
      <c r="A60" s="3">
        <f t="shared" si="24"/>
        <v>2022</v>
      </c>
      <c r="B60" s="39">
        <v>0</v>
      </c>
      <c r="C60" s="39">
        <f>$B$2*(TabularOutputs!H78)/(TabularOutputs!C78+TabularOutputs!D78+TabularOutputs!H78+TabularOutputs!T78)*(1+TechnicalInputs!$D$2)^(CollectionCosts!A60-CollectionCosts!$A$52)</f>
        <v>1405573.9330106047</v>
      </c>
      <c r="D60" s="39"/>
      <c r="E60" s="39"/>
      <c r="F60" s="39">
        <f t="shared" si="18"/>
        <v>1405573.9330106047</v>
      </c>
      <c r="H60" s="3">
        <f t="shared" si="25"/>
        <v>2022</v>
      </c>
      <c r="I60" s="39">
        <v>0</v>
      </c>
      <c r="J60" s="39">
        <f>SUM(EconomicInputs!D16:H16)*CollectionCosts!$B$11*(1+TechnicalInputs!$D$2)^(CollectionCosts!H60-CollectionCosts!$H$52)</f>
        <v>1088563.7348597466</v>
      </c>
      <c r="K60" s="39">
        <f>$B$6*$B$9*(1+TechnicalInputs!$D$2)^(CollectionCosts!H60-CollectionCosts!$AC$22)</f>
        <v>3006939.6028399565</v>
      </c>
      <c r="L60" s="39"/>
      <c r="M60" s="39">
        <f t="shared" si="19"/>
        <v>4095503.3376997029</v>
      </c>
      <c r="O60" s="3">
        <f t="shared" si="26"/>
        <v>2022</v>
      </c>
      <c r="P60" s="39">
        <v>0</v>
      </c>
      <c r="Q60" s="39">
        <f>AL30*EconomicInputs!F16/(EconomicInputs!F16+EconomicInputs!E16)</f>
        <v>4812.1733467931253</v>
      </c>
      <c r="R60" s="39">
        <f>AM30*EconomicInputs!F16/(EconomicInputs!F16+EconomicInputs!E16)</f>
        <v>1479.1051039739361</v>
      </c>
      <c r="S60" s="39">
        <v>0</v>
      </c>
      <c r="T60" s="39">
        <f t="shared" si="20"/>
        <v>6291.2784507670613</v>
      </c>
      <c r="V60" s="3">
        <f t="shared" si="27"/>
        <v>2022</v>
      </c>
      <c r="W60" s="39">
        <f>TabularOutputs!K78*TechnicalInputs!$D$12</f>
        <v>0</v>
      </c>
      <c r="X60" s="39">
        <f>TabularOutputs!K78/$B$3</f>
        <v>0</v>
      </c>
      <c r="Y60" s="39"/>
      <c r="Z60" s="39"/>
      <c r="AA60" s="39">
        <f t="shared" si="21"/>
        <v>0</v>
      </c>
      <c r="AC60" s="3">
        <f t="shared" si="28"/>
        <v>2022</v>
      </c>
      <c r="AD60" s="39">
        <v>0</v>
      </c>
      <c r="AE60" s="39">
        <f>TabularOutputs!L78/$B$3</f>
        <v>0</v>
      </c>
      <c r="AF60" s="39">
        <v>0</v>
      </c>
      <c r="AG60" s="39"/>
      <c r="AH60" s="39">
        <f t="shared" si="22"/>
        <v>0</v>
      </c>
      <c r="AJ60" s="3">
        <f t="shared" si="29"/>
        <v>2022</v>
      </c>
      <c r="AK60" s="39">
        <v>0</v>
      </c>
      <c r="AL60" s="39">
        <v>0</v>
      </c>
      <c r="AM60" s="39">
        <v>0</v>
      </c>
      <c r="AN60" s="39">
        <v>0</v>
      </c>
      <c r="AO60" s="39">
        <f t="shared" si="23"/>
        <v>0</v>
      </c>
    </row>
    <row r="61" spans="1:41">
      <c r="A61" s="3">
        <f t="shared" si="24"/>
        <v>2023</v>
      </c>
      <c r="B61" s="39">
        <v>0</v>
      </c>
      <c r="C61" s="39">
        <f>$B$2*(TabularOutputs!H79)/(TabularOutputs!C79+TabularOutputs!D79+TabularOutputs!H79+TabularOutputs!T79)*(1+TechnicalInputs!$D$2)^(CollectionCosts!A61-CollectionCosts!$A$52)</f>
        <v>1430081.1753689614</v>
      </c>
      <c r="D61" s="39"/>
      <c r="E61" s="39"/>
      <c r="F61" s="39">
        <f t="shared" si="18"/>
        <v>1430081.1753689614</v>
      </c>
      <c r="H61" s="3">
        <f t="shared" si="25"/>
        <v>2023</v>
      </c>
      <c r="I61" s="39">
        <v>0</v>
      </c>
      <c r="J61" s="39">
        <f>SUM(EconomicInputs!D17:H17)*CollectionCosts!$B$11*(1+TechnicalInputs!$D$2)^(CollectionCosts!H61-CollectionCosts!$H$52)</f>
        <v>1126818.7747750627</v>
      </c>
      <c r="K61" s="39">
        <f>$B$6*$B$9*(1+TechnicalInputs!$D$2)^(CollectionCosts!H61-CollectionCosts!$AC$22)</f>
        <v>3082113.0929109547</v>
      </c>
      <c r="L61" s="39"/>
      <c r="M61" s="39">
        <f t="shared" si="19"/>
        <v>4208931.8676860174</v>
      </c>
      <c r="O61" s="3">
        <f t="shared" si="26"/>
        <v>2023</v>
      </c>
      <c r="P61" s="39">
        <v>0</v>
      </c>
      <c r="Q61" s="39">
        <f>AL31*EconomicInputs!F17/(EconomicInputs!F17+EconomicInputs!E17)</f>
        <v>5441.8595557554327</v>
      </c>
      <c r="R61" s="39">
        <f>AM31*EconomicInputs!F17/(EconomicInputs!F17+EconomicInputs!E17)</f>
        <v>1656.0892108622475</v>
      </c>
      <c r="S61" s="39">
        <v>0</v>
      </c>
      <c r="T61" s="39">
        <f t="shared" si="20"/>
        <v>7097.9487666176801</v>
      </c>
      <c r="V61" s="3">
        <f t="shared" si="27"/>
        <v>2023</v>
      </c>
      <c r="W61" s="39">
        <f>TabularOutputs!K79*TechnicalInputs!$D$12</f>
        <v>0</v>
      </c>
      <c r="X61" s="39">
        <f>TabularOutputs!K79/$B$3</f>
        <v>0</v>
      </c>
      <c r="Y61" s="39"/>
      <c r="Z61" s="39"/>
      <c r="AA61" s="39">
        <f t="shared" si="21"/>
        <v>0</v>
      </c>
      <c r="AC61" s="3">
        <f t="shared" si="28"/>
        <v>2023</v>
      </c>
      <c r="AD61" s="39">
        <v>0</v>
      </c>
      <c r="AE61" s="39">
        <f>TabularOutputs!L79/$B$3</f>
        <v>0</v>
      </c>
      <c r="AF61" s="39">
        <v>0</v>
      </c>
      <c r="AG61" s="39"/>
      <c r="AH61" s="39">
        <f t="shared" si="22"/>
        <v>0</v>
      </c>
      <c r="AJ61" s="3">
        <f t="shared" si="29"/>
        <v>2023</v>
      </c>
      <c r="AK61" s="39">
        <v>0</v>
      </c>
      <c r="AL61" s="39">
        <v>0</v>
      </c>
      <c r="AM61" s="39">
        <v>0</v>
      </c>
      <c r="AN61" s="39">
        <v>0</v>
      </c>
      <c r="AO61" s="39">
        <f t="shared" si="23"/>
        <v>0</v>
      </c>
    </row>
    <row r="62" spans="1:41">
      <c r="A62" s="3">
        <f t="shared" si="24"/>
        <v>2024</v>
      </c>
      <c r="B62" s="39">
        <v>0</v>
      </c>
      <c r="C62" s="39">
        <f>$B$2*(TabularOutputs!H80)/(TabularOutputs!C80+TabularOutputs!D80+TabularOutputs!H80+TabularOutputs!T80)*(1+TechnicalInputs!$D$2)^(CollectionCosts!A62-CollectionCosts!$A$52)</f>
        <v>1454047.9937107859</v>
      </c>
      <c r="D62" s="39"/>
      <c r="E62" s="39"/>
      <c r="F62" s="39">
        <f t="shared" si="18"/>
        <v>1454047.9937107859</v>
      </c>
      <c r="H62" s="3">
        <f t="shared" si="25"/>
        <v>2024</v>
      </c>
      <c r="I62" s="39">
        <v>0</v>
      </c>
      <c r="J62" s="39">
        <f>SUM(EconomicInputs!D18:H18)*CollectionCosts!$B$11*(1+TechnicalInputs!$D$2)^(CollectionCosts!H62-CollectionCosts!$H$52)</f>
        <v>1166418.5936872207</v>
      </c>
      <c r="K62" s="39">
        <f>$B$6*$B$9*(1+TechnicalInputs!$D$2)^(CollectionCosts!H62-CollectionCosts!$AC$22)</f>
        <v>3159165.9202337288</v>
      </c>
      <c r="L62" s="39"/>
      <c r="M62" s="39">
        <f t="shared" si="19"/>
        <v>4325584.5139209498</v>
      </c>
      <c r="O62" s="3">
        <f t="shared" si="26"/>
        <v>2024</v>
      </c>
      <c r="P62" s="39">
        <v>0</v>
      </c>
      <c r="Q62" s="39">
        <f>AL32*EconomicInputs!F18/(EconomicInputs!F18+EconomicInputs!E18)</f>
        <v>6169.5557224078884</v>
      </c>
      <c r="R62" s="39">
        <f>AM32*EconomicInputs!F18/(EconomicInputs!F18+EconomicInputs!E18)</f>
        <v>1858.9551668254562</v>
      </c>
      <c r="S62" s="39">
        <v>0</v>
      </c>
      <c r="T62" s="39">
        <f t="shared" si="20"/>
        <v>8028.5108892333446</v>
      </c>
      <c r="V62" s="3">
        <f t="shared" si="27"/>
        <v>2024</v>
      </c>
      <c r="W62" s="39">
        <f>TabularOutputs!K80*TechnicalInputs!$D$12</f>
        <v>0</v>
      </c>
      <c r="X62" s="39">
        <f>TabularOutputs!K80/$B$3</f>
        <v>0</v>
      </c>
      <c r="Y62" s="39"/>
      <c r="Z62" s="39"/>
      <c r="AA62" s="39">
        <f t="shared" si="21"/>
        <v>0</v>
      </c>
      <c r="AC62" s="3">
        <f t="shared" si="28"/>
        <v>2024</v>
      </c>
      <c r="AD62" s="39">
        <v>0</v>
      </c>
      <c r="AE62" s="39">
        <f>TabularOutputs!L80/$B$3</f>
        <v>0</v>
      </c>
      <c r="AF62" s="39">
        <v>0</v>
      </c>
      <c r="AG62" s="39"/>
      <c r="AH62" s="39">
        <f t="shared" si="22"/>
        <v>0</v>
      </c>
      <c r="AJ62" s="3">
        <f t="shared" si="29"/>
        <v>2024</v>
      </c>
      <c r="AK62" s="39">
        <v>0</v>
      </c>
      <c r="AL62" s="39">
        <v>0</v>
      </c>
      <c r="AM62" s="39">
        <v>0</v>
      </c>
      <c r="AN62" s="39">
        <v>0</v>
      </c>
      <c r="AO62" s="39">
        <f t="shared" si="23"/>
        <v>0</v>
      </c>
    </row>
    <row r="63" spans="1:41">
      <c r="A63" s="3">
        <f t="shared" si="24"/>
        <v>2025</v>
      </c>
      <c r="B63" s="39">
        <v>0</v>
      </c>
      <c r="C63" s="39">
        <f>$B$2*(TabularOutputs!H81)/(TabularOutputs!C81+TabularOutputs!D81+TabularOutputs!H81+TabularOutputs!T81)*(1+TechnicalInputs!$D$2)^(CollectionCosts!A63-CollectionCosts!$A$52)</f>
        <v>1477709.5284187435</v>
      </c>
      <c r="D63" s="39"/>
      <c r="E63" s="39"/>
      <c r="F63" s="39">
        <f t="shared" si="18"/>
        <v>1477709.5284187435</v>
      </c>
      <c r="H63" s="3">
        <f t="shared" si="25"/>
        <v>2025</v>
      </c>
      <c r="I63" s="39">
        <v>0</v>
      </c>
      <c r="J63" s="39">
        <f>SUM(EconomicInputs!D19:H19)*CollectionCosts!$B$11*(1+TechnicalInputs!$D$2)^(CollectionCosts!H63-CollectionCosts!$H$52)</f>
        <v>1207410.4771708564</v>
      </c>
      <c r="K63" s="39">
        <f>$B$6*$B$9*(1+TechnicalInputs!$D$2)^(CollectionCosts!H63-CollectionCosts!$AC$22)</f>
        <v>3238145.068239572</v>
      </c>
      <c r="L63" s="39"/>
      <c r="M63" s="39">
        <f t="shared" si="19"/>
        <v>4445555.5454104282</v>
      </c>
      <c r="O63" s="3">
        <f t="shared" si="26"/>
        <v>2025</v>
      </c>
      <c r="P63" s="39">
        <v>0</v>
      </c>
      <c r="Q63" s="39">
        <f>AL33*EconomicInputs!F19/(EconomicInputs!F19+EconomicInputs!E19)</f>
        <v>7042.1480212803399</v>
      </c>
      <c r="R63" s="39">
        <f>AM33*EconomicInputs!F19/(EconomicInputs!F19+EconomicInputs!E19)</f>
        <v>2100.8681663182647</v>
      </c>
      <c r="S63" s="39">
        <v>0</v>
      </c>
      <c r="T63" s="39">
        <f t="shared" si="20"/>
        <v>9143.016187598605</v>
      </c>
      <c r="V63" s="3">
        <f t="shared" si="27"/>
        <v>2025</v>
      </c>
      <c r="W63" s="39">
        <f>TabularOutputs!K81*TechnicalInputs!$D$12</f>
        <v>0</v>
      </c>
      <c r="X63" s="39">
        <f>TabularOutputs!K81/$B$3</f>
        <v>0</v>
      </c>
      <c r="Y63" s="39"/>
      <c r="Z63" s="39"/>
      <c r="AA63" s="39">
        <f t="shared" si="21"/>
        <v>0</v>
      </c>
      <c r="AC63" s="3">
        <f t="shared" si="28"/>
        <v>2025</v>
      </c>
      <c r="AD63" s="39">
        <v>0</v>
      </c>
      <c r="AE63" s="39">
        <f>TabularOutputs!L81/$B$3</f>
        <v>0</v>
      </c>
      <c r="AF63" s="39">
        <v>0</v>
      </c>
      <c r="AG63" s="39"/>
      <c r="AH63" s="39">
        <f t="shared" si="22"/>
        <v>0</v>
      </c>
      <c r="AJ63" s="3">
        <f t="shared" si="29"/>
        <v>2025</v>
      </c>
      <c r="AK63" s="39">
        <v>0</v>
      </c>
      <c r="AL63" s="39">
        <v>0</v>
      </c>
      <c r="AM63" s="39">
        <v>0</v>
      </c>
      <c r="AN63" s="39">
        <v>0</v>
      </c>
      <c r="AO63" s="39">
        <f t="shared" si="23"/>
        <v>0</v>
      </c>
    </row>
    <row r="64" spans="1:41">
      <c r="A64" s="3">
        <f t="shared" si="24"/>
        <v>2026</v>
      </c>
      <c r="B64" s="39">
        <v>0</v>
      </c>
      <c r="C64" s="39">
        <f>$B$2*(TabularOutputs!H82)/(TabularOutputs!C82+TabularOutputs!D82+TabularOutputs!H82+TabularOutputs!T82)*(1+TechnicalInputs!$D$2)^(CollectionCosts!A64-CollectionCosts!$A$52)</f>
        <v>1501298.6369327863</v>
      </c>
      <c r="D64" s="39"/>
      <c r="E64" s="39"/>
      <c r="F64" s="39">
        <f t="shared" si="18"/>
        <v>1501298.6369327863</v>
      </c>
      <c r="H64" s="3">
        <f t="shared" si="25"/>
        <v>2026</v>
      </c>
      <c r="I64" s="39">
        <v>0</v>
      </c>
      <c r="J64" s="39">
        <f>SUM(EconomicInputs!D20:H20)*CollectionCosts!$B$11*(1+TechnicalInputs!$D$2)^(CollectionCosts!H64-CollectionCosts!$H$52)</f>
        <v>1249843.3738724939</v>
      </c>
      <c r="K64" s="39">
        <f>$B$6*$B$9*(1+TechnicalInputs!$D$2)^(CollectionCosts!H64-CollectionCosts!$AC$22)</f>
        <v>3319098.6949455608</v>
      </c>
      <c r="L64" s="39"/>
      <c r="M64" s="39">
        <f t="shared" si="19"/>
        <v>4568942.0688180551</v>
      </c>
      <c r="O64" s="3">
        <f t="shared" si="26"/>
        <v>2026</v>
      </c>
      <c r="P64" s="39">
        <v>0</v>
      </c>
      <c r="Q64" s="39">
        <f>AL34*EconomicInputs!F20/(EconomicInputs!F20+EconomicInputs!E20)</f>
        <v>8092.3077650044852</v>
      </c>
      <c r="R64" s="39">
        <f>AM34*EconomicInputs!F20/(EconomicInputs!F20+EconomicInputs!E20)</f>
        <v>2390.257384757931</v>
      </c>
      <c r="S64" s="39">
        <v>0</v>
      </c>
      <c r="T64" s="39">
        <f t="shared" si="20"/>
        <v>10482.565149762417</v>
      </c>
      <c r="V64" s="3">
        <f t="shared" si="27"/>
        <v>2026</v>
      </c>
      <c r="W64" s="39">
        <f>TabularOutputs!K82*TechnicalInputs!$D$12</f>
        <v>0</v>
      </c>
      <c r="X64" s="39">
        <f>TabularOutputs!K82/$B$3</f>
        <v>0</v>
      </c>
      <c r="Y64" s="39"/>
      <c r="Z64" s="39"/>
      <c r="AA64" s="39">
        <f t="shared" si="21"/>
        <v>0</v>
      </c>
      <c r="AC64" s="3">
        <f t="shared" si="28"/>
        <v>2026</v>
      </c>
      <c r="AD64" s="39">
        <v>0</v>
      </c>
      <c r="AE64" s="39">
        <f>TabularOutputs!L82/$B$3</f>
        <v>0</v>
      </c>
      <c r="AF64" s="39">
        <v>0</v>
      </c>
      <c r="AG64" s="39"/>
      <c r="AH64" s="39">
        <f t="shared" si="22"/>
        <v>0</v>
      </c>
      <c r="AJ64" s="3">
        <f t="shared" si="29"/>
        <v>2026</v>
      </c>
      <c r="AK64" s="39">
        <v>0</v>
      </c>
      <c r="AL64" s="39">
        <v>0</v>
      </c>
      <c r="AM64" s="39">
        <v>0</v>
      </c>
      <c r="AN64" s="39">
        <v>0</v>
      </c>
      <c r="AO64" s="39">
        <f t="shared" si="23"/>
        <v>0</v>
      </c>
    </row>
    <row r="65" spans="1:41">
      <c r="A65" s="3">
        <f t="shared" si="24"/>
        <v>2027</v>
      </c>
      <c r="B65" s="39">
        <v>0</v>
      </c>
      <c r="C65" s="39">
        <f>$B$2*(TabularOutputs!H83)/(TabularOutputs!C83+TabularOutputs!D83+TabularOutputs!H83+TabularOutputs!T83)*(1+TechnicalInputs!$D$2)^(CollectionCosts!A65-CollectionCosts!$A$52)</f>
        <v>1524867.0196025139</v>
      </c>
      <c r="D65" s="39"/>
      <c r="E65" s="39"/>
      <c r="F65" s="39">
        <f t="shared" si="18"/>
        <v>1524867.0196025139</v>
      </c>
      <c r="H65" s="3">
        <f t="shared" si="25"/>
        <v>2027</v>
      </c>
      <c r="I65" s="39">
        <v>0</v>
      </c>
      <c r="J65" s="39">
        <f>SUM(EconomicInputs!D21:H21)*CollectionCosts!$B$11*(1+TechnicalInputs!$D$2)^(CollectionCosts!H65-CollectionCosts!$H$52)</f>
        <v>1293767.9540148834</v>
      </c>
      <c r="K65" s="39">
        <f>$B$6*$B$9*(1+TechnicalInputs!$D$2)^(CollectionCosts!H65-CollectionCosts!$AC$22)</f>
        <v>3402076.1623191996</v>
      </c>
      <c r="L65" s="39"/>
      <c r="M65" s="39">
        <f t="shared" si="19"/>
        <v>4695844.1163340826</v>
      </c>
      <c r="O65" s="3">
        <f t="shared" si="26"/>
        <v>2027</v>
      </c>
      <c r="P65" s="39">
        <v>0</v>
      </c>
      <c r="Q65" s="39">
        <f>AL35*EconomicInputs!F21/(EconomicInputs!F21+EconomicInputs!E21)</f>
        <v>9316.9811993901531</v>
      </c>
      <c r="R65" s="39">
        <f>AM35*EconomicInputs!F21/(EconomicInputs!F21+EconomicInputs!E21)</f>
        <v>2724.746620304707</v>
      </c>
      <c r="S65" s="39">
        <v>0</v>
      </c>
      <c r="T65" s="39">
        <f t="shared" si="20"/>
        <v>12041.727819694861</v>
      </c>
      <c r="V65" s="3">
        <f t="shared" si="27"/>
        <v>2027</v>
      </c>
      <c r="W65" s="39">
        <f>TabularOutputs!K83*TechnicalInputs!$D$12</f>
        <v>0</v>
      </c>
      <c r="X65" s="39">
        <f>TabularOutputs!K83/$B$3</f>
        <v>0</v>
      </c>
      <c r="Y65" s="39"/>
      <c r="Z65" s="39"/>
      <c r="AA65" s="39">
        <f t="shared" si="21"/>
        <v>0</v>
      </c>
      <c r="AC65" s="3">
        <f t="shared" si="28"/>
        <v>2027</v>
      </c>
      <c r="AD65" s="39">
        <v>0</v>
      </c>
      <c r="AE65" s="39">
        <f>TabularOutputs!L83/$B$3</f>
        <v>0</v>
      </c>
      <c r="AF65" s="39">
        <v>0</v>
      </c>
      <c r="AG65" s="39"/>
      <c r="AH65" s="39">
        <f t="shared" si="22"/>
        <v>0</v>
      </c>
      <c r="AJ65" s="3">
        <f t="shared" si="29"/>
        <v>2027</v>
      </c>
      <c r="AK65" s="39">
        <v>0</v>
      </c>
      <c r="AL65" s="39">
        <v>0</v>
      </c>
      <c r="AM65" s="39">
        <v>0</v>
      </c>
      <c r="AN65" s="39">
        <v>0</v>
      </c>
      <c r="AO65" s="39">
        <f t="shared" si="23"/>
        <v>0</v>
      </c>
    </row>
    <row r="66" spans="1:41">
      <c r="A66" s="3">
        <f t="shared" si="24"/>
        <v>2028</v>
      </c>
      <c r="B66" s="39">
        <v>0</v>
      </c>
      <c r="C66" s="39">
        <f>$B$2*(TabularOutputs!H84)/(TabularOutputs!C84+TabularOutputs!D84+TabularOutputs!H84+TabularOutputs!T84)*(1+TechnicalInputs!$D$2)^(CollectionCosts!A66-CollectionCosts!$A$52)</f>
        <v>1548400.6822769914</v>
      </c>
      <c r="D66" s="39"/>
      <c r="E66" s="39"/>
      <c r="F66" s="39">
        <f t="shared" si="18"/>
        <v>1548400.6822769914</v>
      </c>
      <c r="H66" s="3">
        <f t="shared" si="25"/>
        <v>2028</v>
      </c>
      <c r="I66" s="39">
        <v>0</v>
      </c>
      <c r="J66" s="39">
        <f>SUM(EconomicInputs!D22:H22)*CollectionCosts!$B$11*(1+TechnicalInputs!$D$2)^(CollectionCosts!H66-CollectionCosts!$H$52)</f>
        <v>1339236.669959835</v>
      </c>
      <c r="K66" s="39">
        <f>$B$6*$B$9*(1+TechnicalInputs!$D$2)^(CollectionCosts!H66-CollectionCosts!$AC$22)</f>
        <v>3487128.0663771792</v>
      </c>
      <c r="L66" s="39"/>
      <c r="M66" s="39">
        <f t="shared" si="19"/>
        <v>4826364.7363370145</v>
      </c>
      <c r="O66" s="3">
        <f t="shared" si="26"/>
        <v>2028</v>
      </c>
      <c r="P66" s="39">
        <v>0</v>
      </c>
      <c r="Q66" s="39">
        <f>AL36*EconomicInputs!F22/(EconomicInputs!F22+EconomicInputs!E22)</f>
        <v>10747.218709139483</v>
      </c>
      <c r="R66" s="39">
        <f>AM36*EconomicInputs!F22/(EconomicInputs!F22+EconomicInputs!E22)</f>
        <v>3111.8998855573386</v>
      </c>
      <c r="S66" s="39">
        <v>0</v>
      </c>
      <c r="T66" s="39">
        <f t="shared" si="20"/>
        <v>13859.118594696822</v>
      </c>
      <c r="V66" s="3">
        <f t="shared" si="27"/>
        <v>2028</v>
      </c>
      <c r="W66" s="39">
        <f>TabularOutputs!K84*TechnicalInputs!$D$12</f>
        <v>0</v>
      </c>
      <c r="X66" s="39">
        <f>TabularOutputs!K84/$B$3</f>
        <v>0</v>
      </c>
      <c r="Y66" s="39"/>
      <c r="Z66" s="39"/>
      <c r="AA66" s="39">
        <f t="shared" si="21"/>
        <v>0</v>
      </c>
      <c r="AC66" s="3">
        <f t="shared" si="28"/>
        <v>2028</v>
      </c>
      <c r="AD66" s="39">
        <v>0</v>
      </c>
      <c r="AE66" s="39">
        <f>TabularOutputs!L84/$B$3</f>
        <v>0</v>
      </c>
      <c r="AF66" s="39">
        <v>0</v>
      </c>
      <c r="AG66" s="39"/>
      <c r="AH66" s="39">
        <f t="shared" si="22"/>
        <v>0</v>
      </c>
      <c r="AJ66" s="3">
        <f t="shared" si="29"/>
        <v>2028</v>
      </c>
      <c r="AK66" s="39">
        <v>0</v>
      </c>
      <c r="AL66" s="39">
        <v>0</v>
      </c>
      <c r="AM66" s="39">
        <v>0</v>
      </c>
      <c r="AN66" s="39">
        <v>0</v>
      </c>
      <c r="AO66" s="39">
        <f t="shared" si="23"/>
        <v>0</v>
      </c>
    </row>
    <row r="67" spans="1:41">
      <c r="A67" s="3">
        <f t="shared" si="24"/>
        <v>2029</v>
      </c>
      <c r="B67" s="39">
        <v>0</v>
      </c>
      <c r="C67" s="39">
        <f>$B$2*(TabularOutputs!H85)/(TabularOutputs!C85+TabularOutputs!D85+TabularOutputs!H85+TabularOutputs!T85)*(1+TechnicalInputs!$D$2)^(CollectionCosts!A67-CollectionCosts!$A$52)</f>
        <v>1571974.2281136857</v>
      </c>
      <c r="D67" s="39"/>
      <c r="E67" s="39"/>
      <c r="F67" s="39">
        <f t="shared" si="18"/>
        <v>1571974.2281136857</v>
      </c>
      <c r="H67" s="3">
        <f t="shared" si="25"/>
        <v>2029</v>
      </c>
      <c r="I67" s="39">
        <v>0</v>
      </c>
      <c r="J67" s="39">
        <f>SUM(EconomicInputs!D23:H23)*CollectionCosts!$B$11*(1+TechnicalInputs!$D$2)^(CollectionCosts!H67-CollectionCosts!$H$52)</f>
        <v>1386303.8189019985</v>
      </c>
      <c r="K67" s="39">
        <f>$B$6*$B$9*(1+TechnicalInputs!$D$2)^(CollectionCosts!H67-CollectionCosts!$AC$22)</f>
        <v>3574306.2680366095</v>
      </c>
      <c r="L67" s="39"/>
      <c r="M67" s="39">
        <f t="shared" si="19"/>
        <v>4960610.0869386084</v>
      </c>
      <c r="O67" s="3">
        <f t="shared" si="26"/>
        <v>2029</v>
      </c>
      <c r="P67" s="39">
        <v>0</v>
      </c>
      <c r="Q67" s="39">
        <f>AL37*EconomicInputs!F23/(EconomicInputs!F23+EconomicInputs!E23)</f>
        <v>12360.767648435813</v>
      </c>
      <c r="R67" s="39">
        <f>AM37*EconomicInputs!F23/(EconomicInputs!F23+EconomicInputs!E23)</f>
        <v>3543.6726663423283</v>
      </c>
      <c r="S67" s="39">
        <v>0</v>
      </c>
      <c r="T67" s="39">
        <f t="shared" si="20"/>
        <v>15904.440314778141</v>
      </c>
      <c r="V67" s="3">
        <f t="shared" si="27"/>
        <v>2029</v>
      </c>
      <c r="W67" s="39">
        <f>TabularOutputs!K85*TechnicalInputs!$D$12</f>
        <v>0</v>
      </c>
      <c r="X67" s="39">
        <f>TabularOutputs!K85/$B$3</f>
        <v>0</v>
      </c>
      <c r="Y67" s="39"/>
      <c r="Z67" s="39"/>
      <c r="AA67" s="39">
        <f t="shared" si="21"/>
        <v>0</v>
      </c>
      <c r="AC67" s="3">
        <f t="shared" si="28"/>
        <v>2029</v>
      </c>
      <c r="AD67" s="39">
        <v>0</v>
      </c>
      <c r="AE67" s="39">
        <f>TabularOutputs!L85/$B$3</f>
        <v>0</v>
      </c>
      <c r="AF67" s="39">
        <v>0</v>
      </c>
      <c r="AG67" s="39"/>
      <c r="AH67" s="39">
        <f t="shared" si="22"/>
        <v>0</v>
      </c>
      <c r="AJ67" s="3">
        <f t="shared" si="29"/>
        <v>2029</v>
      </c>
      <c r="AK67" s="39">
        <v>0</v>
      </c>
      <c r="AL67" s="39">
        <v>0</v>
      </c>
      <c r="AM67" s="39">
        <v>0</v>
      </c>
      <c r="AN67" s="39">
        <v>0</v>
      </c>
      <c r="AO67" s="39">
        <f t="shared" si="23"/>
        <v>0</v>
      </c>
    </row>
    <row r="68" spans="1:41">
      <c r="A68" s="3">
        <f t="shared" si="24"/>
        <v>2030</v>
      </c>
      <c r="B68" s="39">
        <v>0</v>
      </c>
      <c r="C68" s="39">
        <f>$B$2*(TabularOutputs!H86)/(TabularOutputs!C86+TabularOutputs!D86+TabularOutputs!H86+TabularOutputs!T86)*(1+TechnicalInputs!$D$2)^(CollectionCosts!A68-CollectionCosts!$A$52)</f>
        <v>1595390.7383892951</v>
      </c>
      <c r="D68" s="39"/>
      <c r="E68" s="39"/>
      <c r="F68" s="39">
        <f t="shared" si="18"/>
        <v>1595390.7383892951</v>
      </c>
      <c r="H68" s="3">
        <f t="shared" si="25"/>
        <v>2030</v>
      </c>
      <c r="I68" s="39">
        <v>0</v>
      </c>
      <c r="J68" s="39">
        <f>SUM(EconomicInputs!D24:H24)*CollectionCosts!$B$11*(1+TechnicalInputs!$D$2)^(CollectionCosts!H68-CollectionCosts!$H$52)</f>
        <v>1435025.6077685701</v>
      </c>
      <c r="K68" s="39">
        <f>$B$6*$B$9*(1+TechnicalInputs!$D$2)^(CollectionCosts!H68-CollectionCosts!$AC$22)</f>
        <v>3663663.9247375242</v>
      </c>
      <c r="L68" s="39"/>
      <c r="M68" s="39">
        <f t="shared" si="19"/>
        <v>5098689.5325060943</v>
      </c>
      <c r="O68" s="3">
        <f t="shared" si="26"/>
        <v>2030</v>
      </c>
      <c r="P68" s="39">
        <v>0</v>
      </c>
      <c r="Q68" s="39">
        <f>AL38*EconomicInputs!F24/(EconomicInputs!F24+EconomicInputs!E24)</f>
        <v>14135.435934960236</v>
      </c>
      <c r="R68" s="39">
        <f>AM38*EconomicInputs!F24/(EconomicInputs!F24+EconomicInputs!E24)</f>
        <v>4012.323936590074</v>
      </c>
      <c r="S68" s="39">
        <v>0</v>
      </c>
      <c r="T68" s="39">
        <f t="shared" si="20"/>
        <v>18147.759871550312</v>
      </c>
      <c r="V68" s="3">
        <f t="shared" si="27"/>
        <v>2030</v>
      </c>
      <c r="W68" s="39">
        <f>TabularOutputs!K86*TechnicalInputs!$D$12</f>
        <v>0</v>
      </c>
      <c r="X68" s="39">
        <f>TabularOutputs!K86/$B$3</f>
        <v>0</v>
      </c>
      <c r="Y68" s="39"/>
      <c r="Z68" s="39"/>
      <c r="AA68" s="39">
        <f t="shared" si="21"/>
        <v>0</v>
      </c>
      <c r="AC68" s="3">
        <f t="shared" si="28"/>
        <v>2030</v>
      </c>
      <c r="AD68" s="39">
        <v>0</v>
      </c>
      <c r="AE68" s="39">
        <f>TabularOutputs!L86/$B$3</f>
        <v>0</v>
      </c>
      <c r="AF68" s="39">
        <v>0</v>
      </c>
      <c r="AG68" s="39"/>
      <c r="AH68" s="39">
        <f t="shared" si="22"/>
        <v>0</v>
      </c>
      <c r="AJ68" s="3">
        <f t="shared" si="29"/>
        <v>2030</v>
      </c>
      <c r="AK68" s="39">
        <v>0</v>
      </c>
      <c r="AL68" s="39">
        <v>0</v>
      </c>
      <c r="AM68" s="39">
        <v>0</v>
      </c>
      <c r="AN68" s="39">
        <v>0</v>
      </c>
      <c r="AO68" s="39">
        <f t="shared" si="23"/>
        <v>0</v>
      </c>
    </row>
    <row r="69" spans="1:41">
      <c r="A69" s="3">
        <f t="shared" si="24"/>
        <v>2031</v>
      </c>
      <c r="B69" s="39">
        <v>0</v>
      </c>
      <c r="C69" s="39">
        <f>$B$2*(TabularOutputs!H87)/(TabularOutputs!C87+TabularOutputs!D87+TabularOutputs!H87+TabularOutputs!T87)*(1+TechnicalInputs!$D$2)^(CollectionCosts!A69-CollectionCosts!$A$52)</f>
        <v>1618778.7372992777</v>
      </c>
      <c r="D69" s="39"/>
      <c r="E69" s="39"/>
      <c r="F69" s="39">
        <f t="shared" si="18"/>
        <v>1618778.7372992777</v>
      </c>
      <c r="H69" s="3">
        <f t="shared" si="25"/>
        <v>2031</v>
      </c>
      <c r="I69" s="39">
        <v>0</v>
      </c>
      <c r="J69" s="39">
        <f>SUM(EconomicInputs!D25:H25)*CollectionCosts!$B$11*(1+TechnicalInputs!$D$2)^(CollectionCosts!H69-CollectionCosts!$H$52)</f>
        <v>1485460.2204025739</v>
      </c>
      <c r="K69" s="39">
        <f>$B$6*$B$9*(1+TechnicalInputs!$D$2)^(CollectionCosts!H69-CollectionCosts!$AC$22)</f>
        <v>3755255.5228559622</v>
      </c>
      <c r="L69" s="39"/>
      <c r="M69" s="39">
        <f t="shared" si="19"/>
        <v>5240715.7432585359</v>
      </c>
      <c r="O69" s="3">
        <f t="shared" si="26"/>
        <v>2031</v>
      </c>
      <c r="P69" s="39">
        <v>0</v>
      </c>
      <c r="Q69" s="39">
        <f>AL39*EconomicInputs!F25/(EconomicInputs!F25+EconomicInputs!E25)</f>
        <v>16112.954054706695</v>
      </c>
      <c r="R69" s="39">
        <f>AM39*EconomicInputs!F25/(EconomicInputs!F25+EconomicInputs!E25)</f>
        <v>4528.3561578012977</v>
      </c>
      <c r="S69" s="39">
        <v>0</v>
      </c>
      <c r="T69" s="39">
        <f t="shared" si="20"/>
        <v>20641.310212507993</v>
      </c>
      <c r="V69" s="3">
        <f t="shared" si="27"/>
        <v>2031</v>
      </c>
      <c r="W69" s="39">
        <f>TabularOutputs!K87*TechnicalInputs!$D$12</f>
        <v>0</v>
      </c>
      <c r="X69" s="39">
        <f>TabularOutputs!K87/$B$3</f>
        <v>0</v>
      </c>
      <c r="Y69" s="39"/>
      <c r="Z69" s="39"/>
      <c r="AA69" s="39">
        <f t="shared" si="21"/>
        <v>0</v>
      </c>
      <c r="AC69" s="3">
        <f t="shared" si="28"/>
        <v>2031</v>
      </c>
      <c r="AD69" s="39">
        <v>0</v>
      </c>
      <c r="AE69" s="39">
        <f>TabularOutputs!L87/$B$3</f>
        <v>0</v>
      </c>
      <c r="AF69" s="39">
        <v>0</v>
      </c>
      <c r="AG69" s="39"/>
      <c r="AH69" s="39">
        <f t="shared" si="22"/>
        <v>0</v>
      </c>
      <c r="AJ69" s="3">
        <f t="shared" si="29"/>
        <v>2031</v>
      </c>
      <c r="AK69" s="39">
        <v>0</v>
      </c>
      <c r="AL69" s="39">
        <v>0</v>
      </c>
      <c r="AM69" s="39">
        <v>0</v>
      </c>
      <c r="AN69" s="39">
        <v>0</v>
      </c>
      <c r="AO69" s="39">
        <f t="shared" si="23"/>
        <v>0</v>
      </c>
    </row>
    <row r="70" spans="1:41">
      <c r="A70" s="3">
        <f t="shared" si="24"/>
        <v>2032</v>
      </c>
      <c r="B70" s="39">
        <v>0</v>
      </c>
      <c r="C70" s="39">
        <f>$B$2*(TabularOutputs!H88)/(TabularOutputs!C88+TabularOutputs!D88+TabularOutputs!H88+TabularOutputs!T88)*(1+TechnicalInputs!$D$2)^(CollectionCosts!A70-CollectionCosts!$A$52)</f>
        <v>1642150.2503228441</v>
      </c>
      <c r="D70" s="39"/>
      <c r="E70" s="39"/>
      <c r="F70" s="39">
        <f t="shared" si="18"/>
        <v>1642150.2503228441</v>
      </c>
      <c r="H70" s="3">
        <f t="shared" si="25"/>
        <v>2032</v>
      </c>
      <c r="I70" s="39">
        <v>0</v>
      </c>
      <c r="J70" s="39">
        <f>SUM(EconomicInputs!D26:H26)*CollectionCosts!$B$11*(1+TechnicalInputs!$D$2)^(CollectionCosts!H70-CollectionCosts!$H$52)</f>
        <v>1537667.8871100612</v>
      </c>
      <c r="K70" s="39">
        <f>$B$6*$B$9*(1+TechnicalInputs!$D$2)^(CollectionCosts!H70-CollectionCosts!$AC$22)</f>
        <v>3849136.9109273613</v>
      </c>
      <c r="L70" s="39"/>
      <c r="M70" s="39">
        <f t="shared" si="19"/>
        <v>5386804.7980374228</v>
      </c>
      <c r="O70" s="3">
        <f t="shared" si="26"/>
        <v>2032</v>
      </c>
      <c r="P70" s="39">
        <v>0</v>
      </c>
      <c r="Q70" s="39">
        <f>AL40*EconomicInputs!F26/(EconomicInputs!F26+EconomicInputs!E26)</f>
        <v>18242.720442300539</v>
      </c>
      <c r="R70" s="39">
        <f>AM40*EconomicInputs!F26/(EconomicInputs!F26+EconomicInputs!E26)</f>
        <v>5076.1405375865124</v>
      </c>
      <c r="S70" s="39">
        <v>0</v>
      </c>
      <c r="T70" s="39">
        <f t="shared" si="20"/>
        <v>23318.860979887053</v>
      </c>
      <c r="V70" s="3">
        <f t="shared" si="27"/>
        <v>2032</v>
      </c>
      <c r="W70" s="39">
        <f>TabularOutputs!K88*TechnicalInputs!$D$12</f>
        <v>0</v>
      </c>
      <c r="X70" s="39">
        <f>TabularOutputs!K88/$B$3</f>
        <v>0</v>
      </c>
      <c r="Y70" s="39"/>
      <c r="Z70" s="39"/>
      <c r="AA70" s="39">
        <f t="shared" si="21"/>
        <v>0</v>
      </c>
      <c r="AC70" s="3">
        <f t="shared" si="28"/>
        <v>2032</v>
      </c>
      <c r="AD70" s="39">
        <v>0</v>
      </c>
      <c r="AE70" s="39">
        <f>TabularOutputs!L88/$B$3</f>
        <v>0</v>
      </c>
      <c r="AF70" s="39">
        <v>0</v>
      </c>
      <c r="AG70" s="39"/>
      <c r="AH70" s="39">
        <f t="shared" si="22"/>
        <v>0</v>
      </c>
      <c r="AJ70" s="3">
        <f t="shared" si="29"/>
        <v>2032</v>
      </c>
      <c r="AK70" s="39">
        <v>0</v>
      </c>
      <c r="AL70" s="39">
        <v>0</v>
      </c>
      <c r="AM70" s="39">
        <v>0</v>
      </c>
      <c r="AN70" s="39">
        <v>0</v>
      </c>
      <c r="AO70" s="39">
        <f t="shared" si="23"/>
        <v>0</v>
      </c>
    </row>
    <row r="71" spans="1:41">
      <c r="A71" s="3">
        <f t="shared" si="24"/>
        <v>2033</v>
      </c>
      <c r="B71" s="39">
        <v>0</v>
      </c>
      <c r="C71" s="39">
        <f>$B$2*(TabularOutputs!H89)/(TabularOutputs!C89+TabularOutputs!D89+TabularOutputs!H89+TabularOutputs!T89)*(1+TechnicalInputs!$D$2)^(CollectionCosts!A71-CollectionCosts!$A$52)</f>
        <v>1665371.403966987</v>
      </c>
      <c r="D71" s="39"/>
      <c r="E71" s="39"/>
      <c r="F71" s="39">
        <f t="shared" si="18"/>
        <v>1665371.403966987</v>
      </c>
      <c r="H71" s="3">
        <f t="shared" si="25"/>
        <v>2033</v>
      </c>
      <c r="I71" s="39">
        <v>0</v>
      </c>
      <c r="J71" s="39">
        <f>SUM(EconomicInputs!D27:H27)*CollectionCosts!$B$11*(1+TechnicalInputs!$D$2)^(CollectionCosts!H71-CollectionCosts!$H$52)</f>
        <v>1591710.9566544376</v>
      </c>
      <c r="K71" s="39">
        <f>$B$6*$B$9*(1+TechnicalInputs!$D$2)^(CollectionCosts!H71-CollectionCosts!$AC$22)</f>
        <v>3945365.3337005451</v>
      </c>
      <c r="L71" s="39"/>
      <c r="M71" s="39">
        <f t="shared" si="19"/>
        <v>5537076.2903549829</v>
      </c>
      <c r="O71" s="3">
        <f t="shared" si="26"/>
        <v>2033</v>
      </c>
      <c r="P71" s="39">
        <v>0</v>
      </c>
      <c r="Q71" s="39">
        <f>AL41*EconomicInputs!F27/(EconomicInputs!F27+EconomicInputs!E27)</f>
        <v>20546.771944947326</v>
      </c>
      <c r="R71" s="39">
        <f>AM41*EconomicInputs!F27/(EconomicInputs!F27+EconomicInputs!E27)</f>
        <v>5660.6494550853304</v>
      </c>
      <c r="S71" s="39">
        <v>0</v>
      </c>
      <c r="T71" s="39">
        <f t="shared" si="20"/>
        <v>26207.421400032657</v>
      </c>
      <c r="V71" s="3">
        <f t="shared" si="27"/>
        <v>2033</v>
      </c>
      <c r="W71" s="39">
        <f>TabularOutputs!K89*TechnicalInputs!$D$12</f>
        <v>0</v>
      </c>
      <c r="X71" s="39">
        <f>TabularOutputs!K89/$B$3</f>
        <v>0</v>
      </c>
      <c r="Y71" s="39"/>
      <c r="Z71" s="39"/>
      <c r="AA71" s="39">
        <f t="shared" si="21"/>
        <v>0</v>
      </c>
      <c r="AC71" s="3">
        <f t="shared" si="28"/>
        <v>2033</v>
      </c>
      <c r="AD71" s="39">
        <v>0</v>
      </c>
      <c r="AE71" s="39">
        <f>TabularOutputs!L89/$B$3</f>
        <v>0</v>
      </c>
      <c r="AF71" s="39">
        <v>0</v>
      </c>
      <c r="AG71" s="39"/>
      <c r="AH71" s="39">
        <f t="shared" si="22"/>
        <v>0</v>
      </c>
      <c r="AJ71" s="3">
        <f t="shared" si="29"/>
        <v>2033</v>
      </c>
      <c r="AK71" s="39">
        <v>0</v>
      </c>
      <c r="AL71" s="39">
        <v>0</v>
      </c>
      <c r="AM71" s="39">
        <v>0</v>
      </c>
      <c r="AN71" s="39">
        <v>0</v>
      </c>
      <c r="AO71" s="39">
        <f t="shared" si="23"/>
        <v>0</v>
      </c>
    </row>
    <row r="72" spans="1:41">
      <c r="A72" s="3">
        <f t="shared" si="24"/>
        <v>2034</v>
      </c>
      <c r="B72" s="39">
        <v>0</v>
      </c>
      <c r="C72" s="39">
        <f>$B$2*(TabularOutputs!H90)/(TabularOutputs!C90+TabularOutputs!D90+TabularOutputs!H90+TabularOutputs!T90)*(1+TechnicalInputs!$D$2)^(CollectionCosts!A72-CollectionCosts!$A$52)</f>
        <v>1688549.6897473305</v>
      </c>
      <c r="D72" s="39"/>
      <c r="E72" s="39"/>
      <c r="F72" s="39">
        <f t="shared" si="18"/>
        <v>1688549.6897473305</v>
      </c>
      <c r="H72" s="3">
        <f t="shared" si="25"/>
        <v>2034</v>
      </c>
      <c r="I72" s="39">
        <v>0</v>
      </c>
      <c r="J72" s="39">
        <f>SUM(EconomicInputs!D28:H28)*CollectionCosts!$B$11*(1+TechnicalInputs!$D$2)^(CollectionCosts!H72-CollectionCosts!$H$52)</f>
        <v>1647653.9707840288</v>
      </c>
      <c r="K72" s="39">
        <f>$B$6*$B$9*(1+TechnicalInputs!$D$2)^(CollectionCosts!H72-CollectionCosts!$AC$22)</f>
        <v>4043999.4670430585</v>
      </c>
      <c r="L72" s="39"/>
      <c r="M72" s="39">
        <f t="shared" si="19"/>
        <v>5691653.437827087</v>
      </c>
      <c r="O72" s="3">
        <f t="shared" si="26"/>
        <v>2034</v>
      </c>
      <c r="P72" s="39">
        <v>0</v>
      </c>
      <c r="Q72" s="39">
        <f>AL42*EconomicInputs!F28/(EconomicInputs!F28+EconomicInputs!E28)</f>
        <v>22958.155801690998</v>
      </c>
      <c r="R72" s="39">
        <f>AM42*EconomicInputs!F28/(EconomicInputs!F28+EconomicInputs!E28)</f>
        <v>6262.363688463297</v>
      </c>
      <c r="S72" s="39">
        <v>0</v>
      </c>
      <c r="T72" s="39">
        <f t="shared" si="20"/>
        <v>29220.519490154296</v>
      </c>
      <c r="V72" s="3">
        <f t="shared" si="27"/>
        <v>2034</v>
      </c>
      <c r="W72" s="39">
        <f>TabularOutputs!K90*TechnicalInputs!$D$12</f>
        <v>0</v>
      </c>
      <c r="X72" s="39">
        <f>TabularOutputs!K90/$B$3</f>
        <v>0</v>
      </c>
      <c r="Y72" s="39"/>
      <c r="Z72" s="39"/>
      <c r="AA72" s="39">
        <f t="shared" si="21"/>
        <v>0</v>
      </c>
      <c r="AC72" s="3">
        <f t="shared" si="28"/>
        <v>2034</v>
      </c>
      <c r="AD72" s="39">
        <v>0</v>
      </c>
      <c r="AE72" s="39">
        <f>TabularOutputs!L90/$B$3</f>
        <v>0</v>
      </c>
      <c r="AF72" s="39">
        <v>0</v>
      </c>
      <c r="AG72" s="39"/>
      <c r="AH72" s="39">
        <f t="shared" si="22"/>
        <v>0</v>
      </c>
      <c r="AJ72" s="3">
        <f t="shared" si="29"/>
        <v>2034</v>
      </c>
      <c r="AK72" s="39">
        <v>0</v>
      </c>
      <c r="AL72" s="39">
        <v>0</v>
      </c>
      <c r="AM72" s="39">
        <v>0</v>
      </c>
      <c r="AN72" s="39">
        <v>0</v>
      </c>
      <c r="AO72" s="39">
        <f t="shared" si="23"/>
        <v>0</v>
      </c>
    </row>
    <row r="73" spans="1:41">
      <c r="A73" s="3">
        <f t="shared" si="24"/>
        <v>2035</v>
      </c>
      <c r="B73" s="39">
        <v>0</v>
      </c>
      <c r="C73" s="39">
        <f>$B$2*(TabularOutputs!H91)/(TabularOutputs!C91+TabularOutputs!D91+TabularOutputs!H91+TabularOutputs!T91)*(1+TechnicalInputs!$D$2)^(CollectionCosts!A73-CollectionCosts!$A$52)</f>
        <v>1711732.111338824</v>
      </c>
      <c r="D73" s="39"/>
      <c r="E73" s="39"/>
      <c r="F73" s="39">
        <f t="shared" si="18"/>
        <v>1711732.111338824</v>
      </c>
      <c r="H73" s="3">
        <f t="shared" si="25"/>
        <v>2035</v>
      </c>
      <c r="I73" s="39">
        <v>0</v>
      </c>
      <c r="J73" s="39">
        <f>SUM(EconomicInputs!D29:H29)*CollectionCosts!$B$11*(1+TechnicalInputs!$D$2)^(CollectionCosts!H73-CollectionCosts!$H$52)</f>
        <v>1705563.7413820464</v>
      </c>
      <c r="K73" s="39">
        <f>$B$6*$B$9*(1+TechnicalInputs!$D$2)^(CollectionCosts!H73-CollectionCosts!$AC$22)</f>
        <v>4145099.4537191344</v>
      </c>
      <c r="L73" s="39"/>
      <c r="M73" s="39">
        <f t="shared" si="19"/>
        <v>5850663.195101181</v>
      </c>
      <c r="O73" s="3">
        <f t="shared" si="26"/>
        <v>2035</v>
      </c>
      <c r="P73" s="39">
        <v>0</v>
      </c>
      <c r="Q73" s="39">
        <f>AL43*EconomicInputs!F29/(EconomicInputs!F29+EconomicInputs!E29)</f>
        <v>25466.187722413884</v>
      </c>
      <c r="R73" s="39">
        <f>AM43*EconomicInputs!F29/(EconomicInputs!F29+EconomicInputs!E29)</f>
        <v>6877.7098344037586</v>
      </c>
      <c r="S73" s="39">
        <v>0</v>
      </c>
      <c r="T73" s="39">
        <f t="shared" si="20"/>
        <v>32343.897556817643</v>
      </c>
      <c r="V73" s="3">
        <f t="shared" si="27"/>
        <v>2035</v>
      </c>
      <c r="W73" s="39">
        <f>TabularOutputs!K91*TechnicalInputs!$D$12</f>
        <v>0</v>
      </c>
      <c r="X73" s="39">
        <f>TabularOutputs!K91/$B$3</f>
        <v>0</v>
      </c>
      <c r="Y73" s="39"/>
      <c r="Z73" s="39"/>
      <c r="AA73" s="39">
        <f t="shared" si="21"/>
        <v>0</v>
      </c>
      <c r="AC73" s="3">
        <f t="shared" si="28"/>
        <v>2035</v>
      </c>
      <c r="AD73" s="39">
        <v>0</v>
      </c>
      <c r="AE73" s="39">
        <f>TabularOutputs!L91/$B$3</f>
        <v>0</v>
      </c>
      <c r="AF73" s="39">
        <v>0</v>
      </c>
      <c r="AG73" s="39"/>
      <c r="AH73" s="39">
        <f t="shared" si="22"/>
        <v>0</v>
      </c>
      <c r="AJ73" s="3">
        <f t="shared" si="29"/>
        <v>2035</v>
      </c>
      <c r="AK73" s="39">
        <v>0</v>
      </c>
      <c r="AL73" s="39">
        <v>0</v>
      </c>
      <c r="AM73" s="39">
        <v>0</v>
      </c>
      <c r="AN73" s="39">
        <v>0</v>
      </c>
      <c r="AO73" s="39">
        <f t="shared" si="23"/>
        <v>0</v>
      </c>
    </row>
    <row r="74" spans="1:41">
      <c r="AH74" s="69"/>
      <c r="AO74" s="69"/>
    </row>
    <row r="75" spans="1:41">
      <c r="A75" s="263" t="s">
        <v>363</v>
      </c>
      <c r="B75" s="263"/>
      <c r="C75" s="263"/>
      <c r="D75" s="263"/>
      <c r="E75" s="263"/>
      <c r="F75" s="263"/>
      <c r="H75" s="263" t="s">
        <v>362</v>
      </c>
      <c r="I75" s="263"/>
      <c r="J75" s="263"/>
      <c r="K75" s="263"/>
      <c r="L75" s="263"/>
      <c r="M75" s="263"/>
      <c r="O75" s="263" t="s">
        <v>176</v>
      </c>
      <c r="P75" s="263"/>
      <c r="Q75" s="263"/>
      <c r="R75" s="263"/>
      <c r="S75" s="263"/>
      <c r="T75" s="263"/>
      <c r="V75" s="263" t="s">
        <v>177</v>
      </c>
      <c r="W75" s="263"/>
      <c r="X75" s="263"/>
      <c r="Y75" s="263"/>
      <c r="Z75" s="263"/>
      <c r="AA75" s="263"/>
      <c r="AC75" s="263" t="s">
        <v>160</v>
      </c>
      <c r="AD75" s="263"/>
      <c r="AE75" s="263"/>
      <c r="AF75" s="263"/>
      <c r="AG75" s="263"/>
      <c r="AH75" s="263"/>
      <c r="AJ75" s="263" t="s">
        <v>178</v>
      </c>
      <c r="AK75" s="263"/>
      <c r="AL75" s="263"/>
      <c r="AM75" s="263"/>
      <c r="AN75" s="263"/>
      <c r="AO75" s="263"/>
    </row>
    <row r="76" spans="1:41">
      <c r="A76" s="223" t="s">
        <v>71</v>
      </c>
      <c r="B76" s="223" t="s">
        <v>164</v>
      </c>
      <c r="C76" s="223"/>
      <c r="D76" s="223" t="s">
        <v>163</v>
      </c>
      <c r="E76" s="223" t="s">
        <v>165</v>
      </c>
      <c r="F76" s="223" t="s">
        <v>141</v>
      </c>
      <c r="H76" s="223" t="s">
        <v>71</v>
      </c>
      <c r="I76" s="223" t="s">
        <v>164</v>
      </c>
      <c r="J76" s="223"/>
      <c r="K76" s="223" t="s">
        <v>163</v>
      </c>
      <c r="L76" s="223" t="s">
        <v>165</v>
      </c>
      <c r="M76" s="223" t="s">
        <v>141</v>
      </c>
      <c r="O76" s="223" t="s">
        <v>71</v>
      </c>
      <c r="P76" s="223" t="s">
        <v>164</v>
      </c>
      <c r="Q76" s="223"/>
      <c r="R76" s="223" t="s">
        <v>163</v>
      </c>
      <c r="S76" s="223" t="s">
        <v>165</v>
      </c>
      <c r="T76" s="223" t="s">
        <v>141</v>
      </c>
      <c r="V76" s="223" t="s">
        <v>71</v>
      </c>
      <c r="W76" s="223" t="s">
        <v>164</v>
      </c>
      <c r="X76" s="223"/>
      <c r="Y76" s="223" t="s">
        <v>163</v>
      </c>
      <c r="Z76" s="223" t="s">
        <v>165</v>
      </c>
      <c r="AA76" s="223" t="s">
        <v>141</v>
      </c>
      <c r="AC76" s="223" t="s">
        <v>71</v>
      </c>
      <c r="AD76" s="223" t="s">
        <v>164</v>
      </c>
      <c r="AE76" s="223"/>
      <c r="AF76" s="223" t="s">
        <v>163</v>
      </c>
      <c r="AG76" s="223" t="s">
        <v>165</v>
      </c>
      <c r="AH76" s="264" t="s">
        <v>141</v>
      </c>
      <c r="AJ76" s="223" t="s">
        <v>71</v>
      </c>
      <c r="AK76" s="223" t="s">
        <v>164</v>
      </c>
      <c r="AL76" s="223"/>
      <c r="AM76" s="223" t="s">
        <v>163</v>
      </c>
      <c r="AN76" s="223"/>
      <c r="AO76" s="264" t="s">
        <v>141</v>
      </c>
    </row>
    <row r="77" spans="1:41">
      <c r="A77" s="223"/>
      <c r="B77" s="66" t="s">
        <v>166</v>
      </c>
      <c r="C77" s="66" t="s">
        <v>167</v>
      </c>
      <c r="D77" s="223"/>
      <c r="E77" s="223"/>
      <c r="F77" s="223"/>
      <c r="H77" s="223"/>
      <c r="I77" s="66" t="s">
        <v>166</v>
      </c>
      <c r="J77" s="66" t="s">
        <v>167</v>
      </c>
      <c r="K77" s="223"/>
      <c r="L77" s="223"/>
      <c r="M77" s="223"/>
      <c r="O77" s="223"/>
      <c r="P77" s="66" t="s">
        <v>166</v>
      </c>
      <c r="Q77" s="66" t="s">
        <v>167</v>
      </c>
      <c r="R77" s="223"/>
      <c r="S77" s="223"/>
      <c r="T77" s="223"/>
      <c r="V77" s="223"/>
      <c r="W77" s="66" t="s">
        <v>166</v>
      </c>
      <c r="X77" s="66" t="s">
        <v>167</v>
      </c>
      <c r="Y77" s="223"/>
      <c r="Z77" s="223"/>
      <c r="AA77" s="223"/>
      <c r="AC77" s="223"/>
      <c r="AD77" s="66" t="s">
        <v>166</v>
      </c>
      <c r="AE77" s="66" t="s">
        <v>167</v>
      </c>
      <c r="AF77" s="223"/>
      <c r="AG77" s="223"/>
      <c r="AH77" s="265"/>
      <c r="AJ77" s="223"/>
      <c r="AK77" s="66" t="s">
        <v>166</v>
      </c>
      <c r="AL77" s="66" t="s">
        <v>164</v>
      </c>
      <c r="AM77" s="223"/>
      <c r="AN77" s="223"/>
      <c r="AO77" s="265"/>
    </row>
    <row r="78" spans="1:41">
      <c r="A78" s="3">
        <v>2010</v>
      </c>
      <c r="B78" s="39">
        <v>0</v>
      </c>
      <c r="C78" s="39">
        <v>0</v>
      </c>
      <c r="D78" s="39">
        <v>0</v>
      </c>
      <c r="E78" s="39">
        <f>TransactionCosts!EC31</f>
        <v>0</v>
      </c>
      <c r="F78" s="39">
        <f>SUM(B78:E78)</f>
        <v>0</v>
      </c>
      <c r="H78" s="3">
        <v>2010</v>
      </c>
      <c r="I78" s="39">
        <f>TabularOutputs!Q66*TechnicalInputs!$D$7</f>
        <v>0</v>
      </c>
      <c r="J78" s="39">
        <v>0</v>
      </c>
      <c r="K78" s="39">
        <v>0</v>
      </c>
      <c r="L78" s="39">
        <v>0</v>
      </c>
      <c r="M78" s="39">
        <f>SUM(I78:L78)</f>
        <v>0</v>
      </c>
      <c r="O78" s="3">
        <v>2010</v>
      </c>
      <c r="P78" s="39">
        <f>TabularOutputs!R66*TechnicalInputs!$D$8</f>
        <v>0</v>
      </c>
      <c r="Q78" s="39">
        <v>0</v>
      </c>
      <c r="R78" s="39">
        <v>0</v>
      </c>
      <c r="S78" s="39">
        <v>0</v>
      </c>
      <c r="T78" s="39">
        <f>SUM(P78:S78)</f>
        <v>0</v>
      </c>
      <c r="V78" s="3">
        <v>2010</v>
      </c>
      <c r="W78" s="39">
        <f>TabularOutputs!S66*TechnicalInputs!$D$9</f>
        <v>0</v>
      </c>
      <c r="X78" s="39">
        <v>0</v>
      </c>
      <c r="Y78" s="39">
        <v>0</v>
      </c>
      <c r="Z78" s="39">
        <v>0</v>
      </c>
      <c r="AA78" s="39">
        <f>SUM(W78:Z78)</f>
        <v>0</v>
      </c>
      <c r="AC78" s="3">
        <v>2010</v>
      </c>
      <c r="AD78" s="39">
        <v>0</v>
      </c>
      <c r="AE78" s="39">
        <f>5542700*(TabularOutputs!T66)/(TabularOutputs!C66+TabularOutputs!D66+TabularOutputs!H66+TabularOutputs!T66)</f>
        <v>185821.41252249453</v>
      </c>
      <c r="AF78" s="39">
        <v>0</v>
      </c>
      <c r="AG78" s="39">
        <v>0</v>
      </c>
      <c r="AH78" s="39">
        <f>SUM(AD78:AG78)</f>
        <v>185821.41252249453</v>
      </c>
      <c r="AJ78" s="3">
        <v>2010</v>
      </c>
      <c r="AK78" s="39">
        <f>TabularOutputs!X66*TechnicalInputs!$D$12</f>
        <v>0</v>
      </c>
      <c r="AL78" s="39">
        <f>TabularOutputs!X66/$B$3</f>
        <v>0</v>
      </c>
      <c r="AM78" s="39">
        <v>0</v>
      </c>
      <c r="AN78" s="39"/>
      <c r="AO78" s="39">
        <f>SUM(AK78:AN78)</f>
        <v>0</v>
      </c>
    </row>
    <row r="79" spans="1:41">
      <c r="A79" s="3">
        <f>A78+1</f>
        <v>2011</v>
      </c>
      <c r="B79" s="39">
        <v>0</v>
      </c>
      <c r="C79" s="39">
        <v>0</v>
      </c>
      <c r="D79" s="39">
        <v>0</v>
      </c>
      <c r="E79" s="39">
        <f>TransactionCosts!EC32</f>
        <v>0</v>
      </c>
      <c r="F79" s="39">
        <f t="shared" ref="F79:F103" si="30">SUM(B79:E79)</f>
        <v>0</v>
      </c>
      <c r="H79" s="3">
        <f>H78+1</f>
        <v>2011</v>
      </c>
      <c r="I79" s="39">
        <f>TabularOutputs!Q67*TechnicalInputs!$D$7</f>
        <v>0</v>
      </c>
      <c r="J79" s="39">
        <v>0</v>
      </c>
      <c r="K79" s="39">
        <v>0</v>
      </c>
      <c r="L79" s="39">
        <v>0</v>
      </c>
      <c r="M79" s="39">
        <f t="shared" ref="M79:M103" si="31">SUM(I79:L79)</f>
        <v>0</v>
      </c>
      <c r="O79" s="3">
        <f>O78+1</f>
        <v>2011</v>
      </c>
      <c r="P79" s="39">
        <f>TabularOutputs!R67*TechnicalInputs!$D$8</f>
        <v>0</v>
      </c>
      <c r="Q79" s="39">
        <v>0</v>
      </c>
      <c r="R79" s="39">
        <v>0</v>
      </c>
      <c r="S79" s="39">
        <v>0</v>
      </c>
      <c r="T79" s="39">
        <f t="shared" ref="T79:T103" si="32">SUM(P79:S79)</f>
        <v>0</v>
      </c>
      <c r="V79" s="3">
        <f>V78+1</f>
        <v>2011</v>
      </c>
      <c r="W79" s="39">
        <f>TabularOutputs!S67*TechnicalInputs!$D$9</f>
        <v>0</v>
      </c>
      <c r="X79" s="39">
        <v>0</v>
      </c>
      <c r="Y79" s="39">
        <v>0</v>
      </c>
      <c r="Z79" s="39">
        <v>0</v>
      </c>
      <c r="AA79" s="39">
        <f t="shared" ref="AA79:AA103" si="33">SUM(W79:Z79)</f>
        <v>0</v>
      </c>
      <c r="AC79" s="3">
        <f>AC78+1</f>
        <v>2011</v>
      </c>
      <c r="AD79" s="39">
        <v>0</v>
      </c>
      <c r="AE79" s="39">
        <f>5542700*(TabularOutputs!T67)/(TabularOutputs!C67+TabularOutputs!D67+TabularOutputs!H67+TabularOutputs!T67)</f>
        <v>199321.13566642694</v>
      </c>
      <c r="AF79" s="39">
        <v>0</v>
      </c>
      <c r="AG79" s="39">
        <v>0</v>
      </c>
      <c r="AH79" s="39">
        <f t="shared" ref="AH79:AH103" si="34">SUM(AD79:AG79)</f>
        <v>199321.13566642694</v>
      </c>
      <c r="AJ79" s="3">
        <f>AJ78+1</f>
        <v>2011</v>
      </c>
      <c r="AK79" s="39">
        <f>TabularOutputs!X67*TechnicalInputs!$D$12</f>
        <v>0</v>
      </c>
      <c r="AL79" s="39">
        <f>TabularOutputs!X67/$B$3</f>
        <v>0</v>
      </c>
      <c r="AM79" s="39">
        <v>0</v>
      </c>
      <c r="AN79" s="39"/>
      <c r="AO79" s="39">
        <f t="shared" ref="AO79:AO103" si="35">SUM(AK79:AN79)</f>
        <v>0</v>
      </c>
    </row>
    <row r="80" spans="1:41">
      <c r="A80" s="3">
        <f t="shared" ref="A80:A103" si="36">A79+1</f>
        <v>2012</v>
      </c>
      <c r="B80" s="39">
        <v>0</v>
      </c>
      <c r="C80" s="39">
        <v>0</v>
      </c>
      <c r="D80" s="39">
        <v>0</v>
      </c>
      <c r="E80" s="39">
        <f>TransactionCosts!EC33</f>
        <v>0</v>
      </c>
      <c r="F80" s="39">
        <f t="shared" si="30"/>
        <v>0</v>
      </c>
      <c r="H80" s="3">
        <f t="shared" ref="H80:H103" si="37">H79+1</f>
        <v>2012</v>
      </c>
      <c r="I80" s="39">
        <f>TabularOutputs!Q68*TechnicalInputs!$D$7</f>
        <v>0</v>
      </c>
      <c r="J80" s="39">
        <v>0</v>
      </c>
      <c r="K80" s="39">
        <v>0</v>
      </c>
      <c r="L80" s="39">
        <v>0</v>
      </c>
      <c r="M80" s="39">
        <f t="shared" si="31"/>
        <v>0</v>
      </c>
      <c r="O80" s="3">
        <f t="shared" ref="O80:O103" si="38">O79+1</f>
        <v>2012</v>
      </c>
      <c r="P80" s="39">
        <f>TabularOutputs!R68*TechnicalInputs!$D$8</f>
        <v>0</v>
      </c>
      <c r="Q80" s="39">
        <v>0</v>
      </c>
      <c r="R80" s="39">
        <v>0</v>
      </c>
      <c r="S80" s="39">
        <v>0</v>
      </c>
      <c r="T80" s="39">
        <f t="shared" si="32"/>
        <v>0</v>
      </c>
      <c r="V80" s="3">
        <f t="shared" ref="V80:V103" si="39">V79+1</f>
        <v>2012</v>
      </c>
      <c r="W80" s="39">
        <f>TabularOutputs!S68*TechnicalInputs!$D$9</f>
        <v>0</v>
      </c>
      <c r="X80" s="39">
        <v>0</v>
      </c>
      <c r="Y80" s="39">
        <v>0</v>
      </c>
      <c r="Z80" s="39">
        <v>0</v>
      </c>
      <c r="AA80" s="39">
        <f t="shared" si="33"/>
        <v>0</v>
      </c>
      <c r="AC80" s="3">
        <f t="shared" ref="AC80:AC103" si="40">AC79+1</f>
        <v>2012</v>
      </c>
      <c r="AD80" s="39">
        <v>0</v>
      </c>
      <c r="AE80" s="39">
        <f>4211295*(TabularOutputs!T68)/(TabularOutputs!C68+TabularOutputs!D68+TabularOutputs!H68+TabularOutputs!T68)</f>
        <v>178409.7973648409</v>
      </c>
      <c r="AF80" s="39">
        <v>0</v>
      </c>
      <c r="AG80" s="39">
        <v>0</v>
      </c>
      <c r="AH80" s="39">
        <f t="shared" si="34"/>
        <v>178409.7973648409</v>
      </c>
      <c r="AJ80" s="3">
        <f t="shared" ref="AJ80:AJ103" si="41">AJ79+1</f>
        <v>2012</v>
      </c>
      <c r="AK80" s="39">
        <f>TabularOutputs!X68*TechnicalInputs!$D$12</f>
        <v>0</v>
      </c>
      <c r="AL80" s="39">
        <f>TabularOutputs!X68/$B$3</f>
        <v>0</v>
      </c>
      <c r="AM80" s="39">
        <v>0</v>
      </c>
      <c r="AN80" s="39"/>
      <c r="AO80" s="39">
        <f t="shared" si="35"/>
        <v>0</v>
      </c>
    </row>
    <row r="81" spans="1:41">
      <c r="A81" s="3">
        <f t="shared" si="36"/>
        <v>2013</v>
      </c>
      <c r="B81" s="39">
        <v>0</v>
      </c>
      <c r="C81" s="39">
        <v>0</v>
      </c>
      <c r="D81" s="39">
        <v>0</v>
      </c>
      <c r="E81" s="39">
        <f>TransactionCosts!EC34</f>
        <v>0</v>
      </c>
      <c r="F81" s="39">
        <f t="shared" si="30"/>
        <v>0</v>
      </c>
      <c r="H81" s="3">
        <f t="shared" si="37"/>
        <v>2013</v>
      </c>
      <c r="I81" s="39">
        <f>TabularOutputs!Q69*TechnicalInputs!$D$7</f>
        <v>0</v>
      </c>
      <c r="J81" s="39">
        <v>0</v>
      </c>
      <c r="K81" s="39">
        <v>0</v>
      </c>
      <c r="L81" s="39">
        <v>0</v>
      </c>
      <c r="M81" s="39">
        <f t="shared" si="31"/>
        <v>0</v>
      </c>
      <c r="O81" s="3">
        <f t="shared" si="38"/>
        <v>2013</v>
      </c>
      <c r="P81" s="39">
        <f>TabularOutputs!R69*TechnicalInputs!$D$8</f>
        <v>0</v>
      </c>
      <c r="Q81" s="39">
        <v>0</v>
      </c>
      <c r="R81" s="39">
        <v>0</v>
      </c>
      <c r="S81" s="39">
        <v>0</v>
      </c>
      <c r="T81" s="39">
        <f t="shared" si="32"/>
        <v>0</v>
      </c>
      <c r="V81" s="3">
        <f t="shared" si="39"/>
        <v>2013</v>
      </c>
      <c r="W81" s="39">
        <f>TabularOutputs!S69*TechnicalInputs!$D$9</f>
        <v>0</v>
      </c>
      <c r="X81" s="39">
        <v>0</v>
      </c>
      <c r="Y81" s="39">
        <v>0</v>
      </c>
      <c r="Z81" s="39">
        <v>0</v>
      </c>
      <c r="AA81" s="39">
        <f t="shared" si="33"/>
        <v>0</v>
      </c>
      <c r="AC81" s="3">
        <f t="shared" si="40"/>
        <v>2013</v>
      </c>
      <c r="AD81" s="39">
        <v>0</v>
      </c>
      <c r="AE81" s="39">
        <f>4211295*(TabularOutputs!T69)/(TabularOutputs!C69+TabularOutputs!D69+TabularOutputs!H69+TabularOutputs!T69)</f>
        <v>175483.3169112918</v>
      </c>
      <c r="AF81" s="39">
        <v>0</v>
      </c>
      <c r="AG81" s="39">
        <v>0</v>
      </c>
      <c r="AH81" s="39">
        <f t="shared" si="34"/>
        <v>175483.3169112918</v>
      </c>
      <c r="AJ81" s="3">
        <f t="shared" si="41"/>
        <v>2013</v>
      </c>
      <c r="AK81" s="39">
        <f>TabularOutputs!X69*TechnicalInputs!$D$12</f>
        <v>0</v>
      </c>
      <c r="AL81" s="39">
        <f>TabularOutputs!X69/$B$3</f>
        <v>0</v>
      </c>
      <c r="AM81" s="39">
        <v>0</v>
      </c>
      <c r="AN81" s="39"/>
      <c r="AO81" s="39">
        <f t="shared" si="35"/>
        <v>0</v>
      </c>
    </row>
    <row r="82" spans="1:41">
      <c r="A82" s="3">
        <f t="shared" si="36"/>
        <v>2014</v>
      </c>
      <c r="B82" s="39">
        <v>0</v>
      </c>
      <c r="C82" s="39">
        <v>0</v>
      </c>
      <c r="D82" s="39">
        <v>0</v>
      </c>
      <c r="E82" s="39">
        <f>TransactionCosts!EC35</f>
        <v>0</v>
      </c>
      <c r="F82" s="39">
        <f t="shared" si="30"/>
        <v>0</v>
      </c>
      <c r="H82" s="3">
        <f t="shared" si="37"/>
        <v>2014</v>
      </c>
      <c r="I82" s="39">
        <f>TabularOutputs!Q70*TechnicalInputs!$D$7</f>
        <v>0</v>
      </c>
      <c r="J82" s="39">
        <v>0</v>
      </c>
      <c r="K82" s="39">
        <v>0</v>
      </c>
      <c r="L82" s="39">
        <v>0</v>
      </c>
      <c r="M82" s="39">
        <f t="shared" si="31"/>
        <v>0</v>
      </c>
      <c r="O82" s="3">
        <f t="shared" si="38"/>
        <v>2014</v>
      </c>
      <c r="P82" s="39">
        <f>TabularOutputs!R70*TechnicalInputs!$D$8</f>
        <v>0</v>
      </c>
      <c r="Q82" s="39">
        <v>0</v>
      </c>
      <c r="R82" s="39">
        <v>0</v>
      </c>
      <c r="S82" s="39">
        <v>0</v>
      </c>
      <c r="T82" s="39">
        <f t="shared" si="32"/>
        <v>0</v>
      </c>
      <c r="V82" s="3">
        <f t="shared" si="39"/>
        <v>2014</v>
      </c>
      <c r="W82" s="39">
        <f>TabularOutputs!S70*TechnicalInputs!$D$9</f>
        <v>0</v>
      </c>
      <c r="X82" s="39">
        <v>0</v>
      </c>
      <c r="Y82" s="39">
        <v>0</v>
      </c>
      <c r="Z82" s="39">
        <v>0</v>
      </c>
      <c r="AA82" s="39">
        <f t="shared" si="33"/>
        <v>0</v>
      </c>
      <c r="AC82" s="3">
        <f t="shared" si="40"/>
        <v>2014</v>
      </c>
      <c r="AD82" s="39">
        <v>0</v>
      </c>
      <c r="AE82" s="39">
        <f>$B$2*(TabularOutputs!T70)/(TabularOutputs!C70+TabularOutputs!D70+TabularOutputs!H70+TabularOutputs!T70)</f>
        <v>230715.11811420412</v>
      </c>
      <c r="AF82" s="39">
        <v>0</v>
      </c>
      <c r="AG82" s="39">
        <v>0</v>
      </c>
      <c r="AH82" s="39">
        <f t="shared" si="34"/>
        <v>230715.11811420412</v>
      </c>
      <c r="AJ82" s="3">
        <f t="shared" si="41"/>
        <v>2014</v>
      </c>
      <c r="AK82" s="39">
        <f>TabularOutputs!X70*TechnicalInputs!$D$12</f>
        <v>0</v>
      </c>
      <c r="AL82" s="39">
        <f>TabularOutputs!X70/$B$3</f>
        <v>0</v>
      </c>
      <c r="AM82" s="39">
        <v>0</v>
      </c>
      <c r="AN82" s="39"/>
      <c r="AO82" s="39">
        <f t="shared" si="35"/>
        <v>0</v>
      </c>
    </row>
    <row r="83" spans="1:41">
      <c r="A83" s="3">
        <f t="shared" si="36"/>
        <v>2015</v>
      </c>
      <c r="B83" s="39">
        <v>0</v>
      </c>
      <c r="C83" s="39">
        <f t="array" ref="C83:C103">TRANSPOSE(TransactionCosts!CT72:DN72)</f>
        <v>0</v>
      </c>
      <c r="D83" s="39">
        <f>IF(AND(A83=PolicyInputs!$K$20,PolicyInputs!$H$20&gt;0),TechnicalInputs!$D$17,IF(AND(PolicyInputs!$H$20&gt;0,A83-PolicyInputs!$K$20=TechnicalInputs!$D$20),TechnicalInputs!$D$17*TechnicalInputs!$D$19,IF(AND(A83&gt;PolicyInputs!$K$20,PolicyInputs!$H$20&gt;0),TechnicalInputs!$D$17*TechnicalInputs!$D$18,0)))+TransactionCosts!DV36*TechnicalInputs!B111</f>
        <v>0</v>
      </c>
      <c r="E83" s="39">
        <f>TransactionCosts!EC36</f>
        <v>0</v>
      </c>
      <c r="F83" s="39">
        <f t="shared" si="30"/>
        <v>0</v>
      </c>
      <c r="H83" s="3">
        <f t="shared" si="37"/>
        <v>2015</v>
      </c>
      <c r="I83" s="39">
        <f>TabularOutputs!Q71*TechnicalInputs!$D$7</f>
        <v>0</v>
      </c>
      <c r="J83" s="39">
        <f>IF(TabularOutputs!C9&gt;0,0,($M$23/2+CollectionCosts!$B$13*(1-TechnicalInputs!B150))*(1+TechnicalInputs!$D$2)^(CollectionCosts!H83-CollectionCosts!$H$82))</f>
        <v>0</v>
      </c>
      <c r="K83" s="39">
        <v>0</v>
      </c>
      <c r="L83" s="39">
        <v>0</v>
      </c>
      <c r="M83" s="39">
        <f t="shared" si="31"/>
        <v>0</v>
      </c>
      <c r="O83" s="3">
        <f t="shared" si="38"/>
        <v>2015</v>
      </c>
      <c r="P83" s="39">
        <f>TabularOutputs!R71*TechnicalInputs!$D$8</f>
        <v>0</v>
      </c>
      <c r="Q83" s="39">
        <f>IF(TabularOutputs!C9&gt;0,0,($M$23/2+CollectionCosts!$B$13*(1-TechnicalInputs!B150))*(1+TechnicalInputs!$D$2)^(CollectionCosts!H83-CollectionCosts!$H$82))</f>
        <v>0</v>
      </c>
      <c r="R83" s="39">
        <v>0</v>
      </c>
      <c r="S83" s="39">
        <v>0</v>
      </c>
      <c r="T83" s="39">
        <f t="shared" si="32"/>
        <v>0</v>
      </c>
      <c r="V83" s="3">
        <f t="shared" si="39"/>
        <v>2015</v>
      </c>
      <c r="W83" s="39">
        <f>TabularOutputs!S71*TechnicalInputs!$D$9</f>
        <v>0</v>
      </c>
      <c r="X83" s="39">
        <f>IF(TabularOutputs!C9&gt;0,0,($M$23/2+CollectionCosts!$B$13*(1-TechnicalInputs!B150))*(1+TechnicalInputs!$D$2)^(CollectionCosts!H83-CollectionCosts!$H$82))</f>
        <v>0</v>
      </c>
      <c r="Y83" s="39">
        <v>0</v>
      </c>
      <c r="Z83" s="39">
        <v>0</v>
      </c>
      <c r="AA83" s="39">
        <f t="shared" si="33"/>
        <v>0</v>
      </c>
      <c r="AC83" s="3">
        <f t="shared" si="40"/>
        <v>2015</v>
      </c>
      <c r="AD83" s="39">
        <v>0</v>
      </c>
      <c r="AE83" s="39">
        <f>$B$2*(TabularOutputs!T71)/(TabularOutputs!C71+TabularOutputs!D71+TabularOutputs!H71+TabularOutputs!T71)*(1+TechnicalInputs!$D$2)^(CollectionCosts!AC83-CollectionCosts!$A$52)</f>
        <v>246634.78548227073</v>
      </c>
      <c r="AF83" s="39">
        <v>0</v>
      </c>
      <c r="AG83" s="39">
        <v>0</v>
      </c>
      <c r="AH83" s="39">
        <f t="shared" si="34"/>
        <v>246634.78548227073</v>
      </c>
      <c r="AJ83" s="3">
        <f t="shared" si="41"/>
        <v>2015</v>
      </c>
      <c r="AK83" s="39">
        <f>TabularOutputs!X71*TechnicalInputs!$D$12</f>
        <v>0</v>
      </c>
      <c r="AL83" s="39">
        <f>TabularOutputs!X71/$B$3</f>
        <v>0</v>
      </c>
      <c r="AM83" s="39">
        <v>0</v>
      </c>
      <c r="AN83" s="39"/>
      <c r="AO83" s="39">
        <f t="shared" si="35"/>
        <v>0</v>
      </c>
    </row>
    <row r="84" spans="1:41">
      <c r="A84" s="3">
        <f t="shared" si="36"/>
        <v>2016</v>
      </c>
      <c r="B84" s="39">
        <v>0</v>
      </c>
      <c r="C84" s="39">
        <v>0</v>
      </c>
      <c r="D84" s="39">
        <f>IF(AND(A84=PolicyInputs!$K$20,PolicyInputs!$H$20&gt;0),TechnicalInputs!$D$17,IF(AND(PolicyInputs!$H$20&gt;0,A84-PolicyInputs!$K$20=TechnicalInputs!$D$20),TechnicalInputs!$D$17*TechnicalInputs!$D$19,IF(AND(A84&gt;PolicyInputs!$K$20,PolicyInputs!$H$20&gt;0),TechnicalInputs!$D$17*TechnicalInputs!$D$18,0)))+TransactionCosts!DV37*TechnicalInputs!B112</f>
        <v>0</v>
      </c>
      <c r="E84" s="39">
        <f>TransactionCosts!EC37</f>
        <v>0</v>
      </c>
      <c r="F84" s="39">
        <f t="shared" si="30"/>
        <v>0</v>
      </c>
      <c r="H84" s="3">
        <f t="shared" si="37"/>
        <v>2016</v>
      </c>
      <c r="I84" s="39">
        <f>TabularOutputs!Q72*TechnicalInputs!$D$7</f>
        <v>0</v>
      </c>
      <c r="J84" s="39">
        <f>IF(TabularOutputs!C10&gt;0,0,($M$23/2+CollectionCosts!$B$13*(1-TechnicalInputs!B151))*(1+TechnicalInputs!$D$2)^(CollectionCosts!H84-CollectionCosts!$H$82))</f>
        <v>0</v>
      </c>
      <c r="K84" s="39">
        <v>0</v>
      </c>
      <c r="L84" s="39">
        <v>0</v>
      </c>
      <c r="M84" s="39">
        <f t="shared" si="31"/>
        <v>0</v>
      </c>
      <c r="O84" s="3">
        <f t="shared" si="38"/>
        <v>2016</v>
      </c>
      <c r="P84" s="39">
        <f>TabularOutputs!R72*TechnicalInputs!$D$8</f>
        <v>0</v>
      </c>
      <c r="Q84" s="39">
        <f>IF(TabularOutputs!C10&gt;0,0,($M$23/2+CollectionCosts!$B$13*(1-TechnicalInputs!B151))*(1+TechnicalInputs!$D$2)^(CollectionCosts!H84-CollectionCosts!$H$82))</f>
        <v>0</v>
      </c>
      <c r="R84" s="39">
        <v>0</v>
      </c>
      <c r="S84" s="39">
        <v>0</v>
      </c>
      <c r="T84" s="39">
        <f t="shared" si="32"/>
        <v>0</v>
      </c>
      <c r="V84" s="3">
        <f t="shared" si="39"/>
        <v>2016</v>
      </c>
      <c r="W84" s="39">
        <f>TabularOutputs!S72*TechnicalInputs!$D$9</f>
        <v>0</v>
      </c>
      <c r="X84" s="39">
        <f>IF(TabularOutputs!C10&gt;0,0,($M$23/2+CollectionCosts!$B$13*(1-TechnicalInputs!B151))*(1+TechnicalInputs!$D$2)^(CollectionCosts!H84-CollectionCosts!$H$82))</f>
        <v>0</v>
      </c>
      <c r="Y84" s="39">
        <v>0</v>
      </c>
      <c r="Z84" s="39">
        <v>0</v>
      </c>
      <c r="AA84" s="39">
        <f t="shared" si="33"/>
        <v>0</v>
      </c>
      <c r="AC84" s="3">
        <f t="shared" si="40"/>
        <v>2016</v>
      </c>
      <c r="AD84" s="39">
        <v>0</v>
      </c>
      <c r="AE84" s="39">
        <f>$B$2*(TabularOutputs!T72)/(TabularOutputs!C72+TabularOutputs!D72+TabularOutputs!H72+TabularOutputs!T72)*(1+TechnicalInputs!$D$2)^(CollectionCosts!AC84-CollectionCosts!$A$52)</f>
        <v>259031.01788132539</v>
      </c>
      <c r="AF84" s="39">
        <v>0</v>
      </c>
      <c r="AG84" s="39">
        <v>0</v>
      </c>
      <c r="AH84" s="39">
        <f t="shared" si="34"/>
        <v>259031.01788132539</v>
      </c>
      <c r="AJ84" s="3">
        <f t="shared" si="41"/>
        <v>2016</v>
      </c>
      <c r="AK84" s="39">
        <f>TabularOutputs!X72*TechnicalInputs!$D$12</f>
        <v>0</v>
      </c>
      <c r="AL84" s="39">
        <f>TabularOutputs!X72/$B$3</f>
        <v>0</v>
      </c>
      <c r="AM84" s="39">
        <v>0</v>
      </c>
      <c r="AN84" s="39"/>
      <c r="AO84" s="39">
        <f t="shared" si="35"/>
        <v>0</v>
      </c>
    </row>
    <row r="85" spans="1:41">
      <c r="A85" s="3">
        <f t="shared" si="36"/>
        <v>2017</v>
      </c>
      <c r="B85" s="39">
        <v>0</v>
      </c>
      <c r="C85" s="39">
        <v>0</v>
      </c>
      <c r="D85" s="39">
        <f>IF(AND(A85=PolicyInputs!$K$20,PolicyInputs!$H$20&gt;0),TechnicalInputs!$D$17,IF(AND(PolicyInputs!$H$20&gt;0,A85-PolicyInputs!$K$20=TechnicalInputs!$D$20),TechnicalInputs!$D$17*TechnicalInputs!$D$19,IF(AND(A85&gt;PolicyInputs!$K$20,PolicyInputs!$H$20&gt;0),TechnicalInputs!$D$17*TechnicalInputs!$D$18,0)))+TransactionCosts!DV38*TechnicalInputs!B113</f>
        <v>0</v>
      </c>
      <c r="E85" s="39">
        <f>TransactionCosts!EC38</f>
        <v>0</v>
      </c>
      <c r="F85" s="39">
        <f t="shared" si="30"/>
        <v>0</v>
      </c>
      <c r="H85" s="3">
        <f t="shared" si="37"/>
        <v>2017</v>
      </c>
      <c r="I85" s="39">
        <f>TabularOutputs!Q73*TechnicalInputs!$D$7</f>
        <v>0</v>
      </c>
      <c r="J85" s="39">
        <f>IF(TabularOutputs!C11&gt;0,0,($M$23/2+CollectionCosts!$B$13*(1-TechnicalInputs!B152))*(1+TechnicalInputs!$D$2)^(CollectionCosts!H85-CollectionCosts!$H$82))</f>
        <v>0</v>
      </c>
      <c r="K85" s="39">
        <v>0</v>
      </c>
      <c r="L85" s="39">
        <v>0</v>
      </c>
      <c r="M85" s="39">
        <f t="shared" si="31"/>
        <v>0</v>
      </c>
      <c r="O85" s="3">
        <f t="shared" si="38"/>
        <v>2017</v>
      </c>
      <c r="P85" s="39">
        <f>TabularOutputs!R73*TechnicalInputs!$D$8</f>
        <v>0</v>
      </c>
      <c r="Q85" s="39">
        <f>IF(TabularOutputs!C11&gt;0,0,($M$23/2+CollectionCosts!$B$13*(1-TechnicalInputs!B152))*(1+TechnicalInputs!$D$2)^(CollectionCosts!H85-CollectionCosts!$H$82))</f>
        <v>0</v>
      </c>
      <c r="R85" s="39">
        <v>0</v>
      </c>
      <c r="S85" s="39">
        <v>0</v>
      </c>
      <c r="T85" s="39">
        <f t="shared" si="32"/>
        <v>0</v>
      </c>
      <c r="V85" s="3">
        <f t="shared" si="39"/>
        <v>2017</v>
      </c>
      <c r="W85" s="39">
        <f>TabularOutputs!S73*TechnicalInputs!$D$9</f>
        <v>0</v>
      </c>
      <c r="X85" s="39">
        <f>IF(TabularOutputs!C11&gt;0,0,($M$23/2+CollectionCosts!$B$13*(1-TechnicalInputs!B152))*(1+TechnicalInputs!$D$2)^(CollectionCosts!H85-CollectionCosts!$H$82))</f>
        <v>0</v>
      </c>
      <c r="Y85" s="39">
        <v>0</v>
      </c>
      <c r="Z85" s="39">
        <v>0</v>
      </c>
      <c r="AA85" s="39">
        <f t="shared" si="33"/>
        <v>0</v>
      </c>
      <c r="AC85" s="3">
        <f t="shared" si="40"/>
        <v>2017</v>
      </c>
      <c r="AD85" s="39">
        <v>0</v>
      </c>
      <c r="AE85" s="39">
        <f>$B$2*(TabularOutputs!T73)/(TabularOutputs!C73+TabularOutputs!D73+TabularOutputs!H73+TabularOutputs!T73)*(1+TechnicalInputs!$D$2)^(CollectionCosts!AC85-CollectionCosts!$A$52)</f>
        <v>273720.4190553138</v>
      </c>
      <c r="AF85" s="39">
        <v>0</v>
      </c>
      <c r="AG85" s="39">
        <v>0</v>
      </c>
      <c r="AH85" s="39">
        <f t="shared" si="34"/>
        <v>273720.4190553138</v>
      </c>
      <c r="AJ85" s="3">
        <f t="shared" si="41"/>
        <v>2017</v>
      </c>
      <c r="AK85" s="39">
        <f>TabularOutputs!X73*TechnicalInputs!$D$12</f>
        <v>0</v>
      </c>
      <c r="AL85" s="39">
        <f>TabularOutputs!X73/$B$3</f>
        <v>0</v>
      </c>
      <c r="AM85" s="39">
        <v>0</v>
      </c>
      <c r="AN85" s="39"/>
      <c r="AO85" s="39">
        <f t="shared" si="35"/>
        <v>0</v>
      </c>
    </row>
    <row r="86" spans="1:41">
      <c r="A86" s="3">
        <f t="shared" si="36"/>
        <v>2018</v>
      </c>
      <c r="B86" s="39">
        <v>0</v>
      </c>
      <c r="C86" s="39">
        <v>0</v>
      </c>
      <c r="D86" s="39">
        <f>IF(AND(A86=PolicyInputs!$K$20,PolicyInputs!$H$20&gt;0),TechnicalInputs!$D$17,IF(AND(PolicyInputs!$H$20&gt;0,A86-PolicyInputs!$K$20=TechnicalInputs!$D$20),TechnicalInputs!$D$17*TechnicalInputs!$D$19,IF(AND(A86&gt;PolicyInputs!$K$20,PolicyInputs!$H$20&gt;0),TechnicalInputs!$D$17*TechnicalInputs!$D$18,0)))+TransactionCosts!DV39*TechnicalInputs!B114</f>
        <v>0</v>
      </c>
      <c r="E86" s="39">
        <f>TransactionCosts!EC39</f>
        <v>0</v>
      </c>
      <c r="F86" s="39">
        <f t="shared" si="30"/>
        <v>0</v>
      </c>
      <c r="H86" s="3">
        <f t="shared" si="37"/>
        <v>2018</v>
      </c>
      <c r="I86" s="39">
        <f>TabularOutputs!Q74*TechnicalInputs!$D$7</f>
        <v>0</v>
      </c>
      <c r="J86" s="39">
        <f>IF(TabularOutputs!C12&gt;0,0,($M$23/2+CollectionCosts!$B$13*(1-TechnicalInputs!B153))*(1+TechnicalInputs!$D$2)^(CollectionCosts!H86-CollectionCosts!$H$82))</f>
        <v>0</v>
      </c>
      <c r="K86" s="39">
        <v>0</v>
      </c>
      <c r="L86" s="39">
        <v>0</v>
      </c>
      <c r="M86" s="39">
        <f t="shared" si="31"/>
        <v>0</v>
      </c>
      <c r="O86" s="3">
        <f t="shared" si="38"/>
        <v>2018</v>
      </c>
      <c r="P86" s="39">
        <f>TabularOutputs!R74*TechnicalInputs!$D$8</f>
        <v>0</v>
      </c>
      <c r="Q86" s="39">
        <f>IF(TabularOutputs!C12&gt;0,0,($M$23/2+CollectionCosts!$B$13*(1-TechnicalInputs!B153))*(1+TechnicalInputs!$D$2)^(CollectionCosts!H86-CollectionCosts!$H$82))</f>
        <v>0</v>
      </c>
      <c r="R86" s="39">
        <v>0</v>
      </c>
      <c r="S86" s="39">
        <v>0</v>
      </c>
      <c r="T86" s="39">
        <f t="shared" si="32"/>
        <v>0</v>
      </c>
      <c r="V86" s="3">
        <f t="shared" si="39"/>
        <v>2018</v>
      </c>
      <c r="W86" s="39">
        <f>TabularOutputs!S74*TechnicalInputs!$D$9</f>
        <v>0</v>
      </c>
      <c r="X86" s="39">
        <f>IF(TabularOutputs!C12&gt;0,0,($M$23/2+CollectionCosts!$B$13*(1-TechnicalInputs!B153))*(1+TechnicalInputs!$D$2)^(CollectionCosts!H86-CollectionCosts!$H$82))</f>
        <v>0</v>
      </c>
      <c r="Y86" s="39">
        <v>0</v>
      </c>
      <c r="Z86" s="39">
        <v>0</v>
      </c>
      <c r="AA86" s="39">
        <f t="shared" si="33"/>
        <v>0</v>
      </c>
      <c r="AC86" s="3">
        <f t="shared" si="40"/>
        <v>2018</v>
      </c>
      <c r="AD86" s="39">
        <v>0</v>
      </c>
      <c r="AE86" s="39">
        <f>$B$2*(TabularOutputs!T74)/(TabularOutputs!C74+TabularOutputs!D74+TabularOutputs!H74+TabularOutputs!T74)*(1+TechnicalInputs!$D$2)^(CollectionCosts!AC86-CollectionCosts!$A$52)</f>
        <v>288496.64642211306</v>
      </c>
      <c r="AF86" s="39">
        <v>0</v>
      </c>
      <c r="AG86" s="39">
        <v>0</v>
      </c>
      <c r="AH86" s="39">
        <f t="shared" si="34"/>
        <v>288496.64642211306</v>
      </c>
      <c r="AJ86" s="3">
        <f t="shared" si="41"/>
        <v>2018</v>
      </c>
      <c r="AK86" s="39">
        <f>TabularOutputs!X74*TechnicalInputs!$D$12</f>
        <v>0</v>
      </c>
      <c r="AL86" s="39">
        <f>TabularOutputs!X74/$B$3</f>
        <v>0</v>
      </c>
      <c r="AM86" s="39">
        <v>0</v>
      </c>
      <c r="AN86" s="39"/>
      <c r="AO86" s="39">
        <f t="shared" si="35"/>
        <v>0</v>
      </c>
    </row>
    <row r="87" spans="1:41">
      <c r="A87" s="3">
        <f t="shared" si="36"/>
        <v>2019</v>
      </c>
      <c r="B87" s="39">
        <v>0</v>
      </c>
      <c r="C87" s="39">
        <v>0</v>
      </c>
      <c r="D87" s="39">
        <f>IF(AND(A87=PolicyInputs!$K$20,PolicyInputs!$H$20&gt;0),TechnicalInputs!$D$17,IF(AND(PolicyInputs!$H$20&gt;0,A87-PolicyInputs!$K$20=TechnicalInputs!$D$20),TechnicalInputs!$D$17*TechnicalInputs!$D$19,IF(AND(A87&gt;PolicyInputs!$K$20,PolicyInputs!$H$20&gt;0),TechnicalInputs!$D$17*TechnicalInputs!$D$18,0)))+TransactionCosts!DV40*TechnicalInputs!B115</f>
        <v>0</v>
      </c>
      <c r="E87" s="39">
        <f>TransactionCosts!EC40</f>
        <v>0</v>
      </c>
      <c r="F87" s="39">
        <f t="shared" si="30"/>
        <v>0</v>
      </c>
      <c r="H87" s="3">
        <f t="shared" si="37"/>
        <v>2019</v>
      </c>
      <c r="I87" s="39">
        <f>TabularOutputs!Q75*TechnicalInputs!$D$7</f>
        <v>0</v>
      </c>
      <c r="J87" s="39">
        <f>IF(TabularOutputs!C13&gt;0,0,($M$23/2+CollectionCosts!$B$13*(1-TechnicalInputs!B154))*(1+TechnicalInputs!$D$2)^(CollectionCosts!H87-CollectionCosts!$H$82))</f>
        <v>0</v>
      </c>
      <c r="K87" s="39">
        <v>0</v>
      </c>
      <c r="L87" s="39">
        <v>0</v>
      </c>
      <c r="M87" s="39">
        <f t="shared" si="31"/>
        <v>0</v>
      </c>
      <c r="O87" s="3">
        <f t="shared" si="38"/>
        <v>2019</v>
      </c>
      <c r="P87" s="39">
        <f>TabularOutputs!R75*TechnicalInputs!$D$8</f>
        <v>0</v>
      </c>
      <c r="Q87" s="39">
        <f>IF(TabularOutputs!C13&gt;0,0,($M$23/2+CollectionCosts!$B$13*(1-TechnicalInputs!B154))*(1+TechnicalInputs!$D$2)^(CollectionCosts!H87-CollectionCosts!$H$82))</f>
        <v>0</v>
      </c>
      <c r="R87" s="39">
        <v>0</v>
      </c>
      <c r="S87" s="39">
        <v>0</v>
      </c>
      <c r="T87" s="39">
        <f t="shared" si="32"/>
        <v>0</v>
      </c>
      <c r="V87" s="3">
        <f t="shared" si="39"/>
        <v>2019</v>
      </c>
      <c r="W87" s="39">
        <f>TabularOutputs!S75*TechnicalInputs!$D$9</f>
        <v>0</v>
      </c>
      <c r="X87" s="39">
        <f>IF(TabularOutputs!C13&gt;0,0,($M$23/2+CollectionCosts!$B$13*(1-TechnicalInputs!B154))*(1+TechnicalInputs!$D$2)^(CollectionCosts!H87-CollectionCosts!$H$82))</f>
        <v>0</v>
      </c>
      <c r="Y87" s="39">
        <v>0</v>
      </c>
      <c r="Z87" s="39">
        <v>0</v>
      </c>
      <c r="AA87" s="39">
        <f t="shared" si="33"/>
        <v>0</v>
      </c>
      <c r="AC87" s="3">
        <f t="shared" si="40"/>
        <v>2019</v>
      </c>
      <c r="AD87" s="39">
        <v>0</v>
      </c>
      <c r="AE87" s="39">
        <f>$B$2*(TabularOutputs!T75)/(TabularOutputs!C75+TabularOutputs!D75+TabularOutputs!H75+TabularOutputs!T75)*(1+TechnicalInputs!$D$2)^(CollectionCosts!AC87-CollectionCosts!$A$52)</f>
        <v>301559.02048717771</v>
      </c>
      <c r="AF87" s="39">
        <v>0</v>
      </c>
      <c r="AG87" s="39">
        <v>0</v>
      </c>
      <c r="AH87" s="39">
        <f t="shared" si="34"/>
        <v>301559.02048717771</v>
      </c>
      <c r="AJ87" s="3">
        <f t="shared" si="41"/>
        <v>2019</v>
      </c>
      <c r="AK87" s="39">
        <f>TabularOutputs!X75*TechnicalInputs!$D$12</f>
        <v>0</v>
      </c>
      <c r="AL87" s="39">
        <f>TabularOutputs!X75/$B$3</f>
        <v>0</v>
      </c>
      <c r="AM87" s="39">
        <v>0</v>
      </c>
      <c r="AN87" s="39"/>
      <c r="AO87" s="39">
        <f t="shared" si="35"/>
        <v>0</v>
      </c>
    </row>
    <row r="88" spans="1:41">
      <c r="A88" s="3">
        <f t="shared" si="36"/>
        <v>2020</v>
      </c>
      <c r="B88" s="39">
        <v>0</v>
      </c>
      <c r="C88" s="39">
        <v>0</v>
      </c>
      <c r="D88" s="39">
        <f>IF(AND(A88=PolicyInputs!$K$20,PolicyInputs!$H$20&gt;0),TechnicalInputs!$D$17,IF(AND(PolicyInputs!$H$20&gt;0,A88-PolicyInputs!$K$20=TechnicalInputs!$D$20),TechnicalInputs!$D$17*TechnicalInputs!$D$19,IF(AND(A88&gt;PolicyInputs!$K$20,PolicyInputs!$H$20&gt;0),TechnicalInputs!$D$17*TechnicalInputs!$D$18,0)))+TransactionCosts!DV41*TechnicalInputs!B116</f>
        <v>0</v>
      </c>
      <c r="E88" s="39">
        <f>TransactionCosts!EC41</f>
        <v>0</v>
      </c>
      <c r="F88" s="39">
        <f t="shared" si="30"/>
        <v>0</v>
      </c>
      <c r="H88" s="3">
        <f t="shared" si="37"/>
        <v>2020</v>
      </c>
      <c r="I88" s="39">
        <f>TabularOutputs!Q76*TechnicalInputs!$D$7</f>
        <v>0</v>
      </c>
      <c r="J88" s="39">
        <f>IF(TabularOutputs!C14&gt;0,0,($M$23/2+CollectionCosts!$B$13*(1-TechnicalInputs!B155))*(1+TechnicalInputs!$D$2)^(CollectionCosts!H88-CollectionCosts!$H$82))</f>
        <v>0</v>
      </c>
      <c r="K88" s="39">
        <v>0</v>
      </c>
      <c r="L88" s="39">
        <v>0</v>
      </c>
      <c r="M88" s="39">
        <f t="shared" si="31"/>
        <v>0</v>
      </c>
      <c r="O88" s="3">
        <f t="shared" si="38"/>
        <v>2020</v>
      </c>
      <c r="P88" s="39">
        <f>TabularOutputs!R76*TechnicalInputs!$D$8</f>
        <v>0</v>
      </c>
      <c r="Q88" s="39">
        <f>IF(TabularOutputs!C14&gt;0,0,($M$23/2+CollectionCosts!$B$13*(1-TechnicalInputs!B155))*(1+TechnicalInputs!$D$2)^(CollectionCosts!H88-CollectionCosts!$H$82))</f>
        <v>0</v>
      </c>
      <c r="R88" s="39">
        <v>0</v>
      </c>
      <c r="S88" s="39">
        <v>0</v>
      </c>
      <c r="T88" s="39">
        <f t="shared" si="32"/>
        <v>0</v>
      </c>
      <c r="V88" s="3">
        <f t="shared" si="39"/>
        <v>2020</v>
      </c>
      <c r="W88" s="39">
        <f>TabularOutputs!S76*TechnicalInputs!$D$9</f>
        <v>0</v>
      </c>
      <c r="X88" s="39">
        <f>IF(TabularOutputs!C14&gt;0,0,($M$23/2+CollectionCosts!$B$13*(1-TechnicalInputs!B155))*(1+TechnicalInputs!$D$2)^(CollectionCosts!H88-CollectionCosts!$H$82))</f>
        <v>0</v>
      </c>
      <c r="Y88" s="39">
        <v>0</v>
      </c>
      <c r="Z88" s="39">
        <v>0</v>
      </c>
      <c r="AA88" s="39">
        <f t="shared" si="33"/>
        <v>0</v>
      </c>
      <c r="AC88" s="3">
        <f t="shared" si="40"/>
        <v>2020</v>
      </c>
      <c r="AD88" s="39">
        <v>0</v>
      </c>
      <c r="AE88" s="39">
        <f>$B$2*(TabularOutputs!T76)/(TabularOutputs!C76+TabularOutputs!D76+TabularOutputs!H76+TabularOutputs!T76)*(1+TechnicalInputs!$D$2)^(CollectionCosts!AC88-CollectionCosts!$A$52)</f>
        <v>314105.67570679326</v>
      </c>
      <c r="AF88" s="39">
        <v>0</v>
      </c>
      <c r="AG88" s="39">
        <v>0</v>
      </c>
      <c r="AH88" s="39">
        <f t="shared" si="34"/>
        <v>314105.67570679326</v>
      </c>
      <c r="AJ88" s="3">
        <f t="shared" si="41"/>
        <v>2020</v>
      </c>
      <c r="AK88" s="39">
        <f>TabularOutputs!X76*TechnicalInputs!$D$12</f>
        <v>0</v>
      </c>
      <c r="AL88" s="39">
        <f>TabularOutputs!X76/$B$3</f>
        <v>0</v>
      </c>
      <c r="AM88" s="39">
        <v>0</v>
      </c>
      <c r="AN88" s="39"/>
      <c r="AO88" s="39">
        <f t="shared" si="35"/>
        <v>0</v>
      </c>
    </row>
    <row r="89" spans="1:41">
      <c r="A89" s="3">
        <f t="shared" si="36"/>
        <v>2021</v>
      </c>
      <c r="B89" s="39">
        <v>0</v>
      </c>
      <c r="C89" s="39">
        <v>0</v>
      </c>
      <c r="D89" s="39">
        <f>IF(AND(A89=PolicyInputs!$K$20,PolicyInputs!$H$20&gt;0),TechnicalInputs!$D$17,IF(AND(PolicyInputs!$H$20&gt;0,A89-PolicyInputs!$K$20=TechnicalInputs!$D$20),TechnicalInputs!$D$17*TechnicalInputs!$D$19,IF(AND(A89&gt;PolicyInputs!$K$20,PolicyInputs!$H$20&gt;0),TechnicalInputs!$D$17*TechnicalInputs!$D$18,0)))+TransactionCosts!DV42*TechnicalInputs!B117</f>
        <v>0</v>
      </c>
      <c r="E89" s="39">
        <f>TransactionCosts!EC42</f>
        <v>0</v>
      </c>
      <c r="F89" s="39">
        <f t="shared" si="30"/>
        <v>0</v>
      </c>
      <c r="H89" s="3">
        <f t="shared" si="37"/>
        <v>2021</v>
      </c>
      <c r="I89" s="39">
        <f>TabularOutputs!Q77*TechnicalInputs!$D$7</f>
        <v>0</v>
      </c>
      <c r="J89" s="39">
        <f>IF(TabularOutputs!C15&gt;0,0,($M$23/2+CollectionCosts!$B$13*(1-TechnicalInputs!B156))*(1+TechnicalInputs!$D$2)^(CollectionCosts!H89-CollectionCosts!$H$82))</f>
        <v>0</v>
      </c>
      <c r="K89" s="39">
        <v>0</v>
      </c>
      <c r="L89" s="39">
        <v>0</v>
      </c>
      <c r="M89" s="39">
        <f t="shared" si="31"/>
        <v>0</v>
      </c>
      <c r="O89" s="3">
        <f t="shared" si="38"/>
        <v>2021</v>
      </c>
      <c r="P89" s="39">
        <f>TabularOutputs!R77*TechnicalInputs!$D$8</f>
        <v>0</v>
      </c>
      <c r="Q89" s="39">
        <f>IF(TabularOutputs!C15&gt;0,0,($M$23/2+CollectionCosts!$B$13*(1-TechnicalInputs!B156))*(1+TechnicalInputs!$D$2)^(CollectionCosts!H89-CollectionCosts!$H$82))</f>
        <v>0</v>
      </c>
      <c r="R89" s="39">
        <v>0</v>
      </c>
      <c r="S89" s="39">
        <v>0</v>
      </c>
      <c r="T89" s="39">
        <f t="shared" si="32"/>
        <v>0</v>
      </c>
      <c r="V89" s="3">
        <f t="shared" si="39"/>
        <v>2021</v>
      </c>
      <c r="W89" s="39">
        <f>TabularOutputs!S77*TechnicalInputs!$D$9</f>
        <v>0</v>
      </c>
      <c r="X89" s="39">
        <f>IF(TabularOutputs!C15&gt;0,0,($M$23/2+CollectionCosts!$B$13*(1-TechnicalInputs!B156))*(1+TechnicalInputs!$D$2)^(CollectionCosts!H89-CollectionCosts!$H$82))</f>
        <v>0</v>
      </c>
      <c r="Y89" s="39">
        <v>0</v>
      </c>
      <c r="Z89" s="39">
        <v>0</v>
      </c>
      <c r="AA89" s="39">
        <f t="shared" si="33"/>
        <v>0</v>
      </c>
      <c r="AC89" s="3">
        <f t="shared" si="40"/>
        <v>2021</v>
      </c>
      <c r="AD89" s="39">
        <v>0</v>
      </c>
      <c r="AE89" s="39">
        <f>$B$2*(TabularOutputs!T77)/(TabularOutputs!C77+TabularOutputs!D77+TabularOutputs!H77+TabularOutputs!T77)*(1+TechnicalInputs!$D$2)^(CollectionCosts!AC89-CollectionCosts!$A$52)</f>
        <v>326134.4181262636</v>
      </c>
      <c r="AF89" s="39">
        <v>0</v>
      </c>
      <c r="AG89" s="39">
        <v>0</v>
      </c>
      <c r="AH89" s="39">
        <f t="shared" si="34"/>
        <v>326134.4181262636</v>
      </c>
      <c r="AJ89" s="3">
        <f t="shared" si="41"/>
        <v>2021</v>
      </c>
      <c r="AK89" s="39">
        <f>TabularOutputs!X77*TechnicalInputs!$D$12</f>
        <v>0</v>
      </c>
      <c r="AL89" s="39">
        <f>TabularOutputs!X77/$B$3</f>
        <v>0</v>
      </c>
      <c r="AM89" s="39">
        <v>0</v>
      </c>
      <c r="AN89" s="39"/>
      <c r="AO89" s="39">
        <f t="shared" si="35"/>
        <v>0</v>
      </c>
    </row>
    <row r="90" spans="1:41">
      <c r="A90" s="3">
        <f t="shared" si="36"/>
        <v>2022</v>
      </c>
      <c r="B90" s="39">
        <v>0</v>
      </c>
      <c r="C90" s="39">
        <v>0</v>
      </c>
      <c r="D90" s="39">
        <f>IF(AND(A90=PolicyInputs!$K$20,PolicyInputs!$H$20&gt;0),TechnicalInputs!$D$17,IF(AND(PolicyInputs!$H$20&gt;0,A90-PolicyInputs!$K$20=TechnicalInputs!$D$20),TechnicalInputs!$D$17*TechnicalInputs!$D$19,IF(AND(A90&gt;PolicyInputs!$K$20,PolicyInputs!$H$20&gt;0),TechnicalInputs!$D$17*TechnicalInputs!$D$18,0)))+TransactionCosts!DV43*TechnicalInputs!B118</f>
        <v>0</v>
      </c>
      <c r="E90" s="39">
        <f>TransactionCosts!EC43</f>
        <v>0</v>
      </c>
      <c r="F90" s="39">
        <f t="shared" si="30"/>
        <v>0</v>
      </c>
      <c r="H90" s="3">
        <f t="shared" si="37"/>
        <v>2022</v>
      </c>
      <c r="I90" s="39">
        <f>TabularOutputs!Q78*TechnicalInputs!$D$7</f>
        <v>0</v>
      </c>
      <c r="J90" s="39">
        <f>IF(TabularOutputs!C16&gt;0,0,($M$23/2+CollectionCosts!$B$13*(1-TechnicalInputs!B157))*(1+TechnicalInputs!$D$2)^(CollectionCosts!H90-CollectionCosts!$H$82))</f>
        <v>0</v>
      </c>
      <c r="K90" s="39">
        <v>0</v>
      </c>
      <c r="L90" s="39">
        <v>0</v>
      </c>
      <c r="M90" s="39">
        <f t="shared" si="31"/>
        <v>0</v>
      </c>
      <c r="O90" s="3">
        <f t="shared" si="38"/>
        <v>2022</v>
      </c>
      <c r="P90" s="39">
        <f>TabularOutputs!R78*TechnicalInputs!$D$8</f>
        <v>0</v>
      </c>
      <c r="Q90" s="39">
        <f>IF(TabularOutputs!C16&gt;0,0,($M$23/2+CollectionCosts!$B$13*(1-TechnicalInputs!B157))*(1+TechnicalInputs!$D$2)^(CollectionCosts!H90-CollectionCosts!$H$82))</f>
        <v>0</v>
      </c>
      <c r="R90" s="39">
        <v>0</v>
      </c>
      <c r="S90" s="39">
        <v>0</v>
      </c>
      <c r="T90" s="39">
        <f t="shared" si="32"/>
        <v>0</v>
      </c>
      <c r="V90" s="3">
        <f t="shared" si="39"/>
        <v>2022</v>
      </c>
      <c r="W90" s="39">
        <f>TabularOutputs!S78*TechnicalInputs!$D$9</f>
        <v>0</v>
      </c>
      <c r="X90" s="39">
        <f>IF(TabularOutputs!C16&gt;0,0,($M$23/2+CollectionCosts!$B$13*(1-TechnicalInputs!B157))*(1+TechnicalInputs!$D$2)^(CollectionCosts!H90-CollectionCosts!$H$82))</f>
        <v>0</v>
      </c>
      <c r="Y90" s="39">
        <v>0</v>
      </c>
      <c r="Z90" s="39">
        <v>0</v>
      </c>
      <c r="AA90" s="39">
        <f t="shared" si="33"/>
        <v>0</v>
      </c>
      <c r="AC90" s="3">
        <f t="shared" si="40"/>
        <v>2022</v>
      </c>
      <c r="AD90" s="39">
        <v>0</v>
      </c>
      <c r="AE90" s="39">
        <f>$B$2*(TabularOutputs!T78)/(TabularOutputs!C78+TabularOutputs!D78+TabularOutputs!H78+TabularOutputs!T78)*(1+TechnicalInputs!$D$2)^(CollectionCosts!AC90-CollectionCosts!$A$52)</f>
        <v>337695.10037049535</v>
      </c>
      <c r="AF90" s="39">
        <v>0</v>
      </c>
      <c r="AG90" s="39">
        <v>0</v>
      </c>
      <c r="AH90" s="39">
        <f t="shared" si="34"/>
        <v>337695.10037049535</v>
      </c>
      <c r="AJ90" s="3">
        <f t="shared" si="41"/>
        <v>2022</v>
      </c>
      <c r="AK90" s="39">
        <f>TabularOutputs!X78*TechnicalInputs!$D$12</f>
        <v>0</v>
      </c>
      <c r="AL90" s="39">
        <f>TabularOutputs!X78/$B$3</f>
        <v>0</v>
      </c>
      <c r="AM90" s="39">
        <v>0</v>
      </c>
      <c r="AN90" s="39"/>
      <c r="AO90" s="39">
        <f t="shared" si="35"/>
        <v>0</v>
      </c>
    </row>
    <row r="91" spans="1:41">
      <c r="A91" s="3">
        <f t="shared" si="36"/>
        <v>2023</v>
      </c>
      <c r="B91" s="39">
        <v>0</v>
      </c>
      <c r="C91" s="39">
        <v>0</v>
      </c>
      <c r="D91" s="39">
        <f>IF(AND(A91=PolicyInputs!$K$20,PolicyInputs!$H$20&gt;0),TechnicalInputs!$D$17,IF(AND(PolicyInputs!$H$20&gt;0,A91-PolicyInputs!$K$20=TechnicalInputs!$D$20),TechnicalInputs!$D$17*TechnicalInputs!$D$19,IF(AND(A91&gt;PolicyInputs!$K$20,PolicyInputs!$H$20&gt;0),TechnicalInputs!$D$17*TechnicalInputs!$D$18,0)))+TransactionCosts!DV44*TechnicalInputs!B119</f>
        <v>0</v>
      </c>
      <c r="E91" s="39">
        <f>TransactionCosts!EC44</f>
        <v>0</v>
      </c>
      <c r="F91" s="39">
        <f t="shared" si="30"/>
        <v>0</v>
      </c>
      <c r="H91" s="3">
        <f t="shared" si="37"/>
        <v>2023</v>
      </c>
      <c r="I91" s="39">
        <f>TabularOutputs!Q79*TechnicalInputs!$D$7</f>
        <v>0</v>
      </c>
      <c r="J91" s="39">
        <f>IF(TabularOutputs!C17&gt;0,0,($M$23/2+CollectionCosts!$B$13*(1-TechnicalInputs!B158))*(1+TechnicalInputs!$D$2)^(CollectionCosts!H91-CollectionCosts!$H$82))</f>
        <v>0</v>
      </c>
      <c r="K91" s="39">
        <v>0</v>
      </c>
      <c r="L91" s="39">
        <v>0</v>
      </c>
      <c r="M91" s="39">
        <f t="shared" si="31"/>
        <v>0</v>
      </c>
      <c r="O91" s="3">
        <f t="shared" si="38"/>
        <v>2023</v>
      </c>
      <c r="P91" s="39">
        <f>TabularOutputs!R79*TechnicalInputs!$D$8</f>
        <v>0</v>
      </c>
      <c r="Q91" s="39">
        <f>IF(TabularOutputs!C17&gt;0,0,($M$23/2+CollectionCosts!$B$13*(1-TechnicalInputs!B158))*(1+TechnicalInputs!$D$2)^(CollectionCosts!H91-CollectionCosts!$H$82))</f>
        <v>0</v>
      </c>
      <c r="R91" s="39">
        <v>0</v>
      </c>
      <c r="S91" s="39">
        <v>0</v>
      </c>
      <c r="T91" s="39">
        <f t="shared" si="32"/>
        <v>0</v>
      </c>
      <c r="V91" s="3">
        <f t="shared" si="39"/>
        <v>2023</v>
      </c>
      <c r="W91" s="39">
        <f>TabularOutputs!S79*TechnicalInputs!$D$9</f>
        <v>0</v>
      </c>
      <c r="X91" s="39">
        <f>IF(TabularOutputs!C17&gt;0,0,($M$23/2+CollectionCosts!$B$13*(1-TechnicalInputs!B158))*(1+TechnicalInputs!$D$2)^(CollectionCosts!H91-CollectionCosts!$H$82))</f>
        <v>0</v>
      </c>
      <c r="Y91" s="39">
        <v>0</v>
      </c>
      <c r="Z91" s="39">
        <v>0</v>
      </c>
      <c r="AA91" s="39">
        <f t="shared" si="33"/>
        <v>0</v>
      </c>
      <c r="AC91" s="3">
        <f t="shared" si="40"/>
        <v>2023</v>
      </c>
      <c r="AD91" s="39">
        <v>0</v>
      </c>
      <c r="AE91" s="39">
        <f>$B$2*(TabularOutputs!T79)/(TabularOutputs!C79+TabularOutputs!D79+TabularOutputs!H79+TabularOutputs!T79)*(1+TechnicalInputs!$D$2)^(CollectionCosts!AC91-CollectionCosts!$A$52)</f>
        <v>348817.25448287878</v>
      </c>
      <c r="AF91" s="39">
        <v>0</v>
      </c>
      <c r="AG91" s="39">
        <v>0</v>
      </c>
      <c r="AH91" s="39">
        <f t="shared" si="34"/>
        <v>348817.25448287878</v>
      </c>
      <c r="AJ91" s="3">
        <f t="shared" si="41"/>
        <v>2023</v>
      </c>
      <c r="AK91" s="39">
        <f>TabularOutputs!X79*TechnicalInputs!$D$12</f>
        <v>0</v>
      </c>
      <c r="AL91" s="39">
        <f>TabularOutputs!X79/$B$3</f>
        <v>0</v>
      </c>
      <c r="AM91" s="39">
        <v>0</v>
      </c>
      <c r="AN91" s="39"/>
      <c r="AO91" s="39">
        <f t="shared" si="35"/>
        <v>0</v>
      </c>
    </row>
    <row r="92" spans="1:41">
      <c r="A92" s="3">
        <f t="shared" si="36"/>
        <v>2024</v>
      </c>
      <c r="B92" s="39">
        <v>0</v>
      </c>
      <c r="C92" s="39">
        <v>0</v>
      </c>
      <c r="D92" s="39">
        <f>IF(AND(A92=PolicyInputs!$K$20,PolicyInputs!$H$20&gt;0),TechnicalInputs!$D$17,IF(AND(PolicyInputs!$H$20&gt;0,A92-PolicyInputs!$K$20=TechnicalInputs!$D$20),TechnicalInputs!$D$17*TechnicalInputs!$D$19,IF(AND(A92&gt;PolicyInputs!$K$20,PolicyInputs!$H$20&gt;0),TechnicalInputs!$D$17*TechnicalInputs!$D$18,0)))+TransactionCosts!DV45*TechnicalInputs!B120</f>
        <v>0</v>
      </c>
      <c r="E92" s="39">
        <f>TransactionCosts!EC45</f>
        <v>0</v>
      </c>
      <c r="F92" s="39">
        <f t="shared" si="30"/>
        <v>0</v>
      </c>
      <c r="H92" s="3">
        <f t="shared" si="37"/>
        <v>2024</v>
      </c>
      <c r="I92" s="39">
        <f>TabularOutputs!Q80*TechnicalInputs!$D$7</f>
        <v>0</v>
      </c>
      <c r="J92" s="39">
        <f>IF(TabularOutputs!C18&gt;0,0,($M$23/2+CollectionCosts!$B$13*(1-TechnicalInputs!B159))*(1+TechnicalInputs!$D$2)^(CollectionCosts!H92-CollectionCosts!$H$82))</f>
        <v>0</v>
      </c>
      <c r="K92" s="39">
        <v>0</v>
      </c>
      <c r="L92" s="39">
        <v>0</v>
      </c>
      <c r="M92" s="39">
        <f t="shared" si="31"/>
        <v>0</v>
      </c>
      <c r="O92" s="3">
        <f t="shared" si="38"/>
        <v>2024</v>
      </c>
      <c r="P92" s="39">
        <f>TabularOutputs!R80*TechnicalInputs!$D$8</f>
        <v>0</v>
      </c>
      <c r="Q92" s="39">
        <f>IF(TabularOutputs!C18&gt;0,0,($M$23/2+CollectionCosts!$B$13*(1-TechnicalInputs!B159))*(1+TechnicalInputs!$D$2)^(CollectionCosts!H92-CollectionCosts!$H$82))</f>
        <v>0</v>
      </c>
      <c r="R92" s="39">
        <v>0</v>
      </c>
      <c r="S92" s="39">
        <v>0</v>
      </c>
      <c r="T92" s="39">
        <f t="shared" si="32"/>
        <v>0</v>
      </c>
      <c r="V92" s="3">
        <f t="shared" si="39"/>
        <v>2024</v>
      </c>
      <c r="W92" s="39">
        <f>TabularOutputs!S80*TechnicalInputs!$D$9</f>
        <v>0</v>
      </c>
      <c r="X92" s="39">
        <f>IF(TabularOutputs!C18&gt;0,0,($M$23/2+CollectionCosts!$B$13*(1-TechnicalInputs!B159))*(1+TechnicalInputs!$D$2)^(CollectionCosts!H92-CollectionCosts!$H$82))</f>
        <v>0</v>
      </c>
      <c r="Y92" s="39">
        <v>0</v>
      </c>
      <c r="Z92" s="39">
        <v>0</v>
      </c>
      <c r="AA92" s="39">
        <f t="shared" si="33"/>
        <v>0</v>
      </c>
      <c r="AC92" s="3">
        <f t="shared" si="40"/>
        <v>2024</v>
      </c>
      <c r="AD92" s="39">
        <v>0</v>
      </c>
      <c r="AE92" s="39">
        <f>$B$2*(TabularOutputs!T80)/(TabularOutputs!C80+TabularOutputs!D80+TabularOutputs!H80+TabularOutputs!T80)*(1+TechnicalInputs!$D$2)^(CollectionCosts!AC92-CollectionCosts!$A$52)</f>
        <v>359574.06140530494</v>
      </c>
      <c r="AF92" s="39">
        <v>0</v>
      </c>
      <c r="AG92" s="39">
        <v>0</v>
      </c>
      <c r="AH92" s="39">
        <f t="shared" si="34"/>
        <v>359574.06140530494</v>
      </c>
      <c r="AJ92" s="3">
        <f t="shared" si="41"/>
        <v>2024</v>
      </c>
      <c r="AK92" s="39">
        <f>TabularOutputs!X80*TechnicalInputs!$D$12</f>
        <v>0</v>
      </c>
      <c r="AL92" s="39">
        <f>TabularOutputs!X80/$B$3</f>
        <v>0</v>
      </c>
      <c r="AM92" s="39">
        <v>0</v>
      </c>
      <c r="AN92" s="39"/>
      <c r="AO92" s="39">
        <f t="shared" si="35"/>
        <v>0</v>
      </c>
    </row>
    <row r="93" spans="1:41">
      <c r="A93" s="3">
        <f t="shared" si="36"/>
        <v>2025</v>
      </c>
      <c r="B93" s="39">
        <v>0</v>
      </c>
      <c r="C93" s="39">
        <v>0</v>
      </c>
      <c r="D93" s="39">
        <f>IF(AND(A93=PolicyInputs!$K$20,PolicyInputs!$H$20&gt;0),TechnicalInputs!$D$17,IF(AND(PolicyInputs!$H$20&gt;0,A93-PolicyInputs!$K$20=TechnicalInputs!$D$20),TechnicalInputs!$D$17*TechnicalInputs!$D$19,IF(AND(A93&gt;PolicyInputs!$K$20,PolicyInputs!$H$20&gt;0),TechnicalInputs!$D$17*TechnicalInputs!$D$18,0)))+TransactionCosts!DV46*TechnicalInputs!B121</f>
        <v>0</v>
      </c>
      <c r="E93" s="39">
        <f>TransactionCosts!EC46</f>
        <v>0</v>
      </c>
      <c r="F93" s="39">
        <f t="shared" si="30"/>
        <v>0</v>
      </c>
      <c r="H93" s="3">
        <f t="shared" si="37"/>
        <v>2025</v>
      </c>
      <c r="I93" s="39">
        <f>TabularOutputs!Q81*TechnicalInputs!$D$7</f>
        <v>0</v>
      </c>
      <c r="J93" s="39">
        <f>IF(TabularOutputs!C19&gt;0,0,($M$23/2+CollectionCosts!$B$13*(1-TechnicalInputs!B160))*(1+TechnicalInputs!$D$2)^(CollectionCosts!H93-CollectionCosts!$H$82))</f>
        <v>0</v>
      </c>
      <c r="K93" s="39">
        <v>0</v>
      </c>
      <c r="L93" s="39">
        <v>0</v>
      </c>
      <c r="M93" s="39">
        <f t="shared" si="31"/>
        <v>0</v>
      </c>
      <c r="O93" s="3">
        <f t="shared" si="38"/>
        <v>2025</v>
      </c>
      <c r="P93" s="39">
        <f>TabularOutputs!R81*TechnicalInputs!$D$8</f>
        <v>0</v>
      </c>
      <c r="Q93" s="39">
        <f>IF(TabularOutputs!C19&gt;0,0,($M$23/2+CollectionCosts!$B$13*(1-TechnicalInputs!B160))*(1+TechnicalInputs!$D$2)^(CollectionCosts!H93-CollectionCosts!$H$82))</f>
        <v>0</v>
      </c>
      <c r="R93" s="39">
        <v>0</v>
      </c>
      <c r="S93" s="39">
        <v>0</v>
      </c>
      <c r="T93" s="39">
        <f t="shared" si="32"/>
        <v>0</v>
      </c>
      <c r="V93" s="3">
        <f t="shared" si="39"/>
        <v>2025</v>
      </c>
      <c r="W93" s="39">
        <f>TabularOutputs!S81*TechnicalInputs!$D$9</f>
        <v>0</v>
      </c>
      <c r="X93" s="39">
        <f>IF(TabularOutputs!C19&gt;0,0,($M$23/2+CollectionCosts!$B$13*(1-TechnicalInputs!B160))*(1+TechnicalInputs!$D$2)^(CollectionCosts!H93-CollectionCosts!$H$82))</f>
        <v>0</v>
      </c>
      <c r="Y93" s="39">
        <v>0</v>
      </c>
      <c r="Z93" s="39">
        <v>0</v>
      </c>
      <c r="AA93" s="39">
        <f t="shared" si="33"/>
        <v>0</v>
      </c>
      <c r="AC93" s="3">
        <f t="shared" si="40"/>
        <v>2025</v>
      </c>
      <c r="AD93" s="39">
        <v>0</v>
      </c>
      <c r="AE93" s="39">
        <f>$B$2*(TabularOutputs!T81)/(TabularOutputs!C81+TabularOutputs!D81+TabularOutputs!H81+TabularOutputs!T81)*(1+TechnicalInputs!$D$2)^(CollectionCosts!AC93-CollectionCosts!$A$52)</f>
        <v>370056.68803699245</v>
      </c>
      <c r="AF93" s="39">
        <v>0</v>
      </c>
      <c r="AG93" s="39">
        <v>0</v>
      </c>
      <c r="AH93" s="39">
        <f t="shared" si="34"/>
        <v>370056.68803699245</v>
      </c>
      <c r="AJ93" s="3">
        <f t="shared" si="41"/>
        <v>2025</v>
      </c>
      <c r="AK93" s="39">
        <f>TabularOutputs!X81*TechnicalInputs!$D$12</f>
        <v>0</v>
      </c>
      <c r="AL93" s="39">
        <f>TabularOutputs!X81/$B$3</f>
        <v>0</v>
      </c>
      <c r="AM93" s="39">
        <v>0</v>
      </c>
      <c r="AN93" s="39"/>
      <c r="AO93" s="39">
        <f t="shared" si="35"/>
        <v>0</v>
      </c>
    </row>
    <row r="94" spans="1:41">
      <c r="A94" s="3">
        <f t="shared" si="36"/>
        <v>2026</v>
      </c>
      <c r="B94" s="39">
        <v>0</v>
      </c>
      <c r="C94" s="39">
        <v>0</v>
      </c>
      <c r="D94" s="39">
        <f>IF(AND(A94=PolicyInputs!$K$20,PolicyInputs!$H$20&gt;0),TechnicalInputs!$D$17,IF(AND(PolicyInputs!$H$20&gt;0,A94-PolicyInputs!$K$20=TechnicalInputs!$D$20),TechnicalInputs!$D$17*TechnicalInputs!$D$19,IF(AND(A94&gt;PolicyInputs!$K$20,PolicyInputs!$H$20&gt;0),TechnicalInputs!$D$17*TechnicalInputs!$D$18,0)))+TransactionCosts!DV47*TechnicalInputs!B122</f>
        <v>0</v>
      </c>
      <c r="E94" s="39">
        <f>TransactionCosts!EC47</f>
        <v>0</v>
      </c>
      <c r="F94" s="39">
        <f t="shared" si="30"/>
        <v>0</v>
      </c>
      <c r="H94" s="3">
        <f t="shared" si="37"/>
        <v>2026</v>
      </c>
      <c r="I94" s="39">
        <f>TabularOutputs!Q82*TechnicalInputs!$D$7</f>
        <v>0</v>
      </c>
      <c r="J94" s="39">
        <f>IF(TabularOutputs!C20&gt;0,0,($M$23/2+CollectionCosts!$B$13*(1-TechnicalInputs!B161))*(1+TechnicalInputs!$D$2)^(CollectionCosts!H94-CollectionCosts!$H$82))</f>
        <v>0</v>
      </c>
      <c r="K94" s="39">
        <v>0</v>
      </c>
      <c r="L94" s="39">
        <v>0</v>
      </c>
      <c r="M94" s="39">
        <f t="shared" si="31"/>
        <v>0</v>
      </c>
      <c r="O94" s="3">
        <f t="shared" si="38"/>
        <v>2026</v>
      </c>
      <c r="P94" s="39">
        <f>TabularOutputs!R82*TechnicalInputs!$D$8</f>
        <v>0</v>
      </c>
      <c r="Q94" s="39">
        <f>IF(TabularOutputs!C20&gt;0,0,($M$23/2+CollectionCosts!$B$13*(1-TechnicalInputs!B161))*(1+TechnicalInputs!$D$2)^(CollectionCosts!H94-CollectionCosts!$H$82))</f>
        <v>0</v>
      </c>
      <c r="R94" s="39">
        <v>0</v>
      </c>
      <c r="S94" s="39">
        <v>0</v>
      </c>
      <c r="T94" s="39">
        <f t="shared" si="32"/>
        <v>0</v>
      </c>
      <c r="V94" s="3">
        <f t="shared" si="39"/>
        <v>2026</v>
      </c>
      <c r="W94" s="39">
        <f>TabularOutputs!S82*TechnicalInputs!$D$9</f>
        <v>0</v>
      </c>
      <c r="X94" s="39">
        <f>IF(TabularOutputs!C20&gt;0,0,($M$23/2+CollectionCosts!$B$13*(1-TechnicalInputs!B161))*(1+TechnicalInputs!$D$2)^(CollectionCosts!H94-CollectionCosts!$H$82))</f>
        <v>0</v>
      </c>
      <c r="Y94" s="39">
        <v>0</v>
      </c>
      <c r="Z94" s="39">
        <v>0</v>
      </c>
      <c r="AA94" s="39">
        <f t="shared" si="33"/>
        <v>0</v>
      </c>
      <c r="AC94" s="3">
        <f t="shared" si="40"/>
        <v>2026</v>
      </c>
      <c r="AD94" s="39">
        <v>0</v>
      </c>
      <c r="AE94" s="39">
        <f>$B$2*(TabularOutputs!T82)/(TabularOutputs!C82+TabularOutputs!D82+TabularOutputs!H82+TabularOutputs!T82)*(1+TechnicalInputs!$D$2)^(CollectionCosts!AC94-CollectionCosts!$A$52)</f>
        <v>380351.64234011085</v>
      </c>
      <c r="AF94" s="39">
        <v>0</v>
      </c>
      <c r="AG94" s="39">
        <v>0</v>
      </c>
      <c r="AH94" s="39">
        <f t="shared" si="34"/>
        <v>380351.64234011085</v>
      </c>
      <c r="AJ94" s="3">
        <f t="shared" si="41"/>
        <v>2026</v>
      </c>
      <c r="AK94" s="39">
        <f>TabularOutputs!X82*TechnicalInputs!$D$12</f>
        <v>0</v>
      </c>
      <c r="AL94" s="39">
        <f>TabularOutputs!X82/$B$3</f>
        <v>0</v>
      </c>
      <c r="AM94" s="39">
        <v>0</v>
      </c>
      <c r="AN94" s="39"/>
      <c r="AO94" s="39">
        <f t="shared" si="35"/>
        <v>0</v>
      </c>
    </row>
    <row r="95" spans="1:41">
      <c r="A95" s="3">
        <f t="shared" si="36"/>
        <v>2027</v>
      </c>
      <c r="B95" s="39">
        <v>0</v>
      </c>
      <c r="C95" s="39">
        <v>0</v>
      </c>
      <c r="D95" s="39">
        <f>IF(AND(A95=PolicyInputs!$K$20,PolicyInputs!$H$20&gt;0),TechnicalInputs!$D$17,IF(AND(PolicyInputs!$H$20&gt;0,A95-PolicyInputs!$K$20=TechnicalInputs!$D$20),TechnicalInputs!$D$17*TechnicalInputs!$D$19,IF(AND(A95&gt;PolicyInputs!$K$20,PolicyInputs!$H$20&gt;0),TechnicalInputs!$D$17*TechnicalInputs!$D$18,0)))+TransactionCosts!DV48*TechnicalInputs!B123</f>
        <v>0</v>
      </c>
      <c r="E95" s="39">
        <f>TransactionCosts!EC48</f>
        <v>0</v>
      </c>
      <c r="F95" s="39">
        <f t="shared" si="30"/>
        <v>0</v>
      </c>
      <c r="H95" s="3">
        <f t="shared" si="37"/>
        <v>2027</v>
      </c>
      <c r="I95" s="39">
        <f>TabularOutputs!Q83*TechnicalInputs!$D$7</f>
        <v>0</v>
      </c>
      <c r="J95" s="39">
        <f>IF(TabularOutputs!C21&gt;0,0,($M$23/2+CollectionCosts!$B$13*(1-TechnicalInputs!B162))*(1+TechnicalInputs!$D$2)^(CollectionCosts!H95-CollectionCosts!$H$82))</f>
        <v>0</v>
      </c>
      <c r="K95" s="39">
        <v>0</v>
      </c>
      <c r="L95" s="39">
        <v>0</v>
      </c>
      <c r="M95" s="39">
        <f t="shared" si="31"/>
        <v>0</v>
      </c>
      <c r="O95" s="3">
        <f t="shared" si="38"/>
        <v>2027</v>
      </c>
      <c r="P95" s="39">
        <f>TabularOutputs!R83*TechnicalInputs!$D$8</f>
        <v>0</v>
      </c>
      <c r="Q95" s="39">
        <f>IF(TabularOutputs!C21&gt;0,0,($M$23/2+CollectionCosts!$B$13*(1-TechnicalInputs!B162))*(1+TechnicalInputs!$D$2)^(CollectionCosts!H95-CollectionCosts!$H$82))</f>
        <v>0</v>
      </c>
      <c r="R95" s="39">
        <v>0</v>
      </c>
      <c r="S95" s="39">
        <v>0</v>
      </c>
      <c r="T95" s="39">
        <f t="shared" si="32"/>
        <v>0</v>
      </c>
      <c r="V95" s="3">
        <f t="shared" si="39"/>
        <v>2027</v>
      </c>
      <c r="W95" s="39">
        <f>TabularOutputs!S83*TechnicalInputs!$D$9</f>
        <v>0</v>
      </c>
      <c r="X95" s="39">
        <f>IF(TabularOutputs!C21&gt;0,0,($M$23/2+CollectionCosts!$B$13*(1-TechnicalInputs!B162))*(1+TechnicalInputs!$D$2)^(CollectionCosts!H95-CollectionCosts!$H$82))</f>
        <v>0</v>
      </c>
      <c r="Y95" s="39">
        <v>0</v>
      </c>
      <c r="Z95" s="39">
        <v>0</v>
      </c>
      <c r="AA95" s="39">
        <f t="shared" si="33"/>
        <v>0</v>
      </c>
      <c r="AC95" s="3">
        <f t="shared" si="40"/>
        <v>2027</v>
      </c>
      <c r="AD95" s="39">
        <v>0</v>
      </c>
      <c r="AE95" s="39">
        <f>$B$2*(TabularOutputs!T83)/(TabularOutputs!C83+TabularOutputs!D83+TabularOutputs!H83+TabularOutputs!T83)*(1+TechnicalInputs!$D$2)^(CollectionCosts!AC95-CollectionCosts!$A$52)</f>
        <v>390496.18379044929</v>
      </c>
      <c r="AF95" s="39">
        <v>0</v>
      </c>
      <c r="AG95" s="39">
        <v>0</v>
      </c>
      <c r="AH95" s="39">
        <f t="shared" si="34"/>
        <v>390496.18379044929</v>
      </c>
      <c r="AJ95" s="3">
        <f t="shared" si="41"/>
        <v>2027</v>
      </c>
      <c r="AK95" s="39">
        <f>TabularOutputs!X83*TechnicalInputs!$D$12</f>
        <v>0</v>
      </c>
      <c r="AL95" s="39">
        <f>TabularOutputs!X83/$B$3</f>
        <v>0</v>
      </c>
      <c r="AM95" s="39">
        <v>0</v>
      </c>
      <c r="AN95" s="39"/>
      <c r="AO95" s="39">
        <f t="shared" si="35"/>
        <v>0</v>
      </c>
    </row>
    <row r="96" spans="1:41">
      <c r="A96" s="3">
        <f t="shared" si="36"/>
        <v>2028</v>
      </c>
      <c r="B96" s="39">
        <v>0</v>
      </c>
      <c r="C96" s="39">
        <v>0</v>
      </c>
      <c r="D96" s="39">
        <f>IF(AND(A96=PolicyInputs!$K$20,PolicyInputs!$H$20&gt;0),TechnicalInputs!$D$17,IF(AND(PolicyInputs!$H$20&gt;0,A96-PolicyInputs!$K$20=TechnicalInputs!$D$20),TechnicalInputs!$D$17*TechnicalInputs!$D$19,IF(AND(A96&gt;PolicyInputs!$K$20,PolicyInputs!$H$20&gt;0),TechnicalInputs!$D$17*TechnicalInputs!$D$18,0)))+TransactionCosts!DV49*TechnicalInputs!B124</f>
        <v>0</v>
      </c>
      <c r="E96" s="39">
        <f>TransactionCosts!EC49</f>
        <v>0</v>
      </c>
      <c r="F96" s="39">
        <f t="shared" si="30"/>
        <v>0</v>
      </c>
      <c r="H96" s="3">
        <f t="shared" si="37"/>
        <v>2028</v>
      </c>
      <c r="I96" s="39">
        <f>TabularOutputs!Q84*TechnicalInputs!$D$7</f>
        <v>0</v>
      </c>
      <c r="J96" s="39">
        <f>IF(TabularOutputs!C22&gt;0,0,($M$23/2+CollectionCosts!$B$13*(1-TechnicalInputs!B163))*(1+TechnicalInputs!$D$2)^(CollectionCosts!H96-CollectionCosts!$H$82))</f>
        <v>0</v>
      </c>
      <c r="K96" s="39">
        <v>0</v>
      </c>
      <c r="L96" s="39">
        <v>0</v>
      </c>
      <c r="M96" s="39">
        <f t="shared" si="31"/>
        <v>0</v>
      </c>
      <c r="O96" s="3">
        <f t="shared" si="38"/>
        <v>2028</v>
      </c>
      <c r="P96" s="39">
        <f>TabularOutputs!R84*TechnicalInputs!$D$8</f>
        <v>0</v>
      </c>
      <c r="Q96" s="39">
        <f>IF(TabularOutputs!C22&gt;0,0,($M$23/2+CollectionCosts!$B$13*(1-TechnicalInputs!B163))*(1+TechnicalInputs!$D$2)^(CollectionCosts!H96-CollectionCosts!$H$82))</f>
        <v>0</v>
      </c>
      <c r="R96" s="39">
        <v>0</v>
      </c>
      <c r="S96" s="39">
        <v>0</v>
      </c>
      <c r="T96" s="39">
        <f t="shared" si="32"/>
        <v>0</v>
      </c>
      <c r="V96" s="3">
        <f t="shared" si="39"/>
        <v>2028</v>
      </c>
      <c r="W96" s="39">
        <f>TabularOutputs!S84*TechnicalInputs!$D$9</f>
        <v>0</v>
      </c>
      <c r="X96" s="39">
        <f>IF(TabularOutputs!C22&gt;0,0,($M$23/2+CollectionCosts!$B$13*(1-TechnicalInputs!B163))*(1+TechnicalInputs!$D$2)^(CollectionCosts!H96-CollectionCosts!$H$82))</f>
        <v>0</v>
      </c>
      <c r="Y96" s="39">
        <v>0</v>
      </c>
      <c r="Z96" s="39">
        <v>0</v>
      </c>
      <c r="AA96" s="39">
        <f t="shared" si="33"/>
        <v>0</v>
      </c>
      <c r="AC96" s="3">
        <f t="shared" si="40"/>
        <v>2028</v>
      </c>
      <c r="AD96" s="39">
        <v>0</v>
      </c>
      <c r="AE96" s="39">
        <f>$B$2*(TabularOutputs!T84)/(TabularOutputs!C84+TabularOutputs!D84+TabularOutputs!H84+TabularOutputs!T84)*(1+TechnicalInputs!$D$2)^(CollectionCosts!AC96-CollectionCosts!$A$52)</f>
        <v>400506.74087017059</v>
      </c>
      <c r="AF96" s="39">
        <v>0</v>
      </c>
      <c r="AG96" s="39">
        <v>0</v>
      </c>
      <c r="AH96" s="39">
        <f t="shared" si="34"/>
        <v>400506.74087017059</v>
      </c>
      <c r="AJ96" s="3">
        <f t="shared" si="41"/>
        <v>2028</v>
      </c>
      <c r="AK96" s="39">
        <f>TabularOutputs!X84*TechnicalInputs!$D$12</f>
        <v>0</v>
      </c>
      <c r="AL96" s="39">
        <f>TabularOutputs!X84/$B$3</f>
        <v>0</v>
      </c>
      <c r="AM96" s="39">
        <v>0</v>
      </c>
      <c r="AN96" s="39"/>
      <c r="AO96" s="39">
        <f t="shared" si="35"/>
        <v>0</v>
      </c>
    </row>
    <row r="97" spans="1:41">
      <c r="A97" s="3">
        <f t="shared" si="36"/>
        <v>2029</v>
      </c>
      <c r="B97" s="39">
        <v>0</v>
      </c>
      <c r="C97" s="39">
        <v>0</v>
      </c>
      <c r="D97" s="39">
        <f>IF(AND(A97=PolicyInputs!$K$20,PolicyInputs!$H$20&gt;0),TechnicalInputs!$D$17,IF(AND(PolicyInputs!$H$20&gt;0,A97-PolicyInputs!$K$20=TechnicalInputs!$D$20),TechnicalInputs!$D$17*TechnicalInputs!$D$19,IF(AND(A97&gt;PolicyInputs!$K$20,PolicyInputs!$H$20&gt;0),TechnicalInputs!$D$17*TechnicalInputs!$D$18,0)))+TransactionCosts!DV50*TechnicalInputs!B125</f>
        <v>0</v>
      </c>
      <c r="E97" s="39">
        <f>TransactionCosts!EC50</f>
        <v>0</v>
      </c>
      <c r="F97" s="39">
        <f t="shared" si="30"/>
        <v>0</v>
      </c>
      <c r="H97" s="3">
        <f t="shared" si="37"/>
        <v>2029</v>
      </c>
      <c r="I97" s="39">
        <f>TabularOutputs!Q85*TechnicalInputs!$D$7</f>
        <v>0</v>
      </c>
      <c r="J97" s="39">
        <f>IF(TabularOutputs!C23&gt;0,0,($M$23/2+CollectionCosts!$B$13*(1-TechnicalInputs!B164))*(1+TechnicalInputs!$D$2)^(CollectionCosts!H97-CollectionCosts!$H$82))</f>
        <v>0</v>
      </c>
      <c r="K97" s="39">
        <v>0</v>
      </c>
      <c r="L97" s="39">
        <v>0</v>
      </c>
      <c r="M97" s="39">
        <f t="shared" si="31"/>
        <v>0</v>
      </c>
      <c r="O97" s="3">
        <f t="shared" si="38"/>
        <v>2029</v>
      </c>
      <c r="P97" s="39">
        <f>TabularOutputs!R85*TechnicalInputs!$D$8</f>
        <v>0</v>
      </c>
      <c r="Q97" s="39">
        <f>IF(TabularOutputs!C23&gt;0,0,($M$23/2+CollectionCosts!$B$13*(1-TechnicalInputs!B164))*(1+TechnicalInputs!$D$2)^(CollectionCosts!H97-CollectionCosts!$H$82))</f>
        <v>0</v>
      </c>
      <c r="R97" s="39">
        <v>0</v>
      </c>
      <c r="S97" s="39">
        <v>0</v>
      </c>
      <c r="T97" s="39">
        <f t="shared" si="32"/>
        <v>0</v>
      </c>
      <c r="V97" s="3">
        <f t="shared" si="39"/>
        <v>2029</v>
      </c>
      <c r="W97" s="39">
        <f>TabularOutputs!S85*TechnicalInputs!$D$9</f>
        <v>0</v>
      </c>
      <c r="X97" s="39">
        <f>IF(TabularOutputs!C23&gt;0,0,($M$23/2+CollectionCosts!$B$13*(1-TechnicalInputs!B164))*(1+TechnicalInputs!$D$2)^(CollectionCosts!H97-CollectionCosts!$H$82))</f>
        <v>0</v>
      </c>
      <c r="Y97" s="39">
        <v>0</v>
      </c>
      <c r="Z97" s="39">
        <v>0</v>
      </c>
      <c r="AA97" s="39">
        <f t="shared" si="33"/>
        <v>0</v>
      </c>
      <c r="AC97" s="3">
        <f t="shared" si="40"/>
        <v>2029</v>
      </c>
      <c r="AD97" s="39">
        <v>0</v>
      </c>
      <c r="AE97" s="39">
        <f>$B$2*(TabularOutputs!T85)/(TabularOutputs!C85+TabularOutputs!D85+TabularOutputs!H85+TabularOutputs!T85)*(1+TechnicalInputs!$D$2)^(CollectionCosts!AC97-CollectionCosts!$A$52)</f>
        <v>410419.28515642224</v>
      </c>
      <c r="AF97" s="39">
        <v>0</v>
      </c>
      <c r="AG97" s="39">
        <v>0</v>
      </c>
      <c r="AH97" s="39">
        <f t="shared" si="34"/>
        <v>410419.28515642224</v>
      </c>
      <c r="AJ97" s="3">
        <f t="shared" si="41"/>
        <v>2029</v>
      </c>
      <c r="AK97" s="39">
        <f>TabularOutputs!X85*TechnicalInputs!$D$12</f>
        <v>0</v>
      </c>
      <c r="AL97" s="39">
        <f>TabularOutputs!X85/$B$3</f>
        <v>0</v>
      </c>
      <c r="AM97" s="39">
        <v>0</v>
      </c>
      <c r="AN97" s="39"/>
      <c r="AO97" s="39">
        <f t="shared" si="35"/>
        <v>0</v>
      </c>
    </row>
    <row r="98" spans="1:41">
      <c r="A98" s="3">
        <f t="shared" si="36"/>
        <v>2030</v>
      </c>
      <c r="B98" s="39">
        <v>0</v>
      </c>
      <c r="C98" s="39">
        <v>0</v>
      </c>
      <c r="D98" s="39">
        <f>IF(AND(A98=PolicyInputs!$K$20,PolicyInputs!$H$20&gt;0),TechnicalInputs!$D$17,IF(AND(PolicyInputs!$H$20&gt;0,A98-PolicyInputs!$K$20=TechnicalInputs!$D$20),TechnicalInputs!$D$17*TechnicalInputs!$D$19,IF(AND(A98&gt;PolicyInputs!$K$20,PolicyInputs!$H$20&gt;0),TechnicalInputs!$D$17*TechnicalInputs!$D$18,0)))+TransactionCosts!DV51*TechnicalInputs!B126</f>
        <v>0</v>
      </c>
      <c r="E98" s="39">
        <f>TransactionCosts!EC51</f>
        <v>0</v>
      </c>
      <c r="F98" s="39">
        <f t="shared" si="30"/>
        <v>0</v>
      </c>
      <c r="H98" s="3">
        <f t="shared" si="37"/>
        <v>2030</v>
      </c>
      <c r="I98" s="39">
        <f>TabularOutputs!Q86*TechnicalInputs!$D$7</f>
        <v>0</v>
      </c>
      <c r="J98" s="39">
        <f>IF(TabularOutputs!C24&gt;0,0,($M$23/2+CollectionCosts!$B$13*(1-TechnicalInputs!B165))*(1+TechnicalInputs!$D$2)^(CollectionCosts!H98-CollectionCosts!$H$82))</f>
        <v>0</v>
      </c>
      <c r="K98" s="39">
        <v>0</v>
      </c>
      <c r="L98" s="39">
        <v>0</v>
      </c>
      <c r="M98" s="39">
        <f t="shared" si="31"/>
        <v>0</v>
      </c>
      <c r="O98" s="3">
        <f t="shared" si="38"/>
        <v>2030</v>
      </c>
      <c r="P98" s="39">
        <f>TabularOutputs!R86*TechnicalInputs!$D$8</f>
        <v>0</v>
      </c>
      <c r="Q98" s="39">
        <f>IF(TabularOutputs!C24&gt;0,0,($M$23/2+CollectionCosts!$B$13*(1-TechnicalInputs!B165))*(1+TechnicalInputs!$D$2)^(CollectionCosts!H98-CollectionCosts!$H$82))</f>
        <v>0</v>
      </c>
      <c r="R98" s="39">
        <v>0</v>
      </c>
      <c r="S98" s="39">
        <v>0</v>
      </c>
      <c r="T98" s="39">
        <f t="shared" si="32"/>
        <v>0</v>
      </c>
      <c r="V98" s="3">
        <f t="shared" si="39"/>
        <v>2030</v>
      </c>
      <c r="W98" s="39">
        <f>TabularOutputs!S86*TechnicalInputs!$D$9</f>
        <v>0</v>
      </c>
      <c r="X98" s="39">
        <f>IF(TabularOutputs!C24&gt;0,0,($M$23/2+CollectionCosts!$B$13*(1-TechnicalInputs!B165))*(1+TechnicalInputs!$D$2)^(CollectionCosts!H98-CollectionCosts!$H$82))</f>
        <v>0</v>
      </c>
      <c r="Y98" s="39">
        <v>0</v>
      </c>
      <c r="Z98" s="39">
        <v>0</v>
      </c>
      <c r="AA98" s="39">
        <f t="shared" si="33"/>
        <v>0</v>
      </c>
      <c r="AC98" s="3">
        <f t="shared" si="40"/>
        <v>2030</v>
      </c>
      <c r="AD98" s="39">
        <v>0</v>
      </c>
      <c r="AE98" s="39">
        <f>$B$2*(TabularOutputs!T86)/(TabularOutputs!C86+TabularOutputs!D86+TabularOutputs!H86+TabularOutputs!T86)*(1+TechnicalInputs!$D$2)^(CollectionCosts!AC98-CollectionCosts!$A$52)</f>
        <v>420196.24191738828</v>
      </c>
      <c r="AF98" s="39">
        <v>0</v>
      </c>
      <c r="AG98" s="39">
        <v>0</v>
      </c>
      <c r="AH98" s="39">
        <f t="shared" si="34"/>
        <v>420196.24191738828</v>
      </c>
      <c r="AJ98" s="3">
        <f t="shared" si="41"/>
        <v>2030</v>
      </c>
      <c r="AK98" s="39">
        <f>TabularOutputs!X86*TechnicalInputs!$D$12</f>
        <v>0</v>
      </c>
      <c r="AL98" s="39">
        <f>TabularOutputs!X86/$B$3</f>
        <v>0</v>
      </c>
      <c r="AM98" s="39">
        <v>0</v>
      </c>
      <c r="AN98" s="39"/>
      <c r="AO98" s="39">
        <f t="shared" si="35"/>
        <v>0</v>
      </c>
    </row>
    <row r="99" spans="1:41">
      <c r="A99" s="3">
        <f t="shared" si="36"/>
        <v>2031</v>
      </c>
      <c r="B99" s="39">
        <v>0</v>
      </c>
      <c r="C99" s="39">
        <v>0</v>
      </c>
      <c r="D99" s="39">
        <f>IF(AND(A99=PolicyInputs!$K$20,PolicyInputs!$H$20&gt;0),TechnicalInputs!$D$17,IF(AND(PolicyInputs!$H$20&gt;0,A99-PolicyInputs!$K$20=TechnicalInputs!$D$20),TechnicalInputs!$D$17*TechnicalInputs!$D$19,IF(AND(A99&gt;PolicyInputs!$K$20,PolicyInputs!$H$20&gt;0),TechnicalInputs!$D$17*TechnicalInputs!$D$18,0)))+TransactionCosts!DV52*TechnicalInputs!B127</f>
        <v>0</v>
      </c>
      <c r="E99" s="39">
        <f>TransactionCosts!EC52</f>
        <v>0</v>
      </c>
      <c r="F99" s="39">
        <f t="shared" si="30"/>
        <v>0</v>
      </c>
      <c r="H99" s="3">
        <f t="shared" si="37"/>
        <v>2031</v>
      </c>
      <c r="I99" s="39">
        <f>TabularOutputs!Q87*TechnicalInputs!$D$7</f>
        <v>0</v>
      </c>
      <c r="J99" s="39">
        <f>IF(TabularOutputs!C25&gt;0,0,($M$23/2+CollectionCosts!$B$13*(1-TechnicalInputs!B166))*(1+TechnicalInputs!$D$2)^(CollectionCosts!H99-CollectionCosts!$H$82))</f>
        <v>0</v>
      </c>
      <c r="K99" s="39">
        <v>0</v>
      </c>
      <c r="L99" s="39">
        <v>0</v>
      </c>
      <c r="M99" s="39">
        <f t="shared" si="31"/>
        <v>0</v>
      </c>
      <c r="O99" s="3">
        <f t="shared" si="38"/>
        <v>2031</v>
      </c>
      <c r="P99" s="39">
        <f>TabularOutputs!R87*TechnicalInputs!$D$8</f>
        <v>0</v>
      </c>
      <c r="Q99" s="39">
        <f>IF(TabularOutputs!C25&gt;0,0,($M$23/2+CollectionCosts!$B$13*(1-TechnicalInputs!B166))*(1+TechnicalInputs!$D$2)^(CollectionCosts!H99-CollectionCosts!$H$82))</f>
        <v>0</v>
      </c>
      <c r="R99" s="39">
        <v>0</v>
      </c>
      <c r="S99" s="39">
        <v>0</v>
      </c>
      <c r="T99" s="39">
        <f t="shared" si="32"/>
        <v>0</v>
      </c>
      <c r="V99" s="3">
        <f t="shared" si="39"/>
        <v>2031</v>
      </c>
      <c r="W99" s="39">
        <f>TabularOutputs!S87*TechnicalInputs!$D$9</f>
        <v>0</v>
      </c>
      <c r="X99" s="39">
        <f>IF(TabularOutputs!C25&gt;0,0,($M$23/2+CollectionCosts!$B$13*(1-TechnicalInputs!B166))*(1+TechnicalInputs!$D$2)^(CollectionCosts!H99-CollectionCosts!$H$82))</f>
        <v>0</v>
      </c>
      <c r="Y99" s="39">
        <v>0</v>
      </c>
      <c r="Z99" s="39">
        <v>0</v>
      </c>
      <c r="AA99" s="39">
        <f t="shared" si="33"/>
        <v>0</v>
      </c>
      <c r="AC99" s="3">
        <f t="shared" si="40"/>
        <v>2031</v>
      </c>
      <c r="AD99" s="39">
        <v>0</v>
      </c>
      <c r="AE99" s="39">
        <f>$B$2*(TabularOutputs!T87)/(TabularOutputs!C87+TabularOutputs!D87+TabularOutputs!H87+TabularOutputs!T87)*(1+TechnicalInputs!$D$2)^(CollectionCosts!AC99-CollectionCosts!$A$52)</f>
        <v>429882.51929600292</v>
      </c>
      <c r="AF99" s="39">
        <v>0</v>
      </c>
      <c r="AG99" s="39">
        <v>0</v>
      </c>
      <c r="AH99" s="39">
        <f t="shared" si="34"/>
        <v>429882.51929600292</v>
      </c>
      <c r="AJ99" s="3">
        <f t="shared" si="41"/>
        <v>2031</v>
      </c>
      <c r="AK99" s="39">
        <f>TabularOutputs!X87*TechnicalInputs!$D$12</f>
        <v>0</v>
      </c>
      <c r="AL99" s="39">
        <f>TabularOutputs!X87/$B$3</f>
        <v>0</v>
      </c>
      <c r="AM99" s="39">
        <v>0</v>
      </c>
      <c r="AN99" s="39"/>
      <c r="AO99" s="39">
        <f t="shared" si="35"/>
        <v>0</v>
      </c>
    </row>
    <row r="100" spans="1:41">
      <c r="A100" s="3">
        <f t="shared" si="36"/>
        <v>2032</v>
      </c>
      <c r="B100" s="39">
        <v>0</v>
      </c>
      <c r="C100" s="39">
        <v>0</v>
      </c>
      <c r="D100" s="39">
        <f>IF(AND(A100=PolicyInputs!$K$20,PolicyInputs!$H$20&gt;0),TechnicalInputs!$D$17,IF(AND(PolicyInputs!$H$20&gt;0,A100-PolicyInputs!$K$20=TechnicalInputs!$D$20),TechnicalInputs!$D$17*TechnicalInputs!$D$19,IF(AND(A100&gt;PolicyInputs!$K$20,PolicyInputs!$H$20&gt;0),TechnicalInputs!$D$17*TechnicalInputs!$D$18,0)))+TransactionCosts!DV53*TechnicalInputs!B128</f>
        <v>0</v>
      </c>
      <c r="E100" s="39">
        <f>TransactionCosts!EC53</f>
        <v>0</v>
      </c>
      <c r="F100" s="39">
        <f t="shared" si="30"/>
        <v>0</v>
      </c>
      <c r="H100" s="3">
        <f t="shared" si="37"/>
        <v>2032</v>
      </c>
      <c r="I100" s="39">
        <f>TabularOutputs!Q88*TechnicalInputs!$D$7</f>
        <v>0</v>
      </c>
      <c r="J100" s="39">
        <f>IF(TabularOutputs!C26&gt;0,0,($M$23/2+CollectionCosts!$B$13*(1-TechnicalInputs!B167))*(1+TechnicalInputs!$D$2)^(CollectionCosts!H100-CollectionCosts!$H$82))</f>
        <v>0</v>
      </c>
      <c r="K100" s="39">
        <v>0</v>
      </c>
      <c r="L100" s="39">
        <v>0</v>
      </c>
      <c r="M100" s="39">
        <f t="shared" si="31"/>
        <v>0</v>
      </c>
      <c r="O100" s="3">
        <f t="shared" si="38"/>
        <v>2032</v>
      </c>
      <c r="P100" s="39">
        <f>TabularOutputs!R88*TechnicalInputs!$D$8</f>
        <v>0</v>
      </c>
      <c r="Q100" s="39">
        <f>IF(TabularOutputs!C26&gt;0,0,($M$23/2+CollectionCosts!$B$13*(1-TechnicalInputs!B167))*(1+TechnicalInputs!$D$2)^(CollectionCosts!H100-CollectionCosts!$H$82))</f>
        <v>0</v>
      </c>
      <c r="R100" s="39">
        <v>0</v>
      </c>
      <c r="S100" s="39">
        <v>0</v>
      </c>
      <c r="T100" s="39">
        <f t="shared" si="32"/>
        <v>0</v>
      </c>
      <c r="V100" s="3">
        <f t="shared" si="39"/>
        <v>2032</v>
      </c>
      <c r="W100" s="39">
        <f>TabularOutputs!S88*TechnicalInputs!$D$9</f>
        <v>0</v>
      </c>
      <c r="X100" s="39">
        <f>IF(TabularOutputs!C26&gt;0,0,($M$23/2+CollectionCosts!$B$13*(1-TechnicalInputs!B167))*(1+TechnicalInputs!$D$2)^(CollectionCosts!H100-CollectionCosts!$H$82))</f>
        <v>0</v>
      </c>
      <c r="Y100" s="39">
        <v>0</v>
      </c>
      <c r="Z100" s="39">
        <v>0</v>
      </c>
      <c r="AA100" s="39">
        <f t="shared" si="33"/>
        <v>0</v>
      </c>
      <c r="AC100" s="3">
        <f t="shared" si="40"/>
        <v>2032</v>
      </c>
      <c r="AD100" s="39">
        <v>0</v>
      </c>
      <c r="AE100" s="39">
        <f>$B$2*(TabularOutputs!T88)/(TabularOutputs!C88+TabularOutputs!D88+TabularOutputs!H88+TabularOutputs!T88)*(1+TechnicalInputs!$D$2)^(CollectionCosts!AC100-CollectionCosts!$A$52)</f>
        <v>439491.23709662375</v>
      </c>
      <c r="AF100" s="39">
        <v>0</v>
      </c>
      <c r="AG100" s="39">
        <v>0</v>
      </c>
      <c r="AH100" s="39">
        <f t="shared" si="34"/>
        <v>439491.23709662375</v>
      </c>
      <c r="AJ100" s="3">
        <f t="shared" si="41"/>
        <v>2032</v>
      </c>
      <c r="AK100" s="39">
        <f>TabularOutputs!X88*TechnicalInputs!$D$12</f>
        <v>0</v>
      </c>
      <c r="AL100" s="39">
        <f>TabularOutputs!X88/$B$3</f>
        <v>0</v>
      </c>
      <c r="AM100" s="39">
        <v>0</v>
      </c>
      <c r="AN100" s="39"/>
      <c r="AO100" s="39">
        <f t="shared" si="35"/>
        <v>0</v>
      </c>
    </row>
    <row r="101" spans="1:41">
      <c r="A101" s="3">
        <f t="shared" si="36"/>
        <v>2033</v>
      </c>
      <c r="B101" s="39">
        <v>0</v>
      </c>
      <c r="C101" s="39">
        <v>0</v>
      </c>
      <c r="D101" s="39">
        <f>IF(AND(A101=PolicyInputs!$K$20,PolicyInputs!$H$20&gt;0),TechnicalInputs!$D$17,IF(AND(PolicyInputs!$H$20&gt;0,A101-PolicyInputs!$K$20=TechnicalInputs!$D$20),TechnicalInputs!$D$17*TechnicalInputs!$D$19,IF(AND(A101&gt;PolicyInputs!$K$20,PolicyInputs!$H$20&gt;0),TechnicalInputs!$D$17*TechnicalInputs!$D$18,0)))+TransactionCosts!DV54*TechnicalInputs!B129</f>
        <v>0</v>
      </c>
      <c r="E101" s="39">
        <f>TransactionCosts!EC54</f>
        <v>0</v>
      </c>
      <c r="F101" s="39">
        <f t="shared" si="30"/>
        <v>0</v>
      </c>
      <c r="H101" s="3">
        <f t="shared" si="37"/>
        <v>2033</v>
      </c>
      <c r="I101" s="39">
        <f>TabularOutputs!Q89*TechnicalInputs!$D$7</f>
        <v>0</v>
      </c>
      <c r="J101" s="39">
        <f>IF(TabularOutputs!C27&gt;0,0,($M$23/2+CollectionCosts!$B$13*(1-TechnicalInputs!B168))*(1+TechnicalInputs!$D$2)^(CollectionCosts!H101-CollectionCosts!$H$82))</f>
        <v>0</v>
      </c>
      <c r="K101" s="39">
        <v>0</v>
      </c>
      <c r="L101" s="39">
        <v>0</v>
      </c>
      <c r="M101" s="39">
        <f t="shared" si="31"/>
        <v>0</v>
      </c>
      <c r="O101" s="3">
        <f t="shared" si="38"/>
        <v>2033</v>
      </c>
      <c r="P101" s="39">
        <f>TabularOutputs!R89*TechnicalInputs!$D$8</f>
        <v>0</v>
      </c>
      <c r="Q101" s="39">
        <f>IF(TabularOutputs!C27&gt;0,0,($M$23/2+CollectionCosts!$B$13*(1-TechnicalInputs!B168))*(1+TechnicalInputs!$D$2)^(CollectionCosts!H101-CollectionCosts!$H$82))</f>
        <v>0</v>
      </c>
      <c r="R101" s="39">
        <v>0</v>
      </c>
      <c r="S101" s="39">
        <v>0</v>
      </c>
      <c r="T101" s="39">
        <f t="shared" si="32"/>
        <v>0</v>
      </c>
      <c r="V101" s="3">
        <f t="shared" si="39"/>
        <v>2033</v>
      </c>
      <c r="W101" s="39">
        <f>TabularOutputs!S89*TechnicalInputs!$D$9</f>
        <v>0</v>
      </c>
      <c r="X101" s="39">
        <f>IF(TabularOutputs!C27&gt;0,0,($M$23/2+CollectionCosts!$B$13*(1-TechnicalInputs!B168))*(1+TechnicalInputs!$D$2)^(CollectionCosts!H101-CollectionCosts!$H$82))</f>
        <v>0</v>
      </c>
      <c r="Y101" s="39">
        <v>0</v>
      </c>
      <c r="Z101" s="39">
        <v>0</v>
      </c>
      <c r="AA101" s="39">
        <f t="shared" si="33"/>
        <v>0</v>
      </c>
      <c r="AC101" s="3">
        <f t="shared" si="40"/>
        <v>2033</v>
      </c>
      <c r="AD101" s="39">
        <v>0</v>
      </c>
      <c r="AE101" s="39">
        <f>$B$2*(TabularOutputs!T89)/(TabularOutputs!C89+TabularOutputs!D89+TabularOutputs!H89+TabularOutputs!T89)*(1+TechnicalInputs!$D$2)^(CollectionCosts!AC101-CollectionCosts!$A$52)</f>
        <v>454110.83214126213</v>
      </c>
      <c r="AF101" s="39">
        <v>0</v>
      </c>
      <c r="AG101" s="39">
        <v>0</v>
      </c>
      <c r="AH101" s="39">
        <f t="shared" si="34"/>
        <v>454110.83214126213</v>
      </c>
      <c r="AJ101" s="3">
        <f t="shared" si="41"/>
        <v>2033</v>
      </c>
      <c r="AK101" s="39">
        <f>TabularOutputs!X89*TechnicalInputs!$D$12</f>
        <v>0</v>
      </c>
      <c r="AL101" s="39">
        <f>TabularOutputs!X89/$B$3</f>
        <v>0</v>
      </c>
      <c r="AM101" s="39">
        <v>0</v>
      </c>
      <c r="AN101" s="39"/>
      <c r="AO101" s="39">
        <f t="shared" si="35"/>
        <v>0</v>
      </c>
    </row>
    <row r="102" spans="1:41">
      <c r="A102" s="3">
        <f t="shared" si="36"/>
        <v>2034</v>
      </c>
      <c r="B102" s="39">
        <v>0</v>
      </c>
      <c r="C102" s="39">
        <v>0</v>
      </c>
      <c r="D102" s="39">
        <f>IF(AND(A102=PolicyInputs!$K$20,PolicyInputs!$H$20&gt;0),TechnicalInputs!$D$17,IF(AND(PolicyInputs!$H$20&gt;0,A102-PolicyInputs!$K$20=TechnicalInputs!$D$20),TechnicalInputs!$D$17*TechnicalInputs!$D$19,IF(AND(A102&gt;PolicyInputs!$K$20,PolicyInputs!$H$20&gt;0),TechnicalInputs!$D$17*TechnicalInputs!$D$18,0)))+TransactionCosts!DV55*TechnicalInputs!B130</f>
        <v>0</v>
      </c>
      <c r="E102" s="39">
        <f>TransactionCosts!EC55</f>
        <v>0</v>
      </c>
      <c r="F102" s="39">
        <f t="shared" si="30"/>
        <v>0</v>
      </c>
      <c r="H102" s="3">
        <f t="shared" si="37"/>
        <v>2034</v>
      </c>
      <c r="I102" s="39">
        <f>TabularOutputs!Q90*TechnicalInputs!$D$7</f>
        <v>0</v>
      </c>
      <c r="J102" s="39">
        <f>IF(TabularOutputs!C28&gt;0,0,($M$23/2+CollectionCosts!$B$13*(1-TechnicalInputs!B169))*(1+TechnicalInputs!$D$2)^(CollectionCosts!H102-CollectionCosts!$H$82))</f>
        <v>0</v>
      </c>
      <c r="K102" s="39">
        <v>0</v>
      </c>
      <c r="L102" s="39">
        <v>0</v>
      </c>
      <c r="M102" s="39">
        <f t="shared" si="31"/>
        <v>0</v>
      </c>
      <c r="O102" s="3">
        <f t="shared" si="38"/>
        <v>2034</v>
      </c>
      <c r="P102" s="39">
        <f>TabularOutputs!R90*TechnicalInputs!$D$8</f>
        <v>0</v>
      </c>
      <c r="Q102" s="39">
        <f>IF(TabularOutputs!C28&gt;0,0,($M$23/2+CollectionCosts!$B$13*(1-TechnicalInputs!B169))*(1+TechnicalInputs!$D$2)^(CollectionCosts!H102-CollectionCosts!$H$82))</f>
        <v>0</v>
      </c>
      <c r="R102" s="39">
        <v>0</v>
      </c>
      <c r="S102" s="39">
        <v>0</v>
      </c>
      <c r="T102" s="39">
        <f t="shared" si="32"/>
        <v>0</v>
      </c>
      <c r="V102" s="3">
        <f t="shared" si="39"/>
        <v>2034</v>
      </c>
      <c r="W102" s="39">
        <f>TabularOutputs!S90*TechnicalInputs!$D$9</f>
        <v>0</v>
      </c>
      <c r="X102" s="39">
        <f>IF(TabularOutputs!C28&gt;0,0,($M$23/2+CollectionCosts!$B$13*(1-TechnicalInputs!B169))*(1+TechnicalInputs!$D$2)^(CollectionCosts!H102-CollectionCosts!$H$82))</f>
        <v>0</v>
      </c>
      <c r="Y102" s="39">
        <v>0</v>
      </c>
      <c r="Z102" s="39">
        <v>0</v>
      </c>
      <c r="AA102" s="39">
        <f t="shared" si="33"/>
        <v>0</v>
      </c>
      <c r="AC102" s="3">
        <f t="shared" si="40"/>
        <v>2034</v>
      </c>
      <c r="AD102" s="39">
        <v>0</v>
      </c>
      <c r="AE102" s="39">
        <f>$B$2*(TabularOutputs!T90)/(TabularOutputs!C90+TabularOutputs!D90+TabularOutputs!H90+TabularOutputs!T90)*(1+TechnicalInputs!$D$2)^(CollectionCosts!AC102-CollectionCosts!$A$52)</f>
        <v>469113.60970139952</v>
      </c>
      <c r="AF102" s="39">
        <v>0</v>
      </c>
      <c r="AG102" s="39">
        <v>0</v>
      </c>
      <c r="AH102" s="39">
        <f t="shared" si="34"/>
        <v>469113.60970139952</v>
      </c>
      <c r="AJ102" s="3">
        <f t="shared" si="41"/>
        <v>2034</v>
      </c>
      <c r="AK102" s="39">
        <f>TabularOutputs!X90*TechnicalInputs!$D$12</f>
        <v>0</v>
      </c>
      <c r="AL102" s="39">
        <f>TabularOutputs!X90/$B$3</f>
        <v>0</v>
      </c>
      <c r="AM102" s="39">
        <v>0</v>
      </c>
      <c r="AN102" s="39"/>
      <c r="AO102" s="39">
        <f t="shared" si="35"/>
        <v>0</v>
      </c>
    </row>
    <row r="103" spans="1:41">
      <c r="A103" s="3">
        <f t="shared" si="36"/>
        <v>2035</v>
      </c>
      <c r="B103" s="39">
        <v>0</v>
      </c>
      <c r="C103" s="39">
        <v>0</v>
      </c>
      <c r="D103" s="39">
        <f>IF(AND(A103=PolicyInputs!$K$20,PolicyInputs!$H$20&gt;0),TechnicalInputs!$D$17,IF(AND(PolicyInputs!$H$20&gt;0,A103-PolicyInputs!$K$20=TechnicalInputs!$D$20),TechnicalInputs!$D$17*TechnicalInputs!$D$19,IF(AND(A103&gt;PolicyInputs!$K$20,PolicyInputs!$H$20&gt;0),TechnicalInputs!$D$17*TechnicalInputs!$D$18,0)))+TransactionCosts!DV56*TechnicalInputs!B131</f>
        <v>0</v>
      </c>
      <c r="E103" s="39">
        <f>TransactionCosts!EC56</f>
        <v>0</v>
      </c>
      <c r="F103" s="39">
        <f t="shared" si="30"/>
        <v>0</v>
      </c>
      <c r="H103" s="3">
        <f t="shared" si="37"/>
        <v>2035</v>
      </c>
      <c r="I103" s="39">
        <f>TabularOutputs!Q91*TechnicalInputs!$D$7</f>
        <v>0</v>
      </c>
      <c r="J103" s="39">
        <f>IF(TabularOutputs!C29&gt;0,0,($M$23/2+CollectionCosts!$B$13*(1-TechnicalInputs!B170))*(1+TechnicalInputs!$D$2)^(CollectionCosts!H103-CollectionCosts!$H$82))</f>
        <v>0</v>
      </c>
      <c r="K103" s="39">
        <v>0</v>
      </c>
      <c r="L103" s="39">
        <v>0</v>
      </c>
      <c r="M103" s="39">
        <f t="shared" si="31"/>
        <v>0</v>
      </c>
      <c r="O103" s="3">
        <f t="shared" si="38"/>
        <v>2035</v>
      </c>
      <c r="P103" s="39">
        <f>TabularOutputs!R91*TechnicalInputs!$D$8</f>
        <v>0</v>
      </c>
      <c r="Q103" s="39">
        <f>IF(TabularOutputs!C29&gt;0,0,($M$23/2+CollectionCosts!$B$13*(1-TechnicalInputs!B170))*(1+TechnicalInputs!$D$2)^(CollectionCosts!H103-CollectionCosts!$H$82))</f>
        <v>0</v>
      </c>
      <c r="R103" s="39">
        <v>0</v>
      </c>
      <c r="S103" s="39">
        <v>0</v>
      </c>
      <c r="T103" s="39">
        <f t="shared" si="32"/>
        <v>0</v>
      </c>
      <c r="V103" s="3">
        <f t="shared" si="39"/>
        <v>2035</v>
      </c>
      <c r="W103" s="39">
        <f>TabularOutputs!S91*TechnicalInputs!$D$9</f>
        <v>0</v>
      </c>
      <c r="X103" s="39">
        <f>IF(TabularOutputs!C29&gt;0,0,($M$23/2+CollectionCosts!$B$13*(1-TechnicalInputs!B170))*(1+TechnicalInputs!$D$2)^(CollectionCosts!H103-CollectionCosts!$H$82))</f>
        <v>0</v>
      </c>
      <c r="Y103" s="39">
        <v>0</v>
      </c>
      <c r="Z103" s="39">
        <v>0</v>
      </c>
      <c r="AA103" s="39">
        <f t="shared" si="33"/>
        <v>0</v>
      </c>
      <c r="AC103" s="3">
        <f t="shared" si="40"/>
        <v>2035</v>
      </c>
      <c r="AD103" s="39">
        <v>0</v>
      </c>
      <c r="AE103" s="39">
        <f>$B$2*(TabularOutputs!T91)/(TabularOutputs!C91+TabularOutputs!D91+TabularOutputs!H91+TabularOutputs!T91)*(1+TechnicalInputs!$D$2)^(CollectionCosts!AC103-CollectionCosts!$A$52)</f>
        <v>484521.90293998056</v>
      </c>
      <c r="AF103" s="39">
        <v>0</v>
      </c>
      <c r="AG103" s="39">
        <v>0</v>
      </c>
      <c r="AH103" s="39">
        <f t="shared" si="34"/>
        <v>484521.90293998056</v>
      </c>
      <c r="AJ103" s="3">
        <f t="shared" si="41"/>
        <v>2035</v>
      </c>
      <c r="AK103" s="39">
        <f>TabularOutputs!X91*TechnicalInputs!$D$12</f>
        <v>0</v>
      </c>
      <c r="AL103" s="39">
        <f>TabularOutputs!X91/$B$3</f>
        <v>0</v>
      </c>
      <c r="AM103" s="39">
        <v>0</v>
      </c>
      <c r="AN103" s="39"/>
      <c r="AO103" s="39">
        <f t="shared" si="35"/>
        <v>0</v>
      </c>
    </row>
    <row r="106" spans="1:41">
      <c r="A106" s="263" t="s">
        <v>186</v>
      </c>
      <c r="B106" s="263"/>
      <c r="C106" s="263"/>
      <c r="D106" s="263"/>
      <c r="E106" s="263"/>
      <c r="F106" s="263"/>
      <c r="H106" s="263" t="s">
        <v>187</v>
      </c>
      <c r="I106" s="263"/>
      <c r="J106" s="263"/>
      <c r="K106" s="263"/>
      <c r="L106" s="263"/>
      <c r="M106" s="263"/>
    </row>
    <row r="107" spans="1:41">
      <c r="A107" s="223" t="s">
        <v>71</v>
      </c>
      <c r="B107" s="223" t="s">
        <v>164</v>
      </c>
      <c r="C107" s="223"/>
      <c r="D107" s="223" t="s">
        <v>163</v>
      </c>
      <c r="E107" s="223"/>
      <c r="F107" s="223" t="s">
        <v>141</v>
      </c>
      <c r="H107" s="223" t="s">
        <v>71</v>
      </c>
      <c r="I107" s="223" t="s">
        <v>164</v>
      </c>
      <c r="J107" s="223"/>
      <c r="K107" s="223" t="s">
        <v>163</v>
      </c>
      <c r="L107" s="223"/>
      <c r="M107" s="223" t="s">
        <v>141</v>
      </c>
    </row>
    <row r="108" spans="1:41">
      <c r="A108" s="223"/>
      <c r="B108" s="66" t="s">
        <v>166</v>
      </c>
      <c r="C108" s="66" t="s">
        <v>164</v>
      </c>
      <c r="D108" s="223"/>
      <c r="E108" s="223"/>
      <c r="F108" s="223"/>
      <c r="H108" s="223"/>
      <c r="I108" s="66" t="s">
        <v>166</v>
      </c>
      <c r="J108" s="66" t="s">
        <v>164</v>
      </c>
      <c r="K108" s="223"/>
      <c r="L108" s="223"/>
      <c r="M108" s="223"/>
    </row>
    <row r="109" spans="1:41">
      <c r="A109" s="3">
        <v>2010</v>
      </c>
      <c r="B109" s="39">
        <f>TabularOutputs!N66*(TechnicalInputs!$D$10*TechnicalInputs!$D$13+TechnicalInputs!$D$11*TechnicalInputs!$D$14+TechnicalInputs!$D$12*TechnicalInputs!$D$15)</f>
        <v>169439.07039443997</v>
      </c>
      <c r="C109" s="39">
        <f>TabularOutputs!N66/$B$3</f>
        <v>217900.03908749999</v>
      </c>
      <c r="D109" s="39"/>
      <c r="E109" s="39"/>
      <c r="F109" s="39">
        <f>SUM(B109:E109)</f>
        <v>387339.10948193993</v>
      </c>
      <c r="H109" s="3">
        <v>2010</v>
      </c>
      <c r="I109" s="39">
        <f>TabularOutputs!O66*(TechnicalInputs!$D$10*TechnicalInputs!$D$13+TechnicalInputs!$D$11*TechnicalInputs!$D$14+TechnicalInputs!$D$12*TechnicalInputs!$D$15)</f>
        <v>0</v>
      </c>
      <c r="J109" s="39">
        <f>TabularOutputs!O66/$B$3</f>
        <v>0</v>
      </c>
      <c r="K109" s="39"/>
      <c r="L109" s="39"/>
      <c r="M109" s="39">
        <f>SUM(I109:L109)</f>
        <v>0</v>
      </c>
    </row>
    <row r="110" spans="1:41">
      <c r="A110" s="3">
        <f>A109+1</f>
        <v>2011</v>
      </c>
      <c r="B110" s="39">
        <f>TabularOutputs!N67*(TechnicalInputs!$D$10*TechnicalInputs!$D$13+TechnicalInputs!$D$11*TechnicalInputs!$D$14+TechnicalInputs!$D$12*TechnicalInputs!$D$15)</f>
        <v>182124.12249107996</v>
      </c>
      <c r="C110" s="39">
        <f>TabularOutputs!N67/$B$3</f>
        <v>234213.12048749998</v>
      </c>
      <c r="D110" s="39"/>
      <c r="E110" s="39"/>
      <c r="F110" s="39">
        <f t="shared" ref="F110:F134" si="42">SUM(B110:E110)</f>
        <v>416337.24297857995</v>
      </c>
      <c r="H110" s="3">
        <f>H109+1</f>
        <v>2011</v>
      </c>
      <c r="I110" s="39">
        <f>TabularOutputs!O67*(TechnicalInputs!$D$10*TechnicalInputs!$D$13+TechnicalInputs!$D$11*TechnicalInputs!$D$14+TechnicalInputs!$D$12*TechnicalInputs!$D$15)</f>
        <v>0</v>
      </c>
      <c r="J110" s="39">
        <f>TabularOutputs!O67/$B$3</f>
        <v>0</v>
      </c>
      <c r="K110" s="39"/>
      <c r="L110" s="39"/>
      <c r="M110" s="39">
        <f t="shared" ref="M110:M134" si="43">SUM(I110:L110)</f>
        <v>0</v>
      </c>
    </row>
    <row r="111" spans="1:41">
      <c r="A111" s="3">
        <f t="shared" ref="A111:A134" si="44">A110+1</f>
        <v>2012</v>
      </c>
      <c r="B111" s="39">
        <f>TabularOutputs!N68*(TechnicalInputs!$D$10*TechnicalInputs!$D$13+TechnicalInputs!$D$11*TechnicalInputs!$D$14+TechnicalInputs!$D$12*TechnicalInputs!$D$15)</f>
        <v>193595.51401344</v>
      </c>
      <c r="C111" s="39">
        <f>TabularOutputs!N68/$B$3</f>
        <v>248965.42439999999</v>
      </c>
      <c r="D111" s="39"/>
      <c r="E111" s="39"/>
      <c r="F111" s="39">
        <f t="shared" si="42"/>
        <v>442560.93841344002</v>
      </c>
      <c r="H111" s="3">
        <f t="shared" ref="H111:H134" si="45">H110+1</f>
        <v>2012</v>
      </c>
      <c r="I111" s="39">
        <f>TabularOutputs!O68*(TechnicalInputs!$D$10*TechnicalInputs!$D$13+TechnicalInputs!$D$11*TechnicalInputs!$D$14+TechnicalInputs!$D$12*TechnicalInputs!$D$15)</f>
        <v>0</v>
      </c>
      <c r="J111" s="39">
        <f>TabularOutputs!O68/$B$3</f>
        <v>0</v>
      </c>
      <c r="K111" s="39"/>
      <c r="L111" s="39"/>
      <c r="M111" s="39">
        <f t="shared" si="43"/>
        <v>0</v>
      </c>
    </row>
    <row r="112" spans="1:41">
      <c r="A112" s="3">
        <f t="shared" si="44"/>
        <v>2013</v>
      </c>
      <c r="B112" s="39">
        <f>TabularOutputs!N69*(TechnicalInputs!$D$10*TechnicalInputs!$D$13+TechnicalInputs!$D$11*TechnicalInputs!$D$14+TechnicalInputs!$D$12*TechnicalInputs!$D$15)</f>
        <v>201452.13567863998</v>
      </c>
      <c r="C112" s="39">
        <f>TabularOutputs!N69/$B$3</f>
        <v>259069.10452499997</v>
      </c>
      <c r="D112" s="39"/>
      <c r="E112" s="39"/>
      <c r="F112" s="39">
        <f t="shared" si="42"/>
        <v>460521.24020363996</v>
      </c>
      <c r="H112" s="3">
        <f t="shared" si="45"/>
        <v>2013</v>
      </c>
      <c r="I112" s="39">
        <f>TabularOutputs!O69*(TechnicalInputs!$D$10*TechnicalInputs!$D$13+TechnicalInputs!$D$11*TechnicalInputs!$D$14+TechnicalInputs!$D$12*TechnicalInputs!$D$15)</f>
        <v>0</v>
      </c>
      <c r="J112" s="39">
        <f>TabularOutputs!O69/$B$3</f>
        <v>0</v>
      </c>
      <c r="K112" s="39"/>
      <c r="L112" s="39"/>
      <c r="M112" s="39">
        <f t="shared" si="43"/>
        <v>0</v>
      </c>
    </row>
    <row r="113" spans="1:13">
      <c r="A113" s="3">
        <f t="shared" si="44"/>
        <v>2014</v>
      </c>
      <c r="B113" s="39">
        <f>TabularOutputs!N70*(TechnicalInputs!$D$10*TechnicalInputs!$D$13+TechnicalInputs!$D$11*TechnicalInputs!$D$14+TechnicalInputs!$D$12*TechnicalInputs!$D$15)</f>
        <v>206410.33437947999</v>
      </c>
      <c r="C113" s="39">
        <f>TabularOutputs!N70/$B$3</f>
        <v>265445.38886250003</v>
      </c>
      <c r="D113" s="39"/>
      <c r="E113" s="39"/>
      <c r="F113" s="39">
        <f t="shared" si="42"/>
        <v>471855.72324198001</v>
      </c>
      <c r="H113" s="3">
        <f t="shared" si="45"/>
        <v>2014</v>
      </c>
      <c r="I113" s="39">
        <f>TabularOutputs!O70*(TechnicalInputs!$D$10*TechnicalInputs!$D$13+TechnicalInputs!$D$11*TechnicalInputs!$D$14+TechnicalInputs!$D$12*TechnicalInputs!$D$15)</f>
        <v>0</v>
      </c>
      <c r="J113" s="39">
        <f>TabularOutputs!O70/$B$3</f>
        <v>0</v>
      </c>
      <c r="K113" s="39"/>
      <c r="L113" s="39"/>
      <c r="M113" s="39">
        <f t="shared" si="43"/>
        <v>0</v>
      </c>
    </row>
    <row r="114" spans="1:13">
      <c r="A114" s="3">
        <f t="shared" si="44"/>
        <v>2015</v>
      </c>
      <c r="B114" s="39">
        <f>TabularOutputs!N71*(TechnicalInputs!$D$10*TechnicalInputs!$D$13+TechnicalInputs!$D$11*TechnicalInputs!$D$14+TechnicalInputs!$D$12*TechnicalInputs!$D$15)</f>
        <v>213766.64710632002</v>
      </c>
      <c r="C114" s="39">
        <f>TabularOutputs!N71/$B$3</f>
        <v>274905.66757500003</v>
      </c>
      <c r="D114" s="39"/>
      <c r="E114" s="39"/>
      <c r="F114" s="39">
        <f t="shared" si="42"/>
        <v>488672.31468132004</v>
      </c>
      <c r="H114" s="3">
        <f t="shared" si="45"/>
        <v>2015</v>
      </c>
      <c r="I114" s="39">
        <f>TabularOutputs!O71*(TechnicalInputs!$D$10*TechnicalInputs!$D$13+TechnicalInputs!$D$11*TechnicalInputs!$D$14+TechnicalInputs!$D$12*TechnicalInputs!$D$15)</f>
        <v>0</v>
      </c>
      <c r="J114" s="39">
        <f>TabularOutputs!O71/$B$3</f>
        <v>0</v>
      </c>
      <c r="K114" s="39"/>
      <c r="L114" s="39"/>
      <c r="M114" s="39">
        <f t="shared" si="43"/>
        <v>0</v>
      </c>
    </row>
    <row r="115" spans="1:13">
      <c r="A115" s="3">
        <f t="shared" si="44"/>
        <v>2016</v>
      </c>
      <c r="B115" s="39">
        <f>TabularOutputs!N72*(TechnicalInputs!$D$10*TechnicalInputs!$D$13+TechnicalInputs!$D$11*TechnicalInputs!$D$14+TechnicalInputs!$D$12*TechnicalInputs!$D$15)</f>
        <v>222274.13315183998</v>
      </c>
      <c r="C115" s="39">
        <f>TabularOutputs!N72/$B$3</f>
        <v>285846.36465</v>
      </c>
      <c r="D115" s="39"/>
      <c r="E115" s="39"/>
      <c r="F115" s="39">
        <f t="shared" si="42"/>
        <v>508120.49780183996</v>
      </c>
      <c r="H115" s="3">
        <f t="shared" si="45"/>
        <v>2016</v>
      </c>
      <c r="I115" s="39">
        <f>TabularOutputs!O72*(TechnicalInputs!$D$10*TechnicalInputs!$D$13+TechnicalInputs!$D$11*TechnicalInputs!$D$14+TechnicalInputs!$D$12*TechnicalInputs!$D$15)</f>
        <v>0</v>
      </c>
      <c r="J115" s="39">
        <f>TabularOutputs!O72/$B$3</f>
        <v>0</v>
      </c>
      <c r="K115" s="39"/>
      <c r="L115" s="39"/>
      <c r="M115" s="39">
        <f t="shared" si="43"/>
        <v>0</v>
      </c>
    </row>
    <row r="116" spans="1:13">
      <c r="A116" s="3">
        <f t="shared" si="44"/>
        <v>2017</v>
      </c>
      <c r="B116" s="39">
        <f>TabularOutputs!N73*(TechnicalInputs!$D$10*TechnicalInputs!$D$13+TechnicalInputs!$D$11*TechnicalInputs!$D$14+TechnicalInputs!$D$12*TechnicalInputs!$D$15)</f>
        <v>230233.46473511998</v>
      </c>
      <c r="C116" s="39">
        <f>TabularOutputs!N73/$B$3</f>
        <v>296082.13057500002</v>
      </c>
      <c r="D116" s="39"/>
      <c r="E116" s="39"/>
      <c r="F116" s="39">
        <f t="shared" si="42"/>
        <v>526315.59531012003</v>
      </c>
      <c r="H116" s="3">
        <f t="shared" si="45"/>
        <v>2017</v>
      </c>
      <c r="I116" s="39">
        <f>TabularOutputs!O73*(TechnicalInputs!$D$10*TechnicalInputs!$D$13+TechnicalInputs!$D$11*TechnicalInputs!$D$14+TechnicalInputs!$D$12*TechnicalInputs!$D$15)</f>
        <v>0</v>
      </c>
      <c r="J116" s="39">
        <f>TabularOutputs!O73/$B$3</f>
        <v>0</v>
      </c>
      <c r="K116" s="39"/>
      <c r="L116" s="39"/>
      <c r="M116" s="39">
        <f t="shared" si="43"/>
        <v>0</v>
      </c>
    </row>
    <row r="117" spans="1:13">
      <c r="A117" s="3">
        <f t="shared" si="44"/>
        <v>2018</v>
      </c>
      <c r="B117" s="39">
        <f>TabularOutputs!N74*(TechnicalInputs!$D$10*TechnicalInputs!$D$13+TechnicalInputs!$D$11*TechnicalInputs!$D$14+TechnicalInputs!$D$12*TechnicalInputs!$D$15)</f>
        <v>238524.12920952</v>
      </c>
      <c r="C117" s="39">
        <f>TabularOutputs!N74/$B$3</f>
        <v>306743.99332499999</v>
      </c>
      <c r="D117" s="39"/>
      <c r="E117" s="39"/>
      <c r="F117" s="39">
        <f t="shared" si="42"/>
        <v>545268.12253451999</v>
      </c>
      <c r="H117" s="3">
        <f t="shared" si="45"/>
        <v>2018</v>
      </c>
      <c r="I117" s="39">
        <f>TabularOutputs!O74*(TechnicalInputs!$D$10*TechnicalInputs!$D$13+TechnicalInputs!$D$11*TechnicalInputs!$D$14+TechnicalInputs!$D$12*TechnicalInputs!$D$15)</f>
        <v>0</v>
      </c>
      <c r="J117" s="39">
        <f>TabularOutputs!O74/$B$3</f>
        <v>0</v>
      </c>
      <c r="K117" s="39"/>
      <c r="L117" s="39"/>
      <c r="M117" s="39">
        <f t="shared" si="43"/>
        <v>0</v>
      </c>
    </row>
    <row r="118" spans="1:13">
      <c r="A118" s="3">
        <f t="shared" si="44"/>
        <v>2019</v>
      </c>
      <c r="B118" s="39">
        <f>TabularOutputs!N75*(TechnicalInputs!$D$10*TechnicalInputs!$D$13+TechnicalInputs!$D$11*TechnicalInputs!$D$14+TechnicalInputs!$D$12*TechnicalInputs!$D$15)</f>
        <v>247585.02601139998</v>
      </c>
      <c r="C118" s="39">
        <f>TabularOutputs!N75/$B$3</f>
        <v>318396.38118750002</v>
      </c>
      <c r="D118" s="39"/>
      <c r="E118" s="39"/>
      <c r="F118" s="39">
        <f t="shared" si="42"/>
        <v>565981.40719890001</v>
      </c>
      <c r="H118" s="3">
        <f t="shared" si="45"/>
        <v>2019</v>
      </c>
      <c r="I118" s="39">
        <f>TabularOutputs!O75*(TechnicalInputs!$D$10*TechnicalInputs!$D$13+TechnicalInputs!$D$11*TechnicalInputs!$D$14+TechnicalInputs!$D$12*TechnicalInputs!$D$15)</f>
        <v>0</v>
      </c>
      <c r="J118" s="39">
        <f>TabularOutputs!O75/$B$3</f>
        <v>0</v>
      </c>
      <c r="K118" s="39"/>
      <c r="L118" s="39"/>
      <c r="M118" s="39">
        <f t="shared" si="43"/>
        <v>0</v>
      </c>
    </row>
    <row r="119" spans="1:13">
      <c r="A119" s="3">
        <f t="shared" si="44"/>
        <v>2020</v>
      </c>
      <c r="B119" s="39">
        <f>TabularOutputs!N76*(TechnicalInputs!$D$10*TechnicalInputs!$D$13+TechnicalInputs!$D$11*TechnicalInputs!$D$14+TechnicalInputs!$D$12*TechnicalInputs!$D$15)</f>
        <v>256593.27904055995</v>
      </c>
      <c r="C119" s="39">
        <f>TabularOutputs!N76/$B$3</f>
        <v>329981.06872499996</v>
      </c>
      <c r="D119" s="39"/>
      <c r="E119" s="39"/>
      <c r="F119" s="39">
        <f t="shared" si="42"/>
        <v>586574.34776555991</v>
      </c>
      <c r="H119" s="3">
        <f t="shared" si="45"/>
        <v>2020</v>
      </c>
      <c r="I119" s="39">
        <f>TabularOutputs!O76*(TechnicalInputs!$D$10*TechnicalInputs!$D$13+TechnicalInputs!$D$11*TechnicalInputs!$D$14+TechnicalInputs!$D$12*TechnicalInputs!$D$15)</f>
        <v>0</v>
      </c>
      <c r="J119" s="39">
        <f>TabularOutputs!O76/$B$3</f>
        <v>0</v>
      </c>
      <c r="K119" s="39"/>
      <c r="L119" s="39"/>
      <c r="M119" s="39">
        <f t="shared" si="43"/>
        <v>0</v>
      </c>
    </row>
    <row r="120" spans="1:13">
      <c r="A120" s="3">
        <f t="shared" si="44"/>
        <v>2021</v>
      </c>
      <c r="B120" s="39">
        <f>TabularOutputs!N77*(TechnicalInputs!$D$10*TechnicalInputs!$D$13+TechnicalInputs!$D$11*TechnicalInputs!$D$14+TechnicalInputs!$D$12*TechnicalInputs!$D$15)</f>
        <v>265344.23860559997</v>
      </c>
      <c r="C120" s="39">
        <f>TabularOutputs!N77/$B$3</f>
        <v>341234.87475000002</v>
      </c>
      <c r="D120" s="39"/>
      <c r="E120" s="39"/>
      <c r="F120" s="39">
        <f t="shared" si="42"/>
        <v>606579.11335560004</v>
      </c>
      <c r="H120" s="3">
        <f t="shared" si="45"/>
        <v>2021</v>
      </c>
      <c r="I120" s="39">
        <f>TabularOutputs!O77*(TechnicalInputs!$D$10*TechnicalInputs!$D$13+TechnicalInputs!$D$11*TechnicalInputs!$D$14+TechnicalInputs!$D$12*TechnicalInputs!$D$15)</f>
        <v>0</v>
      </c>
      <c r="J120" s="39">
        <f>TabularOutputs!O77/$B$3</f>
        <v>0</v>
      </c>
      <c r="K120" s="39"/>
      <c r="L120" s="39"/>
      <c r="M120" s="39">
        <f t="shared" si="43"/>
        <v>0</v>
      </c>
    </row>
    <row r="121" spans="1:13">
      <c r="A121" s="3">
        <f t="shared" si="44"/>
        <v>2022</v>
      </c>
      <c r="B121" s="39">
        <f>TabularOutputs!N78*(TechnicalInputs!$D$10*TechnicalInputs!$D$13+TechnicalInputs!$D$11*TechnicalInputs!$D$14+TechnicalInputs!$D$12*TechnicalInputs!$D$15)</f>
        <v>274637.16677627998</v>
      </c>
      <c r="C121" s="39">
        <f>TabularOutputs!N78/$B$3</f>
        <v>353185.65686250001</v>
      </c>
      <c r="D121" s="39"/>
      <c r="E121" s="39"/>
      <c r="F121" s="39">
        <f t="shared" si="42"/>
        <v>627822.82363878004</v>
      </c>
      <c r="H121" s="3">
        <f t="shared" si="45"/>
        <v>2022</v>
      </c>
      <c r="I121" s="39">
        <f>TabularOutputs!O78*(TechnicalInputs!$D$10*TechnicalInputs!$D$13+TechnicalInputs!$D$11*TechnicalInputs!$D$14+TechnicalInputs!$D$12*TechnicalInputs!$D$15)</f>
        <v>0</v>
      </c>
      <c r="J121" s="39">
        <f>TabularOutputs!O78/$B$3</f>
        <v>0</v>
      </c>
      <c r="K121" s="39"/>
      <c r="L121" s="39"/>
      <c r="M121" s="39">
        <f t="shared" si="43"/>
        <v>0</v>
      </c>
    </row>
    <row r="122" spans="1:13">
      <c r="A122" s="3">
        <f t="shared" si="44"/>
        <v>2023</v>
      </c>
      <c r="B122" s="39">
        <f>TabularOutputs!N79*(TechnicalInputs!$D$10*TechnicalInputs!$D$13+TechnicalInputs!$D$11*TechnicalInputs!$D$14+TechnicalInputs!$D$12*TechnicalInputs!$D$15)</f>
        <v>284833.83175631997</v>
      </c>
      <c r="C122" s="39">
        <f>TabularOutputs!N79/$B$3</f>
        <v>366298.65194999997</v>
      </c>
      <c r="D122" s="39"/>
      <c r="E122" s="39"/>
      <c r="F122" s="39">
        <f t="shared" si="42"/>
        <v>651132.48370631994</v>
      </c>
      <c r="H122" s="3">
        <f t="shared" si="45"/>
        <v>2023</v>
      </c>
      <c r="I122" s="39">
        <f>TabularOutputs!O79*(TechnicalInputs!$D$10*TechnicalInputs!$D$13+TechnicalInputs!$D$11*TechnicalInputs!$D$14+TechnicalInputs!$D$12*TechnicalInputs!$D$15)</f>
        <v>0</v>
      </c>
      <c r="J122" s="39">
        <f>TabularOutputs!O79/$B$3</f>
        <v>0</v>
      </c>
      <c r="K122" s="39"/>
      <c r="L122" s="39"/>
      <c r="M122" s="39">
        <f t="shared" si="43"/>
        <v>0</v>
      </c>
    </row>
    <row r="123" spans="1:13">
      <c r="A123" s="3">
        <f t="shared" si="44"/>
        <v>2024</v>
      </c>
      <c r="B123" s="39">
        <f>TabularOutputs!N80*(TechnicalInputs!$D$10*TechnicalInputs!$D$13+TechnicalInputs!$D$11*TechnicalInputs!$D$14+TechnicalInputs!$D$12*TechnicalInputs!$D$15)</f>
        <v>295536.18770675996</v>
      </c>
      <c r="C123" s="39">
        <f>TabularOutputs!N80/$B$3</f>
        <v>380061.96978749998</v>
      </c>
      <c r="D123" s="39"/>
      <c r="E123" s="39"/>
      <c r="F123" s="39">
        <f t="shared" si="42"/>
        <v>675598.15749426</v>
      </c>
      <c r="H123" s="3">
        <f t="shared" si="45"/>
        <v>2024</v>
      </c>
      <c r="I123" s="39">
        <f>TabularOutputs!O80*(TechnicalInputs!$D$10*TechnicalInputs!$D$13+TechnicalInputs!$D$11*TechnicalInputs!$D$14+TechnicalInputs!$D$12*TechnicalInputs!$D$15)</f>
        <v>0</v>
      </c>
      <c r="J123" s="39">
        <f>TabularOutputs!O80/$B$3</f>
        <v>0</v>
      </c>
      <c r="K123" s="39"/>
      <c r="L123" s="39"/>
      <c r="M123" s="39">
        <f t="shared" si="43"/>
        <v>0</v>
      </c>
    </row>
    <row r="124" spans="1:13">
      <c r="A124" s="3">
        <f t="shared" si="44"/>
        <v>2025</v>
      </c>
      <c r="B124" s="39">
        <f>TabularOutputs!N81*(TechnicalInputs!$D$10*TechnicalInputs!$D$13+TechnicalInputs!$D$11*TechnicalInputs!$D$14+TechnicalInputs!$D$12*TechnicalInputs!$D$15)</f>
        <v>306645.70998599997</v>
      </c>
      <c r="C124" s="39">
        <f>TabularOutputs!N81/$B$3</f>
        <v>394348.90687499999</v>
      </c>
      <c r="D124" s="39"/>
      <c r="E124" s="39"/>
      <c r="F124" s="39">
        <f t="shared" si="42"/>
        <v>700994.61686099996</v>
      </c>
      <c r="H124" s="3">
        <f t="shared" si="45"/>
        <v>2025</v>
      </c>
      <c r="I124" s="39">
        <f>TabularOutputs!O81*(TechnicalInputs!$D$10*TechnicalInputs!$D$13+TechnicalInputs!$D$11*TechnicalInputs!$D$14+TechnicalInputs!$D$12*TechnicalInputs!$D$15)</f>
        <v>0</v>
      </c>
      <c r="J124" s="39">
        <f>TabularOutputs!O81/$B$3</f>
        <v>0</v>
      </c>
      <c r="K124" s="39"/>
      <c r="L124" s="39"/>
      <c r="M124" s="39">
        <f t="shared" si="43"/>
        <v>0</v>
      </c>
    </row>
    <row r="125" spans="1:13">
      <c r="A125" s="3">
        <f t="shared" si="44"/>
        <v>2026</v>
      </c>
      <c r="B125" s="39">
        <f>TabularOutputs!N82*(TechnicalInputs!$D$10*TechnicalInputs!$D$13+TechnicalInputs!$D$11*TechnicalInputs!$D$14+TechnicalInputs!$D$12*TechnicalInputs!$D$15)</f>
        <v>318379.57717104</v>
      </c>
      <c r="C125" s="39">
        <f>TabularOutputs!N82/$B$3</f>
        <v>409438.75665</v>
      </c>
      <c r="D125" s="39"/>
      <c r="E125" s="39"/>
      <c r="F125" s="39">
        <f t="shared" si="42"/>
        <v>727818.33382104</v>
      </c>
      <c r="H125" s="3">
        <f t="shared" si="45"/>
        <v>2026</v>
      </c>
      <c r="I125" s="39">
        <f>TabularOutputs!O82*(TechnicalInputs!$D$10*TechnicalInputs!$D$13+TechnicalInputs!$D$11*TechnicalInputs!$D$14+TechnicalInputs!$D$12*TechnicalInputs!$D$15)</f>
        <v>0</v>
      </c>
      <c r="J125" s="39">
        <f>TabularOutputs!O82/$B$3</f>
        <v>0</v>
      </c>
      <c r="K125" s="39"/>
      <c r="L125" s="39"/>
      <c r="M125" s="39">
        <f t="shared" si="43"/>
        <v>0</v>
      </c>
    </row>
    <row r="126" spans="1:13">
      <c r="A126" s="3">
        <f t="shared" si="44"/>
        <v>2027</v>
      </c>
      <c r="B126" s="39">
        <f>TabularOutputs!N83*(TechnicalInputs!$D$10*TechnicalInputs!$D$13+TechnicalInputs!$D$11*TechnicalInputs!$D$14+TechnicalInputs!$D$12*TechnicalInputs!$D$15)</f>
        <v>330790.39935479994</v>
      </c>
      <c r="C126" s="39">
        <f>TabularOutputs!N83/$B$3</f>
        <v>425399.176125</v>
      </c>
      <c r="D126" s="39"/>
      <c r="E126" s="39"/>
      <c r="F126" s="39">
        <f t="shared" si="42"/>
        <v>756189.57547979988</v>
      </c>
      <c r="H126" s="3">
        <f t="shared" si="45"/>
        <v>2027</v>
      </c>
      <c r="I126" s="39">
        <f>TabularOutputs!O83*(TechnicalInputs!$D$10*TechnicalInputs!$D$13+TechnicalInputs!$D$11*TechnicalInputs!$D$14+TechnicalInputs!$D$12*TechnicalInputs!$D$15)</f>
        <v>0</v>
      </c>
      <c r="J126" s="39">
        <f>TabularOutputs!O83/$B$3</f>
        <v>0</v>
      </c>
      <c r="K126" s="39"/>
      <c r="L126" s="39"/>
      <c r="M126" s="39">
        <f t="shared" si="43"/>
        <v>0</v>
      </c>
    </row>
    <row r="127" spans="1:13">
      <c r="A127" s="3">
        <f t="shared" si="44"/>
        <v>2028</v>
      </c>
      <c r="B127" s="39">
        <f>TabularOutputs!N84*(TechnicalInputs!$D$10*TechnicalInputs!$D$13+TechnicalInputs!$D$11*TechnicalInputs!$D$14+TechnicalInputs!$D$12*TechnicalInputs!$D$15)</f>
        <v>343377.41179896001</v>
      </c>
      <c r="C127" s="39">
        <f>TabularOutputs!N84/$B$3</f>
        <v>441586.17772500002</v>
      </c>
      <c r="D127" s="39"/>
      <c r="E127" s="39"/>
      <c r="F127" s="39">
        <f t="shared" si="42"/>
        <v>784963.58952396002</v>
      </c>
      <c r="H127" s="3">
        <f t="shared" si="45"/>
        <v>2028</v>
      </c>
      <c r="I127" s="39">
        <f>TabularOutputs!O84*(TechnicalInputs!$D$10*TechnicalInputs!$D$13+TechnicalInputs!$D$11*TechnicalInputs!$D$14+TechnicalInputs!$D$12*TechnicalInputs!$D$15)</f>
        <v>0</v>
      </c>
      <c r="J127" s="39">
        <f>TabularOutputs!O84/$B$3</f>
        <v>0</v>
      </c>
      <c r="K127" s="39"/>
      <c r="L127" s="39"/>
      <c r="M127" s="39">
        <f t="shared" si="43"/>
        <v>0</v>
      </c>
    </row>
    <row r="128" spans="1:13">
      <c r="A128" s="3">
        <f t="shared" si="44"/>
        <v>2029</v>
      </c>
      <c r="B128" s="39">
        <f>TabularOutputs!N85*(TechnicalInputs!$D$10*TechnicalInputs!$D$13+TechnicalInputs!$D$11*TechnicalInputs!$D$14+TechnicalInputs!$D$12*TechnicalInputs!$D$15)</f>
        <v>356507.30893931998</v>
      </c>
      <c r="C128" s="39">
        <f>TabularOutputs!N85/$B$3</f>
        <v>458471.33351249999</v>
      </c>
      <c r="D128" s="39"/>
      <c r="E128" s="39"/>
      <c r="F128" s="39">
        <f t="shared" si="42"/>
        <v>814978.64245181996</v>
      </c>
      <c r="H128" s="3">
        <f t="shared" si="45"/>
        <v>2029</v>
      </c>
      <c r="I128" s="39">
        <f>TabularOutputs!O85*(TechnicalInputs!$D$10*TechnicalInputs!$D$13+TechnicalInputs!$D$11*TechnicalInputs!$D$14+TechnicalInputs!$D$12*TechnicalInputs!$D$15)</f>
        <v>0</v>
      </c>
      <c r="J128" s="39">
        <f>TabularOutputs!O85/$B$3</f>
        <v>0</v>
      </c>
      <c r="K128" s="39"/>
      <c r="L128" s="39"/>
      <c r="M128" s="39">
        <f t="shared" si="43"/>
        <v>0</v>
      </c>
    </row>
    <row r="129" spans="1:13">
      <c r="A129" s="3">
        <f t="shared" si="44"/>
        <v>2030</v>
      </c>
      <c r="B129" s="39">
        <f>TabularOutputs!N86*(TechnicalInputs!$D$10*TechnicalInputs!$D$13+TechnicalInputs!$D$11*TechnicalInputs!$D$14+TechnicalInputs!$D$12*TechnicalInputs!$D$15)</f>
        <v>370392.27127055993</v>
      </c>
      <c r="C129" s="39">
        <f>TabularOutputs!N86/$B$3</f>
        <v>476327.50934999995</v>
      </c>
      <c r="D129" s="39"/>
      <c r="E129" s="39"/>
      <c r="F129" s="39">
        <f t="shared" si="42"/>
        <v>846719.78062055982</v>
      </c>
      <c r="H129" s="3">
        <f t="shared" si="45"/>
        <v>2030</v>
      </c>
      <c r="I129" s="39">
        <f>TabularOutputs!O86*(TechnicalInputs!$D$10*TechnicalInputs!$D$13+TechnicalInputs!$D$11*TechnicalInputs!$D$14+TechnicalInputs!$D$12*TechnicalInputs!$D$15)</f>
        <v>0</v>
      </c>
      <c r="J129" s="39">
        <f>TabularOutputs!O86/$B$3</f>
        <v>0</v>
      </c>
      <c r="K129" s="39"/>
      <c r="L129" s="39"/>
      <c r="M129" s="39">
        <f t="shared" si="43"/>
        <v>0</v>
      </c>
    </row>
    <row r="130" spans="1:13">
      <c r="A130" s="3">
        <f t="shared" si="44"/>
        <v>2031</v>
      </c>
      <c r="B130" s="39">
        <f>TabularOutputs!N87*(TechnicalInputs!$D$10*TechnicalInputs!$D$13+TechnicalInputs!$D$11*TechnicalInputs!$D$14+TechnicalInputs!$D$12*TechnicalInputs!$D$15)</f>
        <v>384571.20436812</v>
      </c>
      <c r="C130" s="39">
        <f>TabularOutputs!N87/$B$3</f>
        <v>494561.73401250003</v>
      </c>
      <c r="D130" s="39"/>
      <c r="E130" s="39"/>
      <c r="F130" s="39">
        <f t="shared" si="42"/>
        <v>879132.93838061998</v>
      </c>
      <c r="H130" s="3">
        <f t="shared" si="45"/>
        <v>2031</v>
      </c>
      <c r="I130" s="39">
        <f>TabularOutputs!O87*(TechnicalInputs!$D$10*TechnicalInputs!$D$13+TechnicalInputs!$D$11*TechnicalInputs!$D$14+TechnicalInputs!$D$12*TechnicalInputs!$D$15)</f>
        <v>0</v>
      </c>
      <c r="J130" s="39">
        <f>TabularOutputs!O87/$B$3</f>
        <v>0</v>
      </c>
      <c r="K130" s="39"/>
      <c r="L130" s="39"/>
      <c r="M130" s="39">
        <f t="shared" si="43"/>
        <v>0</v>
      </c>
    </row>
    <row r="131" spans="1:13">
      <c r="A131" s="3">
        <f t="shared" si="44"/>
        <v>2032</v>
      </c>
      <c r="B131" s="39">
        <f>TabularOutputs!N88*(TechnicalInputs!$D$10*TechnicalInputs!$D$13+TechnicalInputs!$D$11*TechnicalInputs!$D$14+TechnicalInputs!$D$12*TechnicalInputs!$D$15)</f>
        <v>399526.72853939998</v>
      </c>
      <c r="C131" s="39">
        <f>TabularOutputs!N88/$B$3</f>
        <v>513794.66118749999</v>
      </c>
      <c r="D131" s="39"/>
      <c r="E131" s="39"/>
      <c r="F131" s="39">
        <f t="shared" si="42"/>
        <v>913321.38972690003</v>
      </c>
      <c r="H131" s="3">
        <f t="shared" si="45"/>
        <v>2032</v>
      </c>
      <c r="I131" s="39">
        <f>TabularOutputs!O88*(TechnicalInputs!$D$10*TechnicalInputs!$D$13+TechnicalInputs!$D$11*TechnicalInputs!$D$14+TechnicalInputs!$D$12*TechnicalInputs!$D$15)</f>
        <v>0</v>
      </c>
      <c r="J131" s="39">
        <f>TabularOutputs!O88/$B$3</f>
        <v>0</v>
      </c>
      <c r="K131" s="39"/>
      <c r="L131" s="39"/>
      <c r="M131" s="39">
        <f t="shared" si="43"/>
        <v>0</v>
      </c>
    </row>
    <row r="132" spans="1:13">
      <c r="A132" s="3">
        <f t="shared" si="44"/>
        <v>2033</v>
      </c>
      <c r="B132" s="39">
        <f>TabularOutputs!N89*(TechnicalInputs!$D$10*TechnicalInputs!$D$13+TechnicalInputs!$D$11*TechnicalInputs!$D$14+TechnicalInputs!$D$12*TechnicalInputs!$D$15)</f>
        <v>411827.92234044836</v>
      </c>
      <c r="C132" s="39">
        <f>TabularOutputs!N89/$B$3</f>
        <v>529614.09766004165</v>
      </c>
      <c r="D132" s="39"/>
      <c r="E132" s="39"/>
      <c r="F132" s="39">
        <f t="shared" si="42"/>
        <v>941442.02000049001</v>
      </c>
      <c r="H132" s="3">
        <f t="shared" si="45"/>
        <v>2033</v>
      </c>
      <c r="I132" s="39">
        <f>TabularOutputs!O89*(TechnicalInputs!$D$10*TechnicalInputs!$D$13+TechnicalInputs!$D$11*TechnicalInputs!$D$14+TechnicalInputs!$D$12*TechnicalInputs!$D$15)</f>
        <v>0</v>
      </c>
      <c r="J132" s="39">
        <f>TabularOutputs!O89/$B$3</f>
        <v>0</v>
      </c>
      <c r="K132" s="39"/>
      <c r="L132" s="39"/>
      <c r="M132" s="39">
        <f t="shared" si="43"/>
        <v>0</v>
      </c>
    </row>
    <row r="133" spans="1:13">
      <c r="A133" s="3">
        <f t="shared" si="44"/>
        <v>2034</v>
      </c>
      <c r="B133" s="39">
        <f>TabularOutputs!N90*(TechnicalInputs!$D$10*TechnicalInputs!$D$13+TechnicalInputs!$D$11*TechnicalInputs!$D$14+TechnicalInputs!$D$12*TechnicalInputs!$D$15)</f>
        <v>424507.86268865317</v>
      </c>
      <c r="C133" s="39">
        <f>TabularOutputs!N90/$B$3</f>
        <v>545920.60530948197</v>
      </c>
      <c r="D133" s="39"/>
      <c r="E133" s="39"/>
      <c r="F133" s="39">
        <f t="shared" si="42"/>
        <v>970428.46799813514</v>
      </c>
      <c r="H133" s="3">
        <f t="shared" si="45"/>
        <v>2034</v>
      </c>
      <c r="I133" s="39">
        <f>TabularOutputs!O90*(TechnicalInputs!$D$10*TechnicalInputs!$D$13+TechnicalInputs!$D$11*TechnicalInputs!$D$14+TechnicalInputs!$D$12*TechnicalInputs!$D$15)</f>
        <v>0</v>
      </c>
      <c r="J133" s="39">
        <f>TabularOutputs!O90/$B$3</f>
        <v>0</v>
      </c>
      <c r="K133" s="39"/>
      <c r="L133" s="39"/>
      <c r="M133" s="39">
        <f t="shared" si="43"/>
        <v>0</v>
      </c>
    </row>
    <row r="134" spans="1:13">
      <c r="A134" s="3">
        <f t="shared" si="44"/>
        <v>2035</v>
      </c>
      <c r="B134" s="39">
        <f>TabularOutputs!N91*(TechnicalInputs!$D$10*TechnicalInputs!$D$13+TechnicalInputs!$D$11*TechnicalInputs!$D$14+TechnicalInputs!$D$12*TechnicalInputs!$D$15)</f>
        <v>437578.21096821019</v>
      </c>
      <c r="C134" s="39">
        <f>TabularOutputs!N91/$B$3</f>
        <v>562729.18077187531</v>
      </c>
      <c r="D134" s="39"/>
      <c r="E134" s="39"/>
      <c r="F134" s="39">
        <f t="shared" si="42"/>
        <v>1000307.3917400856</v>
      </c>
      <c r="H134" s="3">
        <f t="shared" si="45"/>
        <v>2035</v>
      </c>
      <c r="I134" s="39">
        <f>TabularOutputs!O91*(TechnicalInputs!$D$10*TechnicalInputs!$D$13+TechnicalInputs!$D$11*TechnicalInputs!$D$14+TechnicalInputs!$D$12*TechnicalInputs!$D$15)</f>
        <v>0</v>
      </c>
      <c r="J134" s="39">
        <f>TabularOutputs!O91/$B$3</f>
        <v>0</v>
      </c>
      <c r="K134" s="39"/>
      <c r="L134" s="39"/>
      <c r="M134" s="39">
        <f t="shared" si="43"/>
        <v>0</v>
      </c>
    </row>
  </sheetData>
  <sheetProtection selectLockedCells="1"/>
  <mergeCells count="120">
    <mergeCell ref="A16:A17"/>
    <mergeCell ref="H16:H17"/>
    <mergeCell ref="I16:J16"/>
    <mergeCell ref="F16:F17"/>
    <mergeCell ref="K16:K17"/>
    <mergeCell ref="L16:L17"/>
    <mergeCell ref="O16:O17"/>
    <mergeCell ref="P16:Q16"/>
    <mergeCell ref="R16:R17"/>
    <mergeCell ref="S16:S17"/>
    <mergeCell ref="B16:C16"/>
    <mergeCell ref="D16:D17"/>
    <mergeCell ref="E16:E17"/>
    <mergeCell ref="AF16:AF17"/>
    <mergeCell ref="AG16:AG17"/>
    <mergeCell ref="AJ16:AJ17"/>
    <mergeCell ref="AK16:AL16"/>
    <mergeCell ref="AM16:AM17"/>
    <mergeCell ref="AN16:AN17"/>
    <mergeCell ref="AH16:AH17"/>
    <mergeCell ref="V16:V17"/>
    <mergeCell ref="W16:X16"/>
    <mergeCell ref="Y16:Y17"/>
    <mergeCell ref="Z16:Z17"/>
    <mergeCell ref="AC16:AC17"/>
    <mergeCell ref="AD16:AE16"/>
    <mergeCell ref="AA16:AA17"/>
    <mergeCell ref="K46:K47"/>
    <mergeCell ref="L46:L47"/>
    <mergeCell ref="O46:O47"/>
    <mergeCell ref="P46:Q46"/>
    <mergeCell ref="R46:R47"/>
    <mergeCell ref="S46:S47"/>
    <mergeCell ref="A46:A47"/>
    <mergeCell ref="B46:C46"/>
    <mergeCell ref="D46:D47"/>
    <mergeCell ref="E46:E47"/>
    <mergeCell ref="H46:H47"/>
    <mergeCell ref="I46:J46"/>
    <mergeCell ref="F46:F47"/>
    <mergeCell ref="AJ46:AJ47"/>
    <mergeCell ref="AK46:AL46"/>
    <mergeCell ref="AM46:AM47"/>
    <mergeCell ref="AN46:AN47"/>
    <mergeCell ref="AH46:AH47"/>
    <mergeCell ref="V46:V47"/>
    <mergeCell ref="W46:X46"/>
    <mergeCell ref="Y46:Y47"/>
    <mergeCell ref="Z46:Z47"/>
    <mergeCell ref="AC46:AC47"/>
    <mergeCell ref="AD46:AE46"/>
    <mergeCell ref="AA46:AA47"/>
    <mergeCell ref="AM76:AM77"/>
    <mergeCell ref="AN76:AN77"/>
    <mergeCell ref="AH76:AH77"/>
    <mergeCell ref="V76:V77"/>
    <mergeCell ref="W76:X76"/>
    <mergeCell ref="Y76:Y77"/>
    <mergeCell ref="Z76:Z77"/>
    <mergeCell ref="AC76:AC77"/>
    <mergeCell ref="AD76:AE76"/>
    <mergeCell ref="AA76:AA77"/>
    <mergeCell ref="O75:T75"/>
    <mergeCell ref="V75:AA75"/>
    <mergeCell ref="AC45:AH45"/>
    <mergeCell ref="V45:AA45"/>
    <mergeCell ref="A15:F15"/>
    <mergeCell ref="AF76:AF77"/>
    <mergeCell ref="AG76:AG77"/>
    <mergeCell ref="AJ76:AJ77"/>
    <mergeCell ref="AK76:AL76"/>
    <mergeCell ref="K76:K77"/>
    <mergeCell ref="L76:L77"/>
    <mergeCell ref="O76:O77"/>
    <mergeCell ref="P76:Q76"/>
    <mergeCell ref="R76:R77"/>
    <mergeCell ref="S76:S77"/>
    <mergeCell ref="A76:A77"/>
    <mergeCell ref="B76:C76"/>
    <mergeCell ref="D76:D77"/>
    <mergeCell ref="E76:E77"/>
    <mergeCell ref="H76:H77"/>
    <mergeCell ref="I76:J76"/>
    <mergeCell ref="F76:F77"/>
    <mergeCell ref="AF46:AF47"/>
    <mergeCell ref="AG46:AG47"/>
    <mergeCell ref="A107:A108"/>
    <mergeCell ref="B107:C107"/>
    <mergeCell ref="D107:D108"/>
    <mergeCell ref="E107:E108"/>
    <mergeCell ref="H107:H108"/>
    <mergeCell ref="I107:J107"/>
    <mergeCell ref="K107:K108"/>
    <mergeCell ref="L107:L108"/>
    <mergeCell ref="A75:F75"/>
    <mergeCell ref="H75:M75"/>
    <mergeCell ref="AC75:AH75"/>
    <mergeCell ref="AJ75:AO75"/>
    <mergeCell ref="A106:F106"/>
    <mergeCell ref="H106:M106"/>
    <mergeCell ref="AO16:AO17"/>
    <mergeCell ref="AO46:AO47"/>
    <mergeCell ref="AO76:AO77"/>
    <mergeCell ref="M107:M108"/>
    <mergeCell ref="H15:M15"/>
    <mergeCell ref="O15:T15"/>
    <mergeCell ref="V15:AA15"/>
    <mergeCell ref="AC15:AH15"/>
    <mergeCell ref="AJ15:AO15"/>
    <mergeCell ref="AJ45:AO45"/>
    <mergeCell ref="F107:F108"/>
    <mergeCell ref="M16:M17"/>
    <mergeCell ref="M46:M47"/>
    <mergeCell ref="M76:M77"/>
    <mergeCell ref="T16:T17"/>
    <mergeCell ref="T46:T47"/>
    <mergeCell ref="T76:T77"/>
    <mergeCell ref="O45:T45"/>
    <mergeCell ref="H45:M45"/>
    <mergeCell ref="A45:F45"/>
  </mergeCells>
  <pageMargins left="0.75" right="0.75" top="1" bottom="1" header="0.5" footer="0.5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BP317"/>
  <sheetViews>
    <sheetView topLeftCell="A32" workbookViewId="0">
      <selection activeCell="A32" sqref="A32:AC32"/>
    </sheetView>
  </sheetViews>
  <sheetFormatPr defaultColWidth="11" defaultRowHeight="15.75"/>
  <cols>
    <col min="2" max="4" width="16.375" bestFit="1" customWidth="1"/>
    <col min="5" max="5" width="16.125" bestFit="1" customWidth="1"/>
    <col min="6" max="6" width="15.375" bestFit="1" customWidth="1"/>
    <col min="7" max="7" width="16.375" bestFit="1" customWidth="1"/>
    <col min="8" max="8" width="16.375" customWidth="1"/>
    <col min="9" max="10" width="16.125" bestFit="1" customWidth="1"/>
    <col min="11" max="11" width="17.625" bestFit="1" customWidth="1"/>
    <col min="12" max="12" width="16.125" bestFit="1" customWidth="1"/>
    <col min="13" max="13" width="11" bestFit="1" customWidth="1"/>
    <col min="14" max="14" width="16.125" bestFit="1" customWidth="1"/>
    <col min="15" max="15" width="11" bestFit="1" customWidth="1"/>
    <col min="16" max="16" width="16.125" bestFit="1" customWidth="1"/>
    <col min="17" max="17" width="17.875" bestFit="1" customWidth="1"/>
    <col min="18" max="18" width="16.375" bestFit="1" customWidth="1"/>
    <col min="19" max="19" width="13.875" bestFit="1" customWidth="1"/>
    <col min="20" max="20" width="15.125" bestFit="1" customWidth="1"/>
    <col min="21" max="24" width="11" bestFit="1" customWidth="1"/>
    <col min="25" max="25" width="16.125" bestFit="1" customWidth="1"/>
    <col min="26" max="28" width="11" bestFit="1" customWidth="1"/>
    <col min="29" max="30" width="15.125" bestFit="1" customWidth="1"/>
    <col min="31" max="31" width="19.625" bestFit="1" customWidth="1"/>
    <col min="33" max="33" width="17.625" bestFit="1" customWidth="1"/>
    <col min="34" max="34" width="37.375" bestFit="1" customWidth="1"/>
    <col min="35" max="35" width="37.375" customWidth="1"/>
    <col min="36" max="36" width="15.125" bestFit="1" customWidth="1"/>
    <col min="41" max="42" width="13.625" bestFit="1" customWidth="1"/>
    <col min="43" max="45" width="12.5" bestFit="1" customWidth="1"/>
  </cols>
  <sheetData>
    <row r="1" spans="1:46">
      <c r="A1" s="233" t="s">
        <v>120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</row>
    <row r="2" spans="1:46" ht="45" customHeight="1">
      <c r="A2" s="29" t="s">
        <v>91</v>
      </c>
      <c r="B2" s="257" t="s">
        <v>44</v>
      </c>
      <c r="C2" s="257"/>
      <c r="D2" s="257"/>
      <c r="E2" s="31" t="s">
        <v>1</v>
      </c>
      <c r="F2" s="31" t="s">
        <v>31</v>
      </c>
      <c r="G2" s="31" t="s">
        <v>11</v>
      </c>
      <c r="H2" s="58" t="s">
        <v>11</v>
      </c>
      <c r="I2" s="31" t="s">
        <v>23</v>
      </c>
      <c r="J2" s="31" t="s">
        <v>34</v>
      </c>
      <c r="K2" s="31" t="s">
        <v>29</v>
      </c>
      <c r="L2" s="31" t="s">
        <v>32</v>
      </c>
      <c r="M2" s="31" t="s">
        <v>36</v>
      </c>
      <c r="N2" s="31" t="s">
        <v>15</v>
      </c>
      <c r="O2" s="31" t="s">
        <v>17</v>
      </c>
      <c r="P2" s="31" t="s">
        <v>59</v>
      </c>
      <c r="Q2" s="31" t="s">
        <v>3</v>
      </c>
      <c r="R2" s="31" t="s">
        <v>4</v>
      </c>
      <c r="S2" s="31" t="s">
        <v>58</v>
      </c>
      <c r="T2" s="31" t="s">
        <v>21</v>
      </c>
      <c r="U2" s="31" t="s">
        <v>5</v>
      </c>
      <c r="V2" s="31" t="s">
        <v>7</v>
      </c>
      <c r="W2" s="31" t="s">
        <v>9</v>
      </c>
      <c r="X2" s="31" t="s">
        <v>13</v>
      </c>
      <c r="Y2" s="31" t="s">
        <v>19</v>
      </c>
      <c r="Z2" s="31" t="s">
        <v>25</v>
      </c>
      <c r="AA2" s="31" t="s">
        <v>25</v>
      </c>
      <c r="AB2" s="31" t="s">
        <v>25</v>
      </c>
      <c r="AC2" s="31" t="s">
        <v>62</v>
      </c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53"/>
      <c r="AS2" s="153"/>
      <c r="AT2" s="153"/>
    </row>
    <row r="3" spans="1:46" ht="63">
      <c r="A3" s="29" t="s">
        <v>86</v>
      </c>
      <c r="B3" s="29" t="s">
        <v>40</v>
      </c>
      <c r="C3" s="29" t="s">
        <v>140</v>
      </c>
      <c r="D3" s="29" t="s">
        <v>42</v>
      </c>
      <c r="E3" s="29" t="s">
        <v>2</v>
      </c>
      <c r="F3" s="31" t="s">
        <v>53</v>
      </c>
      <c r="G3" s="30" t="s">
        <v>12</v>
      </c>
      <c r="H3" s="56" t="s">
        <v>157</v>
      </c>
      <c r="I3" s="31" t="s">
        <v>24</v>
      </c>
      <c r="J3" s="31" t="s">
        <v>35</v>
      </c>
      <c r="K3" s="31" t="s">
        <v>30</v>
      </c>
      <c r="L3" s="31" t="s">
        <v>33</v>
      </c>
      <c r="M3" s="31" t="s">
        <v>37</v>
      </c>
      <c r="N3" s="31" t="s">
        <v>16</v>
      </c>
      <c r="O3" s="31" t="s">
        <v>18</v>
      </c>
      <c r="P3" s="29" t="s">
        <v>46</v>
      </c>
      <c r="Q3" s="29" t="s">
        <v>49</v>
      </c>
      <c r="R3" s="29" t="s">
        <v>50</v>
      </c>
      <c r="S3" s="31" t="s">
        <v>51</v>
      </c>
      <c r="T3" s="31" t="s">
        <v>22</v>
      </c>
      <c r="U3" s="31" t="s">
        <v>6</v>
      </c>
      <c r="V3" s="31" t="s">
        <v>8</v>
      </c>
      <c r="W3" s="31" t="s">
        <v>10</v>
      </c>
      <c r="X3" s="31" t="s">
        <v>14</v>
      </c>
      <c r="Y3" s="31" t="s">
        <v>20</v>
      </c>
      <c r="Z3" s="31" t="s">
        <v>26</v>
      </c>
      <c r="AA3" s="31" t="s">
        <v>27</v>
      </c>
      <c r="AB3" s="31" t="s">
        <v>28</v>
      </c>
      <c r="AC3" s="31" t="s">
        <v>371</v>
      </c>
      <c r="AE3" s="137" t="s">
        <v>398</v>
      </c>
      <c r="AF3" s="152"/>
      <c r="AG3" s="152"/>
      <c r="AH3" s="137"/>
      <c r="AI3" s="137"/>
      <c r="AJ3" s="152"/>
      <c r="AK3" s="152"/>
      <c r="AL3" s="137"/>
      <c r="AM3" s="152"/>
      <c r="AN3" s="152"/>
      <c r="AO3" s="137"/>
      <c r="AP3" s="152"/>
      <c r="AQ3" s="152"/>
      <c r="AR3" s="137"/>
      <c r="AS3" s="152"/>
      <c r="AT3" s="152"/>
    </row>
    <row r="4" spans="1:46" ht="15" customHeight="1">
      <c r="A4" s="3">
        <f>EconomicInputs!A4</f>
        <v>2010</v>
      </c>
      <c r="B4" s="43">
        <v>0.18</v>
      </c>
      <c r="C4" s="43">
        <v>0.16</v>
      </c>
      <c r="D4" s="43">
        <v>0.11</v>
      </c>
      <c r="E4" s="41">
        <v>0</v>
      </c>
      <c r="F4" s="43">
        <f>17.5/6</f>
        <v>2.9166666666666665</v>
      </c>
      <c r="G4" s="43">
        <f>PolicyInputs!G11*(TechnicalInputs!D35)</f>
        <v>28.207000000000004</v>
      </c>
      <c r="H4" s="41">
        <v>0</v>
      </c>
      <c r="I4" s="41">
        <v>0</v>
      </c>
      <c r="J4" s="43">
        <v>0</v>
      </c>
      <c r="K4" s="41">
        <v>0</v>
      </c>
      <c r="L4" s="43">
        <v>0</v>
      </c>
      <c r="M4" s="43">
        <v>0</v>
      </c>
      <c r="N4" s="41">
        <v>6.9999999999999999E-4</v>
      </c>
      <c r="O4" s="41">
        <v>0</v>
      </c>
      <c r="P4" s="38">
        <v>0</v>
      </c>
      <c r="Q4" s="38" t="s">
        <v>119</v>
      </c>
      <c r="R4" s="38" t="s">
        <v>119</v>
      </c>
      <c r="S4" s="38" t="s">
        <v>119</v>
      </c>
      <c r="T4" s="65">
        <f>T9</f>
        <v>0</v>
      </c>
      <c r="U4" s="38">
        <f>U9</f>
        <v>0</v>
      </c>
      <c r="V4" s="38">
        <f>V9</f>
        <v>0</v>
      </c>
      <c r="W4" s="38">
        <f>W9</f>
        <v>0</v>
      </c>
      <c r="X4" s="41">
        <v>0</v>
      </c>
      <c r="Y4" s="65">
        <v>0</v>
      </c>
      <c r="Z4" s="38">
        <v>0</v>
      </c>
      <c r="AA4" s="38">
        <v>0</v>
      </c>
      <c r="AB4" s="38">
        <v>0</v>
      </c>
      <c r="AC4" s="38">
        <v>0</v>
      </c>
      <c r="AE4" s="207">
        <v>12317000000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" customHeight="1">
      <c r="A5" s="3">
        <f>EconomicInputs!A5</f>
        <v>2011</v>
      </c>
      <c r="B5" s="43">
        <f>B4</f>
        <v>0.18</v>
      </c>
      <c r="C5" s="43">
        <f t="shared" ref="C5:AC5" si="0">C4</f>
        <v>0.16</v>
      </c>
      <c r="D5" s="43">
        <f t="shared" si="0"/>
        <v>0.11</v>
      </c>
      <c r="E5" s="41">
        <f t="shared" si="0"/>
        <v>0</v>
      </c>
      <c r="F5" s="43">
        <f t="shared" si="0"/>
        <v>2.9166666666666665</v>
      </c>
      <c r="G5" s="43">
        <f t="shared" si="0"/>
        <v>28.207000000000004</v>
      </c>
      <c r="H5" s="41">
        <f>H4</f>
        <v>0</v>
      </c>
      <c r="I5" s="41">
        <f t="shared" si="0"/>
        <v>0</v>
      </c>
      <c r="J5" s="43">
        <f t="shared" si="0"/>
        <v>0</v>
      </c>
      <c r="K5" s="41">
        <f t="shared" si="0"/>
        <v>0</v>
      </c>
      <c r="L5" s="43">
        <f t="shared" si="0"/>
        <v>0</v>
      </c>
      <c r="M5" s="43">
        <f t="shared" si="0"/>
        <v>0</v>
      </c>
      <c r="N5" s="41">
        <f t="shared" si="0"/>
        <v>6.9999999999999999E-4</v>
      </c>
      <c r="O5" s="41">
        <f t="shared" si="0"/>
        <v>0</v>
      </c>
      <c r="P5" s="38">
        <f t="shared" si="0"/>
        <v>0</v>
      </c>
      <c r="Q5" s="38" t="str">
        <f t="shared" si="0"/>
        <v>None</v>
      </c>
      <c r="R5" s="38" t="str">
        <f t="shared" si="0"/>
        <v>None</v>
      </c>
      <c r="S5" s="38" t="str">
        <f t="shared" si="0"/>
        <v>None</v>
      </c>
      <c r="T5" s="65">
        <f t="shared" si="0"/>
        <v>0</v>
      </c>
      <c r="U5" s="38">
        <f t="shared" si="0"/>
        <v>0</v>
      </c>
      <c r="V5" s="38">
        <f t="shared" si="0"/>
        <v>0</v>
      </c>
      <c r="W5" s="38">
        <f t="shared" si="0"/>
        <v>0</v>
      </c>
      <c r="X5" s="41">
        <f t="shared" si="0"/>
        <v>0</v>
      </c>
      <c r="Y5" s="65">
        <f t="shared" si="0"/>
        <v>0</v>
      </c>
      <c r="Z5" s="38">
        <f t="shared" si="0"/>
        <v>0</v>
      </c>
      <c r="AA5" s="38">
        <f t="shared" si="0"/>
        <v>0</v>
      </c>
      <c r="AB5" s="38">
        <f t="shared" si="0"/>
        <v>0</v>
      </c>
      <c r="AC5" s="38">
        <f t="shared" si="0"/>
        <v>0</v>
      </c>
      <c r="AE5" s="208">
        <v>13631000000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" customHeight="1">
      <c r="A6" s="3">
        <f>EconomicInputs!A6</f>
        <v>2012</v>
      </c>
      <c r="B6" s="43">
        <f>B5</f>
        <v>0.18</v>
      </c>
      <c r="C6" s="43">
        <f t="shared" ref="C6:G8" si="1">C5</f>
        <v>0.16</v>
      </c>
      <c r="D6" s="43">
        <f t="shared" si="1"/>
        <v>0.11</v>
      </c>
      <c r="E6" s="41">
        <f t="shared" si="1"/>
        <v>0</v>
      </c>
      <c r="F6" s="43">
        <f t="shared" si="1"/>
        <v>2.9166666666666665</v>
      </c>
      <c r="G6" s="43">
        <f t="shared" si="1"/>
        <v>28.207000000000004</v>
      </c>
      <c r="H6" s="41">
        <f t="shared" ref="H6:I8" si="2">H5</f>
        <v>0</v>
      </c>
      <c r="I6" s="41">
        <f t="shared" si="2"/>
        <v>0</v>
      </c>
      <c r="J6" s="43">
        <f t="shared" ref="J6:S8" si="3">J5</f>
        <v>0</v>
      </c>
      <c r="K6" s="41">
        <f t="shared" si="3"/>
        <v>0</v>
      </c>
      <c r="L6" s="43">
        <f t="shared" si="3"/>
        <v>0</v>
      </c>
      <c r="M6" s="43">
        <f t="shared" si="3"/>
        <v>0</v>
      </c>
      <c r="N6" s="41">
        <f t="shared" si="3"/>
        <v>6.9999999999999999E-4</v>
      </c>
      <c r="O6" s="41">
        <f t="shared" si="3"/>
        <v>0</v>
      </c>
      <c r="P6" s="38">
        <f t="shared" si="3"/>
        <v>0</v>
      </c>
      <c r="Q6" s="38" t="str">
        <f t="shared" si="3"/>
        <v>None</v>
      </c>
      <c r="R6" s="38" t="str">
        <f t="shared" si="3"/>
        <v>None</v>
      </c>
      <c r="S6" s="38" t="str">
        <f t="shared" si="3"/>
        <v>None</v>
      </c>
      <c r="T6" s="65">
        <f t="shared" ref="T6:AC8" si="4">T5</f>
        <v>0</v>
      </c>
      <c r="U6" s="38">
        <f t="shared" si="4"/>
        <v>0</v>
      </c>
      <c r="V6" s="38">
        <f t="shared" si="4"/>
        <v>0</v>
      </c>
      <c r="W6" s="38">
        <f t="shared" si="4"/>
        <v>0</v>
      </c>
      <c r="X6" s="41">
        <f t="shared" si="4"/>
        <v>0</v>
      </c>
      <c r="Y6" s="65">
        <f t="shared" si="4"/>
        <v>0</v>
      </c>
      <c r="Z6" s="38">
        <f t="shared" si="4"/>
        <v>0</v>
      </c>
      <c r="AA6" s="38">
        <f t="shared" si="4"/>
        <v>0</v>
      </c>
      <c r="AB6" s="38">
        <f t="shared" si="4"/>
        <v>0</v>
      </c>
      <c r="AC6" s="38">
        <f t="shared" si="4"/>
        <v>0</v>
      </c>
      <c r="AE6" s="208">
        <v>14125000000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15" customHeight="1">
      <c r="A7" s="3">
        <f>EconomicInputs!A7</f>
        <v>2013</v>
      </c>
      <c r="B7" s="43">
        <f>B6</f>
        <v>0.18</v>
      </c>
      <c r="C7" s="43">
        <f t="shared" si="1"/>
        <v>0.16</v>
      </c>
      <c r="D7" s="43">
        <f t="shared" si="1"/>
        <v>0.11</v>
      </c>
      <c r="E7" s="41">
        <f t="shared" si="1"/>
        <v>0</v>
      </c>
      <c r="F7" s="43">
        <f t="shared" si="1"/>
        <v>2.9166666666666665</v>
      </c>
      <c r="G7" s="43">
        <f t="shared" si="1"/>
        <v>28.207000000000004</v>
      </c>
      <c r="H7" s="41">
        <f t="shared" si="2"/>
        <v>0</v>
      </c>
      <c r="I7" s="41">
        <f t="shared" si="2"/>
        <v>0</v>
      </c>
      <c r="J7" s="43">
        <f t="shared" si="3"/>
        <v>0</v>
      </c>
      <c r="K7" s="41">
        <f t="shared" si="3"/>
        <v>0</v>
      </c>
      <c r="L7" s="43">
        <f t="shared" si="3"/>
        <v>0</v>
      </c>
      <c r="M7" s="43">
        <f t="shared" si="3"/>
        <v>0</v>
      </c>
      <c r="N7" s="41">
        <f t="shared" si="3"/>
        <v>6.9999999999999999E-4</v>
      </c>
      <c r="O7" s="41">
        <f t="shared" si="3"/>
        <v>0</v>
      </c>
      <c r="P7" s="38">
        <f t="shared" si="3"/>
        <v>0</v>
      </c>
      <c r="Q7" s="38" t="str">
        <f t="shared" si="3"/>
        <v>None</v>
      </c>
      <c r="R7" s="38" t="str">
        <f t="shared" si="3"/>
        <v>None</v>
      </c>
      <c r="S7" s="38" t="str">
        <f t="shared" si="3"/>
        <v>None</v>
      </c>
      <c r="T7" s="65">
        <f t="shared" si="4"/>
        <v>0</v>
      </c>
      <c r="U7" s="38">
        <f t="shared" si="4"/>
        <v>0</v>
      </c>
      <c r="V7" s="38">
        <f t="shared" si="4"/>
        <v>0</v>
      </c>
      <c r="W7" s="38">
        <f t="shared" si="4"/>
        <v>0</v>
      </c>
      <c r="X7" s="41">
        <f t="shared" si="4"/>
        <v>0</v>
      </c>
      <c r="Y7" s="65">
        <f t="shared" si="4"/>
        <v>0</v>
      </c>
      <c r="Z7" s="38">
        <f t="shared" si="4"/>
        <v>0</v>
      </c>
      <c r="AA7" s="38">
        <f t="shared" si="4"/>
        <v>0</v>
      </c>
      <c r="AB7" s="38">
        <f t="shared" si="4"/>
        <v>0</v>
      </c>
      <c r="AC7" s="38">
        <f t="shared" si="4"/>
        <v>0</v>
      </c>
      <c r="AE7" s="208">
        <v>14361000000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15" customHeight="1">
      <c r="A8" s="3">
        <f>EconomicInputs!A8</f>
        <v>2014</v>
      </c>
      <c r="B8" s="43">
        <f>B7</f>
        <v>0.18</v>
      </c>
      <c r="C8" s="43">
        <f t="shared" si="1"/>
        <v>0.16</v>
      </c>
      <c r="D8" s="43">
        <f t="shared" si="1"/>
        <v>0.11</v>
      </c>
      <c r="E8" s="41">
        <f t="shared" si="1"/>
        <v>0</v>
      </c>
      <c r="F8" s="43">
        <f t="shared" si="1"/>
        <v>2.9166666666666665</v>
      </c>
      <c r="G8" s="43">
        <f t="shared" si="1"/>
        <v>28.207000000000004</v>
      </c>
      <c r="H8" s="41">
        <f t="shared" si="2"/>
        <v>0</v>
      </c>
      <c r="I8" s="41">
        <f t="shared" si="2"/>
        <v>0</v>
      </c>
      <c r="J8" s="43">
        <f t="shared" si="3"/>
        <v>0</v>
      </c>
      <c r="K8" s="41">
        <f t="shared" si="3"/>
        <v>0</v>
      </c>
      <c r="L8" s="43">
        <f t="shared" si="3"/>
        <v>0</v>
      </c>
      <c r="M8" s="43">
        <f t="shared" si="3"/>
        <v>0</v>
      </c>
      <c r="N8" s="41">
        <f t="shared" si="3"/>
        <v>6.9999999999999999E-4</v>
      </c>
      <c r="O8" s="41">
        <f t="shared" si="3"/>
        <v>0</v>
      </c>
      <c r="P8" s="38">
        <f t="shared" si="3"/>
        <v>0</v>
      </c>
      <c r="Q8" s="38" t="str">
        <f t="shared" si="3"/>
        <v>None</v>
      </c>
      <c r="R8" s="38" t="str">
        <f t="shared" si="3"/>
        <v>None</v>
      </c>
      <c r="S8" s="38" t="str">
        <f t="shared" si="3"/>
        <v>None</v>
      </c>
      <c r="T8" s="65">
        <f t="shared" si="4"/>
        <v>0</v>
      </c>
      <c r="U8" s="38">
        <f t="shared" si="4"/>
        <v>0</v>
      </c>
      <c r="V8" s="38">
        <f t="shared" si="4"/>
        <v>0</v>
      </c>
      <c r="W8" s="38">
        <f t="shared" si="4"/>
        <v>0</v>
      </c>
      <c r="X8" s="41">
        <f t="shared" si="4"/>
        <v>0</v>
      </c>
      <c r="Y8" s="65">
        <f t="shared" si="4"/>
        <v>0</v>
      </c>
      <c r="Z8" s="38">
        <f t="shared" si="4"/>
        <v>0</v>
      </c>
      <c r="AA8" s="38">
        <f t="shared" si="4"/>
        <v>0</v>
      </c>
      <c r="AB8" s="38">
        <f t="shared" si="4"/>
        <v>0</v>
      </c>
      <c r="AC8" s="38">
        <f t="shared" si="4"/>
        <v>0</v>
      </c>
      <c r="AE8" s="207">
        <v>14792000000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15" customHeight="1">
      <c r="A9" s="3">
        <f>EconomicInputs!A9</f>
        <v>2015</v>
      </c>
      <c r="B9" s="43">
        <f t="array" ref="B9:AC29">TRANSPOSE(PolicyInputs!P6:AJ33
)</f>
        <v>0.18</v>
      </c>
      <c r="C9" s="43">
        <v>0.16</v>
      </c>
      <c r="D9" s="43">
        <v>0.11</v>
      </c>
      <c r="E9" s="41">
        <v>0</v>
      </c>
      <c r="F9" s="44">
        <v>2.92</v>
      </c>
      <c r="G9" s="44">
        <v>28.207000000000004</v>
      </c>
      <c r="H9" s="63">
        <v>0</v>
      </c>
      <c r="I9" s="41">
        <v>0</v>
      </c>
      <c r="J9" s="38">
        <v>0</v>
      </c>
      <c r="K9" s="41">
        <v>0</v>
      </c>
      <c r="L9" s="38">
        <v>0</v>
      </c>
      <c r="M9" s="38">
        <v>0</v>
      </c>
      <c r="N9" s="41">
        <v>7.000000000000001E-4</v>
      </c>
      <c r="O9" s="41">
        <v>0</v>
      </c>
      <c r="P9" s="38">
        <v>0</v>
      </c>
      <c r="Q9" s="38" t="str">
        <v>None</v>
      </c>
      <c r="R9" s="38" t="str">
        <v>None</v>
      </c>
      <c r="S9" s="38" t="str">
        <v>None</v>
      </c>
      <c r="T9" s="65">
        <v>0</v>
      </c>
      <c r="U9" s="38">
        <v>0</v>
      </c>
      <c r="V9" s="38">
        <v>0</v>
      </c>
      <c r="W9" s="38">
        <v>0</v>
      </c>
      <c r="X9" s="41">
        <v>0</v>
      </c>
      <c r="Y9" s="65">
        <v>0</v>
      </c>
      <c r="Z9" s="38">
        <v>0</v>
      </c>
      <c r="AA9" s="38">
        <v>0</v>
      </c>
      <c r="AB9" s="38">
        <v>0</v>
      </c>
      <c r="AC9" s="38">
        <v>0</v>
      </c>
      <c r="AE9" s="207">
        <v>15194000000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15" customHeight="1">
      <c r="A10" s="3">
        <f>EconomicInputs!A10</f>
        <v>2016</v>
      </c>
      <c r="B10" s="43">
        <v>0.18</v>
      </c>
      <c r="C10" s="43">
        <v>0.16</v>
      </c>
      <c r="D10" s="43">
        <v>0.11</v>
      </c>
      <c r="E10" s="41">
        <v>0</v>
      </c>
      <c r="F10" s="44">
        <v>2.92</v>
      </c>
      <c r="G10" s="44">
        <v>28.207000000000004</v>
      </c>
      <c r="H10" s="63">
        <v>0</v>
      </c>
      <c r="I10" s="41">
        <v>0</v>
      </c>
      <c r="J10" s="38">
        <v>0</v>
      </c>
      <c r="K10" s="41">
        <v>0</v>
      </c>
      <c r="L10" s="38">
        <v>0</v>
      </c>
      <c r="M10" s="38">
        <v>0</v>
      </c>
      <c r="N10" s="41">
        <v>7.000000000000001E-4</v>
      </c>
      <c r="O10" s="41">
        <v>0</v>
      </c>
      <c r="P10" s="38">
        <v>0</v>
      </c>
      <c r="Q10" s="38" t="str">
        <v>None</v>
      </c>
      <c r="R10" s="38" t="str">
        <v>None</v>
      </c>
      <c r="S10" s="38" t="str">
        <v>None</v>
      </c>
      <c r="T10" s="65">
        <v>0</v>
      </c>
      <c r="U10" s="38">
        <v>0</v>
      </c>
      <c r="V10" s="38">
        <v>0</v>
      </c>
      <c r="W10" s="38">
        <v>0</v>
      </c>
      <c r="X10" s="41">
        <v>0</v>
      </c>
      <c r="Y10" s="65">
        <v>0</v>
      </c>
      <c r="Z10" s="38">
        <v>0</v>
      </c>
      <c r="AA10" s="38">
        <v>0</v>
      </c>
      <c r="AB10" s="38">
        <v>0</v>
      </c>
      <c r="AC10" s="38">
        <v>0</v>
      </c>
      <c r="AE10" s="208">
        <f>AE9*(1+TechnicalInputs!$D$4)</f>
        <v>15710596000</v>
      </c>
      <c r="AG10" s="209"/>
      <c r="AH10" s="209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15" customHeight="1">
      <c r="A11" s="3">
        <f>EconomicInputs!A11</f>
        <v>2017</v>
      </c>
      <c r="B11" s="43">
        <v>0.28000000000000003</v>
      </c>
      <c r="C11" s="43">
        <v>0.16</v>
      </c>
      <c r="D11" s="43">
        <v>0.11</v>
      </c>
      <c r="E11" s="41">
        <v>0</v>
      </c>
      <c r="F11" s="44">
        <v>2.92</v>
      </c>
      <c r="G11" s="44">
        <v>28.207000000000004</v>
      </c>
      <c r="H11" s="63">
        <v>0</v>
      </c>
      <c r="I11" s="41">
        <v>0</v>
      </c>
      <c r="J11" s="38">
        <v>0</v>
      </c>
      <c r="K11" s="41">
        <v>0</v>
      </c>
      <c r="L11" s="38">
        <v>0</v>
      </c>
      <c r="M11" s="38">
        <v>0</v>
      </c>
      <c r="N11" s="41">
        <v>6.9999999999999999E-4</v>
      </c>
      <c r="O11" s="41">
        <v>0</v>
      </c>
      <c r="P11" s="38">
        <v>0</v>
      </c>
      <c r="Q11" s="38" t="str">
        <v>None</v>
      </c>
      <c r="R11" s="38" t="str">
        <v>None</v>
      </c>
      <c r="S11" s="38" t="str">
        <v>None</v>
      </c>
      <c r="T11" s="65">
        <v>0</v>
      </c>
      <c r="U11" s="38">
        <v>0</v>
      </c>
      <c r="V11" s="38">
        <v>0</v>
      </c>
      <c r="W11" s="38">
        <v>0</v>
      </c>
      <c r="X11" s="41">
        <v>0</v>
      </c>
      <c r="Y11" s="65">
        <v>0</v>
      </c>
      <c r="Z11" s="38">
        <v>0</v>
      </c>
      <c r="AA11" s="38">
        <v>0</v>
      </c>
      <c r="AB11" s="38">
        <v>0</v>
      </c>
      <c r="AC11" s="38">
        <v>0</v>
      </c>
      <c r="AE11" s="208">
        <f>AE10*(1+TechnicalInputs!$D$4)</f>
        <v>16244756264</v>
      </c>
      <c r="AF11" s="1"/>
      <c r="AG11" s="209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15" customHeight="1">
      <c r="A12" s="3">
        <f>EconomicInputs!A12</f>
        <v>2018</v>
      </c>
      <c r="B12" s="43">
        <v>0.28000000000000003</v>
      </c>
      <c r="C12" s="43">
        <v>0.16</v>
      </c>
      <c r="D12" s="43">
        <v>0.11</v>
      </c>
      <c r="E12" s="41">
        <v>0</v>
      </c>
      <c r="F12" s="44">
        <v>2.92</v>
      </c>
      <c r="G12" s="44">
        <v>28.207000000000004</v>
      </c>
      <c r="H12" s="63">
        <v>0</v>
      </c>
      <c r="I12" s="41">
        <v>0</v>
      </c>
      <c r="J12" s="38">
        <v>0</v>
      </c>
      <c r="K12" s="41">
        <v>0</v>
      </c>
      <c r="L12" s="38">
        <v>0</v>
      </c>
      <c r="M12" s="38">
        <v>0</v>
      </c>
      <c r="N12" s="41">
        <v>6.9999999999999999E-4</v>
      </c>
      <c r="O12" s="41">
        <v>0</v>
      </c>
      <c r="P12" s="38">
        <v>0</v>
      </c>
      <c r="Q12" s="38" t="str">
        <v>None</v>
      </c>
      <c r="R12" s="38" t="str">
        <v>None</v>
      </c>
      <c r="S12" s="38" t="str">
        <v>None</v>
      </c>
      <c r="T12" s="65">
        <v>0</v>
      </c>
      <c r="U12" s="38">
        <v>0</v>
      </c>
      <c r="V12" s="38">
        <v>0</v>
      </c>
      <c r="W12" s="38">
        <v>0</v>
      </c>
      <c r="X12" s="41">
        <v>0</v>
      </c>
      <c r="Y12" s="65">
        <v>0</v>
      </c>
      <c r="Z12" s="38">
        <v>0</v>
      </c>
      <c r="AA12" s="38">
        <v>0</v>
      </c>
      <c r="AB12" s="38">
        <v>0</v>
      </c>
      <c r="AC12" s="38">
        <v>0</v>
      </c>
      <c r="AE12" s="208">
        <f>AE11*(1+TechnicalInputs!$D$4)</f>
        <v>16797077976.976</v>
      </c>
      <c r="AF12" s="1"/>
      <c r="AG12" s="209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15" customHeight="1">
      <c r="A13" s="3">
        <f>EconomicInputs!A13</f>
        <v>2019</v>
      </c>
      <c r="B13" s="43">
        <v>0.28000000000000003</v>
      </c>
      <c r="C13" s="43">
        <v>0.16</v>
      </c>
      <c r="D13" s="43">
        <v>0.11</v>
      </c>
      <c r="E13" s="41">
        <v>0</v>
      </c>
      <c r="F13" s="44">
        <v>2.92</v>
      </c>
      <c r="G13" s="44">
        <v>28.207000000000004</v>
      </c>
      <c r="H13" s="63">
        <v>0</v>
      </c>
      <c r="I13" s="41">
        <v>0</v>
      </c>
      <c r="J13" s="38">
        <v>0</v>
      </c>
      <c r="K13" s="41">
        <v>0</v>
      </c>
      <c r="L13" s="38">
        <v>0</v>
      </c>
      <c r="M13" s="38">
        <v>0</v>
      </c>
      <c r="N13" s="41">
        <v>6.9999999999999999E-4</v>
      </c>
      <c r="O13" s="41">
        <v>0</v>
      </c>
      <c r="P13" s="38">
        <v>0</v>
      </c>
      <c r="Q13" s="38" t="str">
        <v>None</v>
      </c>
      <c r="R13" s="38" t="str">
        <v>None</v>
      </c>
      <c r="S13" s="38" t="str">
        <v>None</v>
      </c>
      <c r="T13" s="65">
        <v>0</v>
      </c>
      <c r="U13" s="38">
        <v>0</v>
      </c>
      <c r="V13" s="38">
        <v>0</v>
      </c>
      <c r="W13" s="38">
        <v>0</v>
      </c>
      <c r="X13" s="41">
        <v>0</v>
      </c>
      <c r="Y13" s="65">
        <v>0</v>
      </c>
      <c r="Z13" s="38">
        <v>0</v>
      </c>
      <c r="AA13" s="38">
        <v>0</v>
      </c>
      <c r="AB13" s="38">
        <v>0</v>
      </c>
      <c r="AC13" s="38">
        <v>0</v>
      </c>
      <c r="AE13" s="208">
        <f>AE12*(1+TechnicalInputs!$D$4)</f>
        <v>17368178628.193184</v>
      </c>
      <c r="AF13" s="1"/>
      <c r="AG13" s="209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15" customHeight="1">
      <c r="A14" s="3">
        <f>EconomicInputs!A14</f>
        <v>2020</v>
      </c>
      <c r="B14" s="43">
        <v>0.28000000000000003</v>
      </c>
      <c r="C14" s="43">
        <v>0.16</v>
      </c>
      <c r="D14" s="43">
        <v>0.11</v>
      </c>
      <c r="E14" s="41">
        <v>0</v>
      </c>
      <c r="F14" s="44">
        <v>2.92</v>
      </c>
      <c r="G14" s="44">
        <v>28.207000000000004</v>
      </c>
      <c r="H14" s="63">
        <v>0</v>
      </c>
      <c r="I14" s="41">
        <v>0</v>
      </c>
      <c r="J14" s="38">
        <v>0</v>
      </c>
      <c r="K14" s="41">
        <v>0</v>
      </c>
      <c r="L14" s="38">
        <v>0</v>
      </c>
      <c r="M14" s="38">
        <v>0</v>
      </c>
      <c r="N14" s="41">
        <v>6.9999999999999999E-4</v>
      </c>
      <c r="O14" s="41">
        <v>0</v>
      </c>
      <c r="P14" s="38">
        <v>0</v>
      </c>
      <c r="Q14" s="38" t="str">
        <v>None</v>
      </c>
      <c r="R14" s="38" t="str">
        <v>None</v>
      </c>
      <c r="S14" s="38" t="str">
        <v>None</v>
      </c>
      <c r="T14" s="65">
        <v>0</v>
      </c>
      <c r="U14" s="38">
        <v>0</v>
      </c>
      <c r="V14" s="38">
        <v>0</v>
      </c>
      <c r="W14" s="38">
        <v>0</v>
      </c>
      <c r="X14" s="41">
        <v>0</v>
      </c>
      <c r="Y14" s="65">
        <v>0</v>
      </c>
      <c r="Z14" s="38">
        <v>0</v>
      </c>
      <c r="AA14" s="38">
        <v>0</v>
      </c>
      <c r="AB14" s="38">
        <v>0</v>
      </c>
      <c r="AC14" s="38">
        <v>0</v>
      </c>
      <c r="AE14" s="208">
        <f>AE13*(1+TechnicalInputs!$D$4)</f>
        <v>17958696701.551754</v>
      </c>
      <c r="AF14" s="1"/>
      <c r="AG14" s="209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15" customHeight="1">
      <c r="A15" s="3">
        <f>EconomicInputs!A15</f>
        <v>2021</v>
      </c>
      <c r="B15" s="43">
        <v>0.28000000000000003</v>
      </c>
      <c r="C15" s="43">
        <v>0.16</v>
      </c>
      <c r="D15" s="43">
        <v>0.11</v>
      </c>
      <c r="E15" s="41">
        <v>0</v>
      </c>
      <c r="F15" s="44">
        <v>2.92</v>
      </c>
      <c r="G15" s="44">
        <v>28.207000000000004</v>
      </c>
      <c r="H15" s="63">
        <v>0</v>
      </c>
      <c r="I15" s="41">
        <v>0</v>
      </c>
      <c r="J15" s="38">
        <v>0</v>
      </c>
      <c r="K15" s="41">
        <v>0</v>
      </c>
      <c r="L15" s="38">
        <v>0</v>
      </c>
      <c r="M15" s="38">
        <v>0</v>
      </c>
      <c r="N15" s="41">
        <v>6.9999999999999999E-4</v>
      </c>
      <c r="O15" s="41">
        <v>0</v>
      </c>
      <c r="P15" s="38">
        <v>0</v>
      </c>
      <c r="Q15" s="38" t="str">
        <v>None</v>
      </c>
      <c r="R15" s="38" t="str">
        <v>None</v>
      </c>
      <c r="S15" s="38" t="str">
        <v>None</v>
      </c>
      <c r="T15" s="65">
        <v>0</v>
      </c>
      <c r="U15" s="38">
        <v>0</v>
      </c>
      <c r="V15" s="38">
        <v>0</v>
      </c>
      <c r="W15" s="38">
        <v>0</v>
      </c>
      <c r="X15" s="41">
        <v>0</v>
      </c>
      <c r="Y15" s="65">
        <v>0</v>
      </c>
      <c r="Z15" s="38">
        <v>0</v>
      </c>
      <c r="AA15" s="38">
        <v>0</v>
      </c>
      <c r="AB15" s="38">
        <v>0</v>
      </c>
      <c r="AC15" s="38">
        <v>0</v>
      </c>
      <c r="AE15" s="208">
        <f>AE14*(1+TechnicalInputs!$D$4)</f>
        <v>18569292389.404514</v>
      </c>
      <c r="AF15" s="1"/>
      <c r="AG15" s="209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15" customHeight="1">
      <c r="A16" s="3">
        <f>EconomicInputs!A16</f>
        <v>2022</v>
      </c>
      <c r="B16" s="43">
        <v>0.28000000000000003</v>
      </c>
      <c r="C16" s="43">
        <v>0.16</v>
      </c>
      <c r="D16" s="43">
        <v>0.11</v>
      </c>
      <c r="E16" s="41">
        <v>0</v>
      </c>
      <c r="F16" s="44">
        <v>2.92</v>
      </c>
      <c r="G16" s="44">
        <v>28.207000000000004</v>
      </c>
      <c r="H16" s="63">
        <v>0</v>
      </c>
      <c r="I16" s="41">
        <v>0</v>
      </c>
      <c r="J16" s="38">
        <v>0</v>
      </c>
      <c r="K16" s="41">
        <v>0</v>
      </c>
      <c r="L16" s="38">
        <v>0</v>
      </c>
      <c r="M16" s="38">
        <v>0</v>
      </c>
      <c r="N16" s="41">
        <v>6.9999999999999999E-4</v>
      </c>
      <c r="O16" s="41">
        <v>0</v>
      </c>
      <c r="P16" s="38">
        <v>0</v>
      </c>
      <c r="Q16" s="38" t="str">
        <v>None</v>
      </c>
      <c r="R16" s="38" t="str">
        <v>None</v>
      </c>
      <c r="S16" s="38" t="str">
        <v>None</v>
      </c>
      <c r="T16" s="65">
        <v>0</v>
      </c>
      <c r="U16" s="38">
        <v>0</v>
      </c>
      <c r="V16" s="38">
        <v>0</v>
      </c>
      <c r="W16" s="38">
        <v>0</v>
      </c>
      <c r="X16" s="41">
        <v>0</v>
      </c>
      <c r="Y16" s="65">
        <v>0</v>
      </c>
      <c r="Z16" s="38">
        <v>0</v>
      </c>
      <c r="AA16" s="38">
        <v>0</v>
      </c>
      <c r="AB16" s="38">
        <v>0</v>
      </c>
      <c r="AC16" s="38">
        <v>0</v>
      </c>
      <c r="AE16" s="208">
        <f>AE15*(1+TechnicalInputs!$D$4)</f>
        <v>19200648330.644268</v>
      </c>
      <c r="AF16" s="1"/>
      <c r="AG16" s="209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15" customHeight="1">
      <c r="A17" s="3">
        <f>EconomicInputs!A17</f>
        <v>2023</v>
      </c>
      <c r="B17" s="43">
        <v>0.28000000000000003</v>
      </c>
      <c r="C17" s="43">
        <v>0.16</v>
      </c>
      <c r="D17" s="43">
        <v>0.11</v>
      </c>
      <c r="E17" s="41">
        <v>0</v>
      </c>
      <c r="F17" s="44">
        <v>2.92</v>
      </c>
      <c r="G17" s="44">
        <v>28.207000000000004</v>
      </c>
      <c r="H17" s="63">
        <v>0</v>
      </c>
      <c r="I17" s="41">
        <v>0</v>
      </c>
      <c r="J17" s="38">
        <v>0</v>
      </c>
      <c r="K17" s="41">
        <v>0</v>
      </c>
      <c r="L17" s="38">
        <v>0</v>
      </c>
      <c r="M17" s="38">
        <v>0</v>
      </c>
      <c r="N17" s="41">
        <v>6.9999999999999999E-4</v>
      </c>
      <c r="O17" s="41">
        <v>0</v>
      </c>
      <c r="P17" s="38">
        <v>0</v>
      </c>
      <c r="Q17" s="38" t="str">
        <v>None</v>
      </c>
      <c r="R17" s="38" t="str">
        <v>None</v>
      </c>
      <c r="S17" s="38" t="str">
        <v>None</v>
      </c>
      <c r="T17" s="65">
        <v>0</v>
      </c>
      <c r="U17" s="38">
        <v>0</v>
      </c>
      <c r="V17" s="38">
        <v>0</v>
      </c>
      <c r="W17" s="38">
        <v>0</v>
      </c>
      <c r="X17" s="41">
        <v>0</v>
      </c>
      <c r="Y17" s="65">
        <v>0</v>
      </c>
      <c r="Z17" s="38">
        <v>0</v>
      </c>
      <c r="AA17" s="38">
        <v>0</v>
      </c>
      <c r="AB17" s="38">
        <v>0</v>
      </c>
      <c r="AC17" s="38">
        <v>0</v>
      </c>
      <c r="AE17" s="208">
        <f>AE16*(1+TechnicalInputs!$D$4)</f>
        <v>19853470373.886173</v>
      </c>
      <c r="AF17" s="1"/>
      <c r="AG17" s="209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5" customHeight="1">
      <c r="A18" s="3">
        <f>EconomicInputs!A18</f>
        <v>2024</v>
      </c>
      <c r="B18" s="43">
        <v>0.28000000000000003</v>
      </c>
      <c r="C18" s="43">
        <v>0.16</v>
      </c>
      <c r="D18" s="43">
        <v>0.11</v>
      </c>
      <c r="E18" s="41">
        <v>0</v>
      </c>
      <c r="F18" s="44">
        <v>2.92</v>
      </c>
      <c r="G18" s="44">
        <v>28.207000000000004</v>
      </c>
      <c r="H18" s="63">
        <v>0</v>
      </c>
      <c r="I18" s="41">
        <v>0</v>
      </c>
      <c r="J18" s="38">
        <v>0</v>
      </c>
      <c r="K18" s="41">
        <v>0</v>
      </c>
      <c r="L18" s="38">
        <v>0</v>
      </c>
      <c r="M18" s="38">
        <v>0</v>
      </c>
      <c r="N18" s="41">
        <v>6.9999999999999999E-4</v>
      </c>
      <c r="O18" s="41">
        <v>0</v>
      </c>
      <c r="P18" s="38">
        <v>0</v>
      </c>
      <c r="Q18" s="38" t="str">
        <v>None</v>
      </c>
      <c r="R18" s="38" t="str">
        <v>None</v>
      </c>
      <c r="S18" s="38" t="str">
        <v>None</v>
      </c>
      <c r="T18" s="65">
        <v>0</v>
      </c>
      <c r="U18" s="38">
        <v>0</v>
      </c>
      <c r="V18" s="38">
        <v>0</v>
      </c>
      <c r="W18" s="38">
        <v>0</v>
      </c>
      <c r="X18" s="41">
        <v>0</v>
      </c>
      <c r="Y18" s="65">
        <v>0</v>
      </c>
      <c r="Z18" s="38">
        <v>0</v>
      </c>
      <c r="AA18" s="38">
        <v>0</v>
      </c>
      <c r="AB18" s="38">
        <v>0</v>
      </c>
      <c r="AC18" s="38">
        <v>0</v>
      </c>
      <c r="AE18" s="208">
        <f>AE17*(1+TechnicalInputs!$D$4)</f>
        <v>20528488366.598305</v>
      </c>
      <c r="AF18" s="1"/>
      <c r="AG18" s="209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15" customHeight="1">
      <c r="A19" s="3">
        <f>EconomicInputs!A19</f>
        <v>2025</v>
      </c>
      <c r="B19" s="43">
        <v>0.28000000000000003</v>
      </c>
      <c r="C19" s="43">
        <v>0.16</v>
      </c>
      <c r="D19" s="43">
        <v>0.11</v>
      </c>
      <c r="E19" s="41">
        <v>0</v>
      </c>
      <c r="F19" s="44">
        <v>2.92</v>
      </c>
      <c r="G19" s="44">
        <v>28.207000000000004</v>
      </c>
      <c r="H19" s="63">
        <v>0</v>
      </c>
      <c r="I19" s="41">
        <v>0</v>
      </c>
      <c r="J19" s="38">
        <v>0</v>
      </c>
      <c r="K19" s="41">
        <v>0</v>
      </c>
      <c r="L19" s="38">
        <v>0</v>
      </c>
      <c r="M19" s="38">
        <v>0</v>
      </c>
      <c r="N19" s="41">
        <v>6.9999999999999999E-4</v>
      </c>
      <c r="O19" s="41">
        <v>0</v>
      </c>
      <c r="P19" s="38">
        <v>0</v>
      </c>
      <c r="Q19" s="38" t="str">
        <v>None</v>
      </c>
      <c r="R19" s="38" t="str">
        <v>None</v>
      </c>
      <c r="S19" s="38" t="str">
        <v>None</v>
      </c>
      <c r="T19" s="65">
        <v>0</v>
      </c>
      <c r="U19" s="38">
        <v>0</v>
      </c>
      <c r="V19" s="38">
        <v>0</v>
      </c>
      <c r="W19" s="38">
        <v>0</v>
      </c>
      <c r="X19" s="41">
        <v>0</v>
      </c>
      <c r="Y19" s="65">
        <v>0</v>
      </c>
      <c r="Z19" s="38">
        <v>0</v>
      </c>
      <c r="AA19" s="38">
        <v>0</v>
      </c>
      <c r="AB19" s="38">
        <v>0</v>
      </c>
      <c r="AC19" s="38">
        <v>0</v>
      </c>
      <c r="AE19" s="208">
        <f>AE18*(1+TechnicalInputs!$D$4)</f>
        <v>21226456971.062649</v>
      </c>
      <c r="AF19" s="1"/>
      <c r="AG19" s="209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5" customHeight="1">
      <c r="A20" s="3">
        <f>EconomicInputs!A20</f>
        <v>2026</v>
      </c>
      <c r="B20" s="43">
        <v>0.28000000000000003</v>
      </c>
      <c r="C20" s="43">
        <v>0.16</v>
      </c>
      <c r="D20" s="43">
        <v>0.11</v>
      </c>
      <c r="E20" s="41">
        <v>0</v>
      </c>
      <c r="F20" s="44">
        <v>2.92</v>
      </c>
      <c r="G20" s="44">
        <v>28.207000000000004</v>
      </c>
      <c r="H20" s="63">
        <v>0</v>
      </c>
      <c r="I20" s="41">
        <v>0</v>
      </c>
      <c r="J20" s="38">
        <v>0</v>
      </c>
      <c r="K20" s="41">
        <v>0</v>
      </c>
      <c r="L20" s="38">
        <v>0</v>
      </c>
      <c r="M20" s="38">
        <v>0</v>
      </c>
      <c r="N20" s="41">
        <v>6.9999999999999999E-4</v>
      </c>
      <c r="O20" s="41">
        <v>0</v>
      </c>
      <c r="P20" s="38">
        <v>0</v>
      </c>
      <c r="Q20" s="38" t="str">
        <v>None</v>
      </c>
      <c r="R20" s="38" t="str">
        <v>None</v>
      </c>
      <c r="S20" s="38" t="str">
        <v>None</v>
      </c>
      <c r="T20" s="65">
        <v>0</v>
      </c>
      <c r="U20" s="38">
        <v>0</v>
      </c>
      <c r="V20" s="38">
        <v>0</v>
      </c>
      <c r="W20" s="38">
        <v>0</v>
      </c>
      <c r="X20" s="41">
        <v>0</v>
      </c>
      <c r="Y20" s="65">
        <v>0</v>
      </c>
      <c r="Z20" s="38">
        <v>0</v>
      </c>
      <c r="AA20" s="38">
        <v>0</v>
      </c>
      <c r="AB20" s="38">
        <v>0</v>
      </c>
      <c r="AC20" s="38">
        <v>0</v>
      </c>
      <c r="AE20" s="208">
        <f>AE19*(1+TechnicalInputs!$D$4)</f>
        <v>21948156508.078781</v>
      </c>
      <c r="AF20" s="1"/>
      <c r="AG20" s="209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15" customHeight="1">
      <c r="A21" s="3">
        <f>EconomicInputs!A21</f>
        <v>2027</v>
      </c>
      <c r="B21" s="43">
        <v>0.28000000000000003</v>
      </c>
      <c r="C21" s="43">
        <v>0.16</v>
      </c>
      <c r="D21" s="43">
        <v>0.11</v>
      </c>
      <c r="E21" s="41">
        <v>0</v>
      </c>
      <c r="F21" s="44">
        <v>2.92</v>
      </c>
      <c r="G21" s="44">
        <v>28.207000000000004</v>
      </c>
      <c r="H21" s="63">
        <v>0</v>
      </c>
      <c r="I21" s="41">
        <v>0</v>
      </c>
      <c r="J21" s="38">
        <v>0</v>
      </c>
      <c r="K21" s="41">
        <v>0</v>
      </c>
      <c r="L21" s="38">
        <v>0</v>
      </c>
      <c r="M21" s="38">
        <v>0</v>
      </c>
      <c r="N21" s="41">
        <v>6.9999999999999999E-4</v>
      </c>
      <c r="O21" s="41">
        <v>0</v>
      </c>
      <c r="P21" s="38">
        <v>0</v>
      </c>
      <c r="Q21" s="38" t="str">
        <v>None</v>
      </c>
      <c r="R21" s="38" t="str">
        <v>None</v>
      </c>
      <c r="S21" s="38" t="str">
        <v>None</v>
      </c>
      <c r="T21" s="65">
        <v>0</v>
      </c>
      <c r="U21" s="38">
        <v>0</v>
      </c>
      <c r="V21" s="38">
        <v>0</v>
      </c>
      <c r="W21" s="38">
        <v>0</v>
      </c>
      <c r="X21" s="41">
        <v>0</v>
      </c>
      <c r="Y21" s="65">
        <v>0</v>
      </c>
      <c r="Z21" s="38">
        <v>0</v>
      </c>
      <c r="AA21" s="38">
        <v>0</v>
      </c>
      <c r="AB21" s="38">
        <v>0</v>
      </c>
      <c r="AC21" s="38">
        <v>0</v>
      </c>
      <c r="AE21" s="208">
        <f>AE20*(1+TechnicalInputs!$D$4)</f>
        <v>22694393829.353462</v>
      </c>
      <c r="AF21" s="1"/>
      <c r="AG21" s="209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15" customHeight="1">
      <c r="A22" s="3">
        <f>EconomicInputs!A22</f>
        <v>2028</v>
      </c>
      <c r="B22" s="43">
        <v>0.28000000000000003</v>
      </c>
      <c r="C22" s="43">
        <v>0.16</v>
      </c>
      <c r="D22" s="43">
        <v>0.11</v>
      </c>
      <c r="E22" s="41">
        <v>0</v>
      </c>
      <c r="F22" s="44">
        <v>2.92</v>
      </c>
      <c r="G22" s="44">
        <v>28.207000000000004</v>
      </c>
      <c r="H22" s="63">
        <v>0</v>
      </c>
      <c r="I22" s="41">
        <v>0</v>
      </c>
      <c r="J22" s="38">
        <v>0</v>
      </c>
      <c r="K22" s="41">
        <v>0</v>
      </c>
      <c r="L22" s="38">
        <v>0</v>
      </c>
      <c r="M22" s="38">
        <v>0</v>
      </c>
      <c r="N22" s="41">
        <v>6.9999999999999999E-4</v>
      </c>
      <c r="O22" s="41">
        <v>0</v>
      </c>
      <c r="P22" s="38">
        <v>0</v>
      </c>
      <c r="Q22" s="38" t="str">
        <v>None</v>
      </c>
      <c r="R22" s="38" t="str">
        <v>None</v>
      </c>
      <c r="S22" s="38" t="str">
        <v>None</v>
      </c>
      <c r="T22" s="65">
        <v>0</v>
      </c>
      <c r="U22" s="38">
        <v>0</v>
      </c>
      <c r="V22" s="38">
        <v>0</v>
      </c>
      <c r="W22" s="38">
        <v>0</v>
      </c>
      <c r="X22" s="41">
        <v>0</v>
      </c>
      <c r="Y22" s="65">
        <v>0</v>
      </c>
      <c r="Z22" s="38">
        <v>0</v>
      </c>
      <c r="AA22" s="38">
        <v>0</v>
      </c>
      <c r="AB22" s="38">
        <v>0</v>
      </c>
      <c r="AC22" s="38">
        <v>0</v>
      </c>
      <c r="AE22" s="208">
        <f>AE21*(1+TechnicalInputs!$D$4)</f>
        <v>23466003219.551479</v>
      </c>
      <c r="AF22" s="1"/>
      <c r="AG22" s="209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15" customHeight="1">
      <c r="A23" s="3">
        <f>EconomicInputs!A23</f>
        <v>2029</v>
      </c>
      <c r="B23" s="43">
        <v>0.28000000000000003</v>
      </c>
      <c r="C23" s="43">
        <v>0.16</v>
      </c>
      <c r="D23" s="43">
        <v>0.11</v>
      </c>
      <c r="E23" s="41">
        <v>0</v>
      </c>
      <c r="F23" s="44">
        <v>2.92</v>
      </c>
      <c r="G23" s="44">
        <v>28.207000000000004</v>
      </c>
      <c r="H23" s="63">
        <v>0</v>
      </c>
      <c r="I23" s="41">
        <v>0</v>
      </c>
      <c r="J23" s="38">
        <v>0</v>
      </c>
      <c r="K23" s="41">
        <v>0</v>
      </c>
      <c r="L23" s="38">
        <v>0</v>
      </c>
      <c r="M23" s="38">
        <v>0</v>
      </c>
      <c r="N23" s="41">
        <v>6.9999999999999999E-4</v>
      </c>
      <c r="O23" s="41">
        <v>0</v>
      </c>
      <c r="P23" s="38">
        <v>0</v>
      </c>
      <c r="Q23" s="38" t="str">
        <v>None</v>
      </c>
      <c r="R23" s="38" t="str">
        <v>None</v>
      </c>
      <c r="S23" s="38" t="str">
        <v>None</v>
      </c>
      <c r="T23" s="65">
        <v>0</v>
      </c>
      <c r="U23" s="38">
        <v>0</v>
      </c>
      <c r="V23" s="38">
        <v>0</v>
      </c>
      <c r="W23" s="38">
        <v>0</v>
      </c>
      <c r="X23" s="41">
        <v>0</v>
      </c>
      <c r="Y23" s="65">
        <v>0</v>
      </c>
      <c r="Z23" s="38">
        <v>0</v>
      </c>
      <c r="AA23" s="38">
        <v>0</v>
      </c>
      <c r="AB23" s="38">
        <v>0</v>
      </c>
      <c r="AC23" s="38">
        <v>0</v>
      </c>
      <c r="AE23" s="208">
        <f>AE22*(1+TechnicalInputs!$D$4)</f>
        <v>24263847329.016232</v>
      </c>
      <c r="AF23" s="1"/>
      <c r="AG23" s="209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15" customHeight="1">
      <c r="A24" s="3">
        <f>EconomicInputs!A24</f>
        <v>2030</v>
      </c>
      <c r="B24" s="43">
        <v>0.28000000000000003</v>
      </c>
      <c r="C24" s="43">
        <v>0.16</v>
      </c>
      <c r="D24" s="43">
        <v>0.11</v>
      </c>
      <c r="E24" s="41">
        <v>0</v>
      </c>
      <c r="F24" s="44">
        <v>2.92</v>
      </c>
      <c r="G24" s="44">
        <v>28.207000000000004</v>
      </c>
      <c r="H24" s="63">
        <v>0</v>
      </c>
      <c r="I24" s="41">
        <v>0</v>
      </c>
      <c r="J24" s="38">
        <v>0</v>
      </c>
      <c r="K24" s="41">
        <v>0</v>
      </c>
      <c r="L24" s="38">
        <v>0</v>
      </c>
      <c r="M24" s="38">
        <v>0</v>
      </c>
      <c r="N24" s="41">
        <v>6.9999999999999999E-4</v>
      </c>
      <c r="O24" s="41">
        <v>0</v>
      </c>
      <c r="P24" s="38">
        <v>0</v>
      </c>
      <c r="Q24" s="38" t="str">
        <v>None</v>
      </c>
      <c r="R24" s="38" t="str">
        <v>None</v>
      </c>
      <c r="S24" s="38" t="str">
        <v>None</v>
      </c>
      <c r="T24" s="65">
        <v>0</v>
      </c>
      <c r="U24" s="38">
        <v>0</v>
      </c>
      <c r="V24" s="38">
        <v>0</v>
      </c>
      <c r="W24" s="38">
        <v>0</v>
      </c>
      <c r="X24" s="41">
        <v>0</v>
      </c>
      <c r="Y24" s="65">
        <v>0</v>
      </c>
      <c r="Z24" s="38">
        <v>0</v>
      </c>
      <c r="AA24" s="38">
        <v>0</v>
      </c>
      <c r="AB24" s="38">
        <v>0</v>
      </c>
      <c r="AC24" s="38">
        <v>0</v>
      </c>
      <c r="AE24" s="208">
        <f>AE23*(1+TechnicalInputs!$D$4)</f>
        <v>25088818138.202785</v>
      </c>
      <c r="AF24" s="1"/>
      <c r="AG24" s="209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15" customHeight="1">
      <c r="A25" s="3">
        <f>EconomicInputs!A25</f>
        <v>2031</v>
      </c>
      <c r="B25" s="43">
        <v>0.28000000000000003</v>
      </c>
      <c r="C25" s="43">
        <v>0.16</v>
      </c>
      <c r="D25" s="43">
        <v>0.11</v>
      </c>
      <c r="E25" s="41">
        <v>0</v>
      </c>
      <c r="F25" s="44">
        <v>2.92</v>
      </c>
      <c r="G25" s="44">
        <v>28.207000000000004</v>
      </c>
      <c r="H25" s="63">
        <v>0</v>
      </c>
      <c r="I25" s="41">
        <v>0</v>
      </c>
      <c r="J25" s="38">
        <v>0</v>
      </c>
      <c r="K25" s="41">
        <v>0</v>
      </c>
      <c r="L25" s="38">
        <v>0</v>
      </c>
      <c r="M25" s="38">
        <v>0</v>
      </c>
      <c r="N25" s="41">
        <v>6.9999999999999999E-4</v>
      </c>
      <c r="O25" s="41">
        <v>0</v>
      </c>
      <c r="P25" s="38">
        <v>0</v>
      </c>
      <c r="Q25" s="38" t="str">
        <v>None</v>
      </c>
      <c r="R25" s="38" t="str">
        <v>None</v>
      </c>
      <c r="S25" s="38" t="str">
        <v>None</v>
      </c>
      <c r="T25" s="65">
        <v>0</v>
      </c>
      <c r="U25" s="38">
        <v>0</v>
      </c>
      <c r="V25" s="38">
        <v>0</v>
      </c>
      <c r="W25" s="38">
        <v>0</v>
      </c>
      <c r="X25" s="41">
        <v>0</v>
      </c>
      <c r="Y25" s="65">
        <v>0</v>
      </c>
      <c r="Z25" s="38">
        <v>0</v>
      </c>
      <c r="AA25" s="38">
        <v>0</v>
      </c>
      <c r="AB25" s="38">
        <v>0</v>
      </c>
      <c r="AC25" s="38">
        <v>0</v>
      </c>
      <c r="AE25" s="208">
        <f>AE24*(1+TechnicalInputs!$D$4)</f>
        <v>25941837954.90168</v>
      </c>
      <c r="AF25" s="1"/>
      <c r="AG25" s="209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15" customHeight="1">
      <c r="A26" s="3">
        <f>EconomicInputs!A26</f>
        <v>2032</v>
      </c>
      <c r="B26" s="43">
        <v>0.28000000000000003</v>
      </c>
      <c r="C26" s="43">
        <v>0.16</v>
      </c>
      <c r="D26" s="43">
        <v>0.11</v>
      </c>
      <c r="E26" s="41">
        <v>0</v>
      </c>
      <c r="F26" s="44">
        <v>2.92</v>
      </c>
      <c r="G26" s="44">
        <v>28.207000000000004</v>
      </c>
      <c r="H26" s="63">
        <v>0</v>
      </c>
      <c r="I26" s="41">
        <v>0</v>
      </c>
      <c r="J26" s="38">
        <v>0</v>
      </c>
      <c r="K26" s="41">
        <v>0</v>
      </c>
      <c r="L26" s="38">
        <v>0</v>
      </c>
      <c r="M26" s="38">
        <v>0</v>
      </c>
      <c r="N26" s="41">
        <v>6.9999999999999999E-4</v>
      </c>
      <c r="O26" s="41">
        <v>0</v>
      </c>
      <c r="P26" s="38">
        <v>0</v>
      </c>
      <c r="Q26" s="38" t="str">
        <v>None</v>
      </c>
      <c r="R26" s="38" t="str">
        <v>None</v>
      </c>
      <c r="S26" s="38" t="str">
        <v>None</v>
      </c>
      <c r="T26" s="65">
        <v>0</v>
      </c>
      <c r="U26" s="38">
        <v>0</v>
      </c>
      <c r="V26" s="38">
        <v>0</v>
      </c>
      <c r="W26" s="38">
        <v>0</v>
      </c>
      <c r="X26" s="41">
        <v>0</v>
      </c>
      <c r="Y26" s="65">
        <v>0</v>
      </c>
      <c r="Z26" s="38">
        <v>0</v>
      </c>
      <c r="AA26" s="38">
        <v>0</v>
      </c>
      <c r="AB26" s="38">
        <v>0</v>
      </c>
      <c r="AC26" s="38">
        <v>0</v>
      </c>
      <c r="AE26" s="208">
        <f>AE25*(1+TechnicalInputs!$D$4)</f>
        <v>26823860445.36834</v>
      </c>
      <c r="AF26" s="1"/>
      <c r="AG26" s="209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15" customHeight="1">
      <c r="A27" s="3">
        <f>EconomicInputs!A27</f>
        <v>2033</v>
      </c>
      <c r="B27" s="43">
        <v>0.28000000000000003</v>
      </c>
      <c r="C27" s="43">
        <v>0.16</v>
      </c>
      <c r="D27" s="43">
        <v>0.11</v>
      </c>
      <c r="E27" s="41">
        <v>0</v>
      </c>
      <c r="F27" s="44">
        <v>2.92</v>
      </c>
      <c r="G27" s="44">
        <v>28.207000000000004</v>
      </c>
      <c r="H27" s="63">
        <v>0</v>
      </c>
      <c r="I27" s="41">
        <v>0</v>
      </c>
      <c r="J27" s="38">
        <v>0</v>
      </c>
      <c r="K27" s="41">
        <v>0</v>
      </c>
      <c r="L27" s="38">
        <v>0</v>
      </c>
      <c r="M27" s="38">
        <v>0</v>
      </c>
      <c r="N27" s="41">
        <v>6.9999999999999999E-4</v>
      </c>
      <c r="O27" s="41">
        <v>0</v>
      </c>
      <c r="P27" s="38">
        <v>0</v>
      </c>
      <c r="Q27" s="38" t="str">
        <v>None</v>
      </c>
      <c r="R27" s="38" t="str">
        <v>None</v>
      </c>
      <c r="S27" s="38" t="str">
        <v>None</v>
      </c>
      <c r="T27" s="65">
        <v>0</v>
      </c>
      <c r="U27" s="38">
        <v>0</v>
      </c>
      <c r="V27" s="38">
        <v>0</v>
      </c>
      <c r="W27" s="38">
        <v>0</v>
      </c>
      <c r="X27" s="41">
        <v>0</v>
      </c>
      <c r="Y27" s="65">
        <v>0</v>
      </c>
      <c r="Z27" s="38">
        <v>0</v>
      </c>
      <c r="AA27" s="38">
        <v>0</v>
      </c>
      <c r="AB27" s="38">
        <v>0</v>
      </c>
      <c r="AC27" s="38">
        <v>0</v>
      </c>
      <c r="AE27" s="208">
        <f>AE26*(1+TechnicalInputs!$D$4)</f>
        <v>27735871700.510864</v>
      </c>
      <c r="AF27" s="1"/>
      <c r="AG27" s="209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15" customHeight="1">
      <c r="A28" s="3">
        <f>EconomicInputs!A28</f>
        <v>2034</v>
      </c>
      <c r="B28" s="43">
        <v>0.28000000000000003</v>
      </c>
      <c r="C28" s="43">
        <v>0.16</v>
      </c>
      <c r="D28" s="43">
        <v>0.11</v>
      </c>
      <c r="E28" s="41">
        <v>0</v>
      </c>
      <c r="F28" s="44">
        <v>2.92</v>
      </c>
      <c r="G28" s="44">
        <v>28.207000000000004</v>
      </c>
      <c r="H28" s="63">
        <v>0</v>
      </c>
      <c r="I28" s="41">
        <v>0</v>
      </c>
      <c r="J28" s="38">
        <v>0</v>
      </c>
      <c r="K28" s="41">
        <v>0</v>
      </c>
      <c r="L28" s="38">
        <v>0</v>
      </c>
      <c r="M28" s="38">
        <v>0</v>
      </c>
      <c r="N28" s="41">
        <v>6.9999999999999999E-4</v>
      </c>
      <c r="O28" s="41">
        <v>0</v>
      </c>
      <c r="P28" s="38">
        <v>0</v>
      </c>
      <c r="Q28" s="38" t="str">
        <v>None</v>
      </c>
      <c r="R28" s="38" t="str">
        <v>None</v>
      </c>
      <c r="S28" s="38" t="str">
        <v>None</v>
      </c>
      <c r="T28" s="65">
        <v>0</v>
      </c>
      <c r="U28" s="38">
        <v>0</v>
      </c>
      <c r="V28" s="38">
        <v>0</v>
      </c>
      <c r="W28" s="38">
        <v>0</v>
      </c>
      <c r="X28" s="41">
        <v>0</v>
      </c>
      <c r="Y28" s="65">
        <v>0</v>
      </c>
      <c r="Z28" s="38">
        <v>0</v>
      </c>
      <c r="AA28" s="38">
        <v>0</v>
      </c>
      <c r="AB28" s="38">
        <v>0</v>
      </c>
      <c r="AC28" s="38">
        <v>0</v>
      </c>
      <c r="AE28" s="208">
        <f>AE27*(1+TechnicalInputs!$D$4)</f>
        <v>28678891338.328236</v>
      </c>
      <c r="AF28" s="1"/>
      <c r="AG28" s="209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15" customHeight="1">
      <c r="A29" s="3">
        <f>EconomicInputs!A29</f>
        <v>2035</v>
      </c>
      <c r="B29" s="43">
        <v>0.28000000000000003</v>
      </c>
      <c r="C29" s="43">
        <v>0.16</v>
      </c>
      <c r="D29" s="43">
        <v>0.11</v>
      </c>
      <c r="E29" s="41">
        <v>0</v>
      </c>
      <c r="F29" s="44">
        <v>2.92</v>
      </c>
      <c r="G29" s="44">
        <v>28.207000000000004</v>
      </c>
      <c r="H29" s="63">
        <v>0</v>
      </c>
      <c r="I29" s="41">
        <v>0</v>
      </c>
      <c r="J29" s="38">
        <v>0</v>
      </c>
      <c r="K29" s="41">
        <v>0</v>
      </c>
      <c r="L29" s="38">
        <v>0</v>
      </c>
      <c r="M29" s="38">
        <v>0</v>
      </c>
      <c r="N29" s="41">
        <v>6.9999999999999999E-4</v>
      </c>
      <c r="O29" s="41">
        <v>0</v>
      </c>
      <c r="P29" s="38">
        <v>0</v>
      </c>
      <c r="Q29" s="38" t="str">
        <v>None</v>
      </c>
      <c r="R29" s="38" t="str">
        <v>None</v>
      </c>
      <c r="S29" s="38" t="str">
        <v>None</v>
      </c>
      <c r="T29" s="65">
        <v>0</v>
      </c>
      <c r="U29" s="38">
        <v>0</v>
      </c>
      <c r="V29" s="38">
        <v>0</v>
      </c>
      <c r="W29" s="38">
        <v>0</v>
      </c>
      <c r="X29" s="41">
        <v>0</v>
      </c>
      <c r="Y29" s="65">
        <v>0</v>
      </c>
      <c r="Z29" s="38">
        <v>0</v>
      </c>
      <c r="AA29" s="38">
        <v>0</v>
      </c>
      <c r="AB29" s="38">
        <v>0</v>
      </c>
      <c r="AC29" s="38">
        <v>0</v>
      </c>
      <c r="AE29" s="208">
        <f>AE28*(1+TechnicalInputs!$D$4)</f>
        <v>29653973643.831398</v>
      </c>
      <c r="AF29" s="1"/>
      <c r="AG29" s="209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2" spans="1:46" s="23" customFormat="1" ht="30" customHeight="1">
      <c r="A32" s="272" t="s">
        <v>92</v>
      </c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4"/>
      <c r="AD32" s="276" t="s">
        <v>141</v>
      </c>
      <c r="AE32" s="233" t="s">
        <v>142</v>
      </c>
      <c r="AF32" s="233" t="s">
        <v>144</v>
      </c>
      <c r="AG32" s="233" t="s">
        <v>145</v>
      </c>
    </row>
    <row r="33" spans="1:33" s="23" customFormat="1" ht="31.5">
      <c r="A33" s="170" t="s">
        <v>91</v>
      </c>
      <c r="B33" s="270" t="s">
        <v>44</v>
      </c>
      <c r="C33" s="270"/>
      <c r="D33" s="270"/>
      <c r="E33" s="171" t="s">
        <v>1</v>
      </c>
      <c r="F33" s="171" t="s">
        <v>31</v>
      </c>
      <c r="G33" s="171" t="s">
        <v>11</v>
      </c>
      <c r="H33" s="171" t="s">
        <v>11</v>
      </c>
      <c r="I33" s="171" t="s">
        <v>23</v>
      </c>
      <c r="J33" s="171" t="s">
        <v>34</v>
      </c>
      <c r="K33" s="171" t="s">
        <v>29</v>
      </c>
      <c r="L33" s="171" t="s">
        <v>32</v>
      </c>
      <c r="M33" s="171" t="s">
        <v>36</v>
      </c>
      <c r="N33" s="171" t="s">
        <v>15</v>
      </c>
      <c r="O33" s="171" t="s">
        <v>17</v>
      </c>
      <c r="P33" s="171" t="s">
        <v>59</v>
      </c>
      <c r="Q33" s="171" t="s">
        <v>3</v>
      </c>
      <c r="R33" s="171" t="s">
        <v>4</v>
      </c>
      <c r="S33" s="171" t="s">
        <v>58</v>
      </c>
      <c r="T33" s="171" t="s">
        <v>21</v>
      </c>
      <c r="U33" s="171" t="s">
        <v>5</v>
      </c>
      <c r="V33" s="171" t="s">
        <v>7</v>
      </c>
      <c r="W33" s="171" t="s">
        <v>9</v>
      </c>
      <c r="X33" s="171" t="s">
        <v>13</v>
      </c>
      <c r="Y33" s="171" t="s">
        <v>19</v>
      </c>
      <c r="Z33" s="171" t="s">
        <v>25</v>
      </c>
      <c r="AA33" s="171" t="s">
        <v>25</v>
      </c>
      <c r="AB33" s="171" t="s">
        <v>25</v>
      </c>
      <c r="AC33" s="171" t="s">
        <v>62</v>
      </c>
      <c r="AD33" s="277"/>
      <c r="AE33" s="233"/>
      <c r="AF33" s="233"/>
      <c r="AG33" s="233"/>
    </row>
    <row r="34" spans="1:33" s="23" customFormat="1" ht="63">
      <c r="A34" s="170" t="s">
        <v>86</v>
      </c>
      <c r="B34" s="170" t="s">
        <v>40</v>
      </c>
      <c r="C34" s="170" t="s">
        <v>41</v>
      </c>
      <c r="D34" s="170" t="s">
        <v>42</v>
      </c>
      <c r="E34" s="170" t="s">
        <v>2</v>
      </c>
      <c r="F34" s="171" t="s">
        <v>53</v>
      </c>
      <c r="G34" s="172" t="s">
        <v>12</v>
      </c>
      <c r="H34" s="172" t="s">
        <v>157</v>
      </c>
      <c r="I34" s="171" t="s">
        <v>24</v>
      </c>
      <c r="J34" s="171" t="s">
        <v>35</v>
      </c>
      <c r="K34" s="171" t="s">
        <v>30</v>
      </c>
      <c r="L34" s="171" t="s">
        <v>33</v>
      </c>
      <c r="M34" s="171" t="s">
        <v>37</v>
      </c>
      <c r="N34" s="171" t="s">
        <v>16</v>
      </c>
      <c r="O34" s="171" t="s">
        <v>18</v>
      </c>
      <c r="P34" s="170" t="s">
        <v>46</v>
      </c>
      <c r="Q34" s="170" t="s">
        <v>49</v>
      </c>
      <c r="R34" s="170" t="s">
        <v>50</v>
      </c>
      <c r="S34" s="171" t="s">
        <v>51</v>
      </c>
      <c r="T34" s="171" t="s">
        <v>22</v>
      </c>
      <c r="U34" s="171" t="s">
        <v>6</v>
      </c>
      <c r="V34" s="171" t="s">
        <v>8</v>
      </c>
      <c r="W34" s="171" t="s">
        <v>10</v>
      </c>
      <c r="X34" s="171" t="s">
        <v>14</v>
      </c>
      <c r="Y34" s="171" t="s">
        <v>20</v>
      </c>
      <c r="Z34" s="171" t="s">
        <v>26</v>
      </c>
      <c r="AA34" s="171" t="s">
        <v>27</v>
      </c>
      <c r="AB34" s="171" t="s">
        <v>28</v>
      </c>
      <c r="AC34" s="171" t="s">
        <v>371</v>
      </c>
      <c r="AD34" s="278"/>
      <c r="AE34" s="233"/>
      <c r="AF34" s="233"/>
      <c r="AG34" s="233"/>
    </row>
    <row r="35" spans="1:33">
      <c r="A35" s="143">
        <f>EconomicInputs!A36</f>
        <v>2010</v>
      </c>
      <c r="B35" s="154">
        <f>B4*EconomicInputs!K4</f>
        <v>598168862.5739435</v>
      </c>
      <c r="C35" s="154">
        <f>C4*EconomicInputs!L4</f>
        <v>186006150.82129094</v>
      </c>
      <c r="D35" s="154">
        <f>D4*EconomicInputs!M4</f>
        <v>102303382.95171002</v>
      </c>
      <c r="E35" s="142">
        <f>E4*EconomicInputs!K4*EconomicInputs!N4+E4*EconomicInputs!L4*EconomicInputs!O4</f>
        <v>0</v>
      </c>
      <c r="F35" s="154">
        <f>F4*EconomicInputs!C4</f>
        <v>13891949.166666666</v>
      </c>
      <c r="G35" s="154">
        <f>G4*EconomicInputs!E4</f>
        <v>138628056.79057738</v>
      </c>
      <c r="H35" s="154">
        <f>(1+H4)*EconomicInputs!J4</f>
        <v>82900000</v>
      </c>
      <c r="I35" s="159">
        <f>(I4)*EconomicInputs!AA4</f>
        <v>0</v>
      </c>
      <c r="J35" s="161">
        <f>J4*EconomicInputs!F4</f>
        <v>0</v>
      </c>
      <c r="K35" s="159">
        <f>K4*EconomicInputs!Y4</f>
        <v>0</v>
      </c>
      <c r="L35" s="159">
        <f>L4*EconomicInputs!W4</f>
        <v>0</v>
      </c>
      <c r="M35" s="159">
        <f>M4*EconomicInputs!E4</f>
        <v>0</v>
      </c>
      <c r="N35" s="142">
        <f>N4*EconomicInputs!X4</f>
        <v>52824251.899999999</v>
      </c>
      <c r="O35" s="159">
        <f>O4*EconomicInputs!X4</f>
        <v>0</v>
      </c>
      <c r="P35" s="159">
        <f>P4*EconomicInputs!Q4</f>
        <v>0</v>
      </c>
      <c r="Q35" s="159">
        <v>0</v>
      </c>
      <c r="R35" s="159">
        <v>0</v>
      </c>
      <c r="S35" s="159">
        <v>0</v>
      </c>
      <c r="T35" s="162">
        <f>(1+T4)*EconomicInputs!Z4</f>
        <v>41255353.333333336</v>
      </c>
      <c r="U35" s="163"/>
      <c r="V35" s="163"/>
      <c r="W35" s="163"/>
      <c r="X35" s="159">
        <f>X4*EconomicInputs!V4</f>
        <v>0</v>
      </c>
      <c r="Y35" s="142">
        <f>Y4*AE4</f>
        <v>0</v>
      </c>
      <c r="Z35" s="159">
        <f t="shared" ref="Z35:AB44" si="5">Z4</f>
        <v>0</v>
      </c>
      <c r="AA35" s="159">
        <f t="shared" si="5"/>
        <v>0</v>
      </c>
      <c r="AB35" s="159">
        <f t="shared" si="5"/>
        <v>0</v>
      </c>
      <c r="AC35" s="126">
        <v>38400000</v>
      </c>
      <c r="AD35" s="154">
        <f>SUM(B35:AC35)</f>
        <v>1254378007.5375218</v>
      </c>
      <c r="AE35" s="164">
        <f>AD35/SUM(EconomicInputs!P4:U4)</f>
        <v>1.6573078224338903E-2</v>
      </c>
      <c r="AF35" s="165">
        <f>(B35+SUM(E35:G35,I35:M35,P35))/EconomicInputs!Q4</f>
        <v>1.133800021157054E-2</v>
      </c>
      <c r="AG35" s="165">
        <f>(C35+D35+H35+SUM(Q35:T35))/SUM(EconomicInputs!S4:U4)</f>
        <v>4.5520822975554119E-2</v>
      </c>
    </row>
    <row r="36" spans="1:33">
      <c r="A36" s="143">
        <f>EconomicInputs!A37</f>
        <v>2011</v>
      </c>
      <c r="B36" s="154">
        <f>B5*EconomicInputs!K5</f>
        <v>562768518.73369503</v>
      </c>
      <c r="C36" s="154">
        <f>C5*EconomicInputs!L5</f>
        <v>185615974.86511964</v>
      </c>
      <c r="D36" s="154">
        <f>D5*EconomicInputs!M5</f>
        <v>102088786.17581581</v>
      </c>
      <c r="E36" s="142">
        <f>E5*EconomicInputs!K5*EconomicInputs!N5+E5*EconomicInputs!L5*EconomicInputs!O5</f>
        <v>0</v>
      </c>
      <c r="F36" s="154">
        <f>F5*EconomicInputs!C5</f>
        <v>13788740</v>
      </c>
      <c r="G36" s="154">
        <f>G5*EconomicInputs!E5</f>
        <v>140014337.35848317</v>
      </c>
      <c r="H36" s="154">
        <f>(1+H5)*EconomicInputs!J5</f>
        <v>89100000</v>
      </c>
      <c r="I36" s="159">
        <f>(I5)*EconomicInputs!AA5</f>
        <v>0</v>
      </c>
      <c r="J36" s="161">
        <f>J5*EconomicInputs!F5</f>
        <v>0</v>
      </c>
      <c r="K36" s="159">
        <f>K5*EconomicInputs!Y5</f>
        <v>0</v>
      </c>
      <c r="L36" s="159">
        <f>L5*EconomicInputs!W5</f>
        <v>0</v>
      </c>
      <c r="M36" s="159">
        <f>M5*EconomicInputs!E5</f>
        <v>0</v>
      </c>
      <c r="N36" s="142">
        <f>N5*EconomicInputs!X5</f>
        <v>56778938.299999997</v>
      </c>
      <c r="O36" s="159">
        <f>O5*EconomicInputs!X5</f>
        <v>0</v>
      </c>
      <c r="P36" s="159">
        <f>P5*EconomicInputs!Q5</f>
        <v>0</v>
      </c>
      <c r="Q36" s="159">
        <v>0</v>
      </c>
      <c r="R36" s="159">
        <v>0</v>
      </c>
      <c r="S36" s="159">
        <v>0</v>
      </c>
      <c r="T36" s="162">
        <f>(1+T5)*EconomicInputs!Z5</f>
        <v>45063790</v>
      </c>
      <c r="U36" s="163"/>
      <c r="V36" s="163"/>
      <c r="W36" s="163"/>
      <c r="X36" s="159">
        <f>X5*EconomicInputs!V5</f>
        <v>0</v>
      </c>
      <c r="Y36" s="142">
        <f t="shared" ref="Y36:Y60" si="6">Y5*AE5</f>
        <v>0</v>
      </c>
      <c r="Z36" s="159">
        <f t="shared" si="5"/>
        <v>0</v>
      </c>
      <c r="AA36" s="159">
        <f t="shared" si="5"/>
        <v>0</v>
      </c>
      <c r="AB36" s="159">
        <f t="shared" si="5"/>
        <v>0</v>
      </c>
      <c r="AC36" s="126">
        <v>38400000</v>
      </c>
      <c r="AD36" s="154">
        <f t="shared" ref="AD36:AD60" si="7">SUM(B36:AC36)</f>
        <v>1233619085.4331138</v>
      </c>
      <c r="AE36" s="164">
        <f>AD36/SUM(EconomicInputs!P5:U5)</f>
        <v>1.6323095125311805E-2</v>
      </c>
      <c r="AF36" s="165">
        <f>(B36+SUM(E36:G36,I36:M36,P36))/EconomicInputs!Q5</f>
        <v>1.0839200240499093E-2</v>
      </c>
      <c r="AG36" s="165">
        <f>(C36+D36+H36+SUM(Q36:T36))/SUM(EconomicInputs!S5:U5)</f>
        <v>4.6629573004185958E-2</v>
      </c>
    </row>
    <row r="37" spans="1:33">
      <c r="A37" s="143">
        <f>EconomicInputs!A38</f>
        <v>2012</v>
      </c>
      <c r="B37" s="154">
        <f>B6*EconomicInputs!K6</f>
        <v>552729887.21503496</v>
      </c>
      <c r="C37" s="154">
        <f>C6*EconomicInputs!L6</f>
        <v>185297788.41295785</v>
      </c>
      <c r="D37" s="154">
        <f>D6*EconomicInputs!M6</f>
        <v>101913783.62712683</v>
      </c>
      <c r="E37" s="142">
        <f>E6*EconomicInputs!K6*EconomicInputs!N6+E6*EconomicInputs!L6*EconomicInputs!O6</f>
        <v>0</v>
      </c>
      <c r="F37" s="154">
        <f>F6*EconomicInputs!C6</f>
        <v>13518128.75</v>
      </c>
      <c r="G37" s="154">
        <f>G6*EconomicInputs!E6</f>
        <v>141328343.14787522</v>
      </c>
      <c r="H37" s="154">
        <f>(1+H6)*EconomicInputs!J6</f>
        <v>90900000</v>
      </c>
      <c r="I37" s="159">
        <f>(I6)*EconomicInputs!AA6</f>
        <v>0</v>
      </c>
      <c r="J37" s="161">
        <f>J6*EconomicInputs!F6</f>
        <v>0</v>
      </c>
      <c r="K37" s="159">
        <f>K6*EconomicInputs!Y6</f>
        <v>0</v>
      </c>
      <c r="L37" s="159">
        <f>L6*EconomicInputs!W6</f>
        <v>0</v>
      </c>
      <c r="M37" s="159">
        <f>M6*EconomicInputs!E6</f>
        <v>0</v>
      </c>
      <c r="N37" s="142">
        <f>N6*EconomicInputs!X6</f>
        <v>60355254.399999999</v>
      </c>
      <c r="O37" s="159">
        <f>O6*EconomicInputs!X6</f>
        <v>0</v>
      </c>
      <c r="P37" s="159">
        <f>P6*EconomicInputs!Q6</f>
        <v>0</v>
      </c>
      <c r="Q37" s="159">
        <v>0</v>
      </c>
      <c r="R37" s="159">
        <v>0</v>
      </c>
      <c r="S37" s="159">
        <v>0</v>
      </c>
      <c r="T37" s="162">
        <f>(1+T6)*EconomicInputs!Z6</f>
        <v>53639630</v>
      </c>
      <c r="U37" s="163"/>
      <c r="V37" s="163"/>
      <c r="W37" s="163"/>
      <c r="X37" s="159">
        <f>X6*EconomicInputs!V6</f>
        <v>0</v>
      </c>
      <c r="Y37" s="142">
        <f t="shared" si="6"/>
        <v>0</v>
      </c>
      <c r="Z37" s="159">
        <f t="shared" si="5"/>
        <v>0</v>
      </c>
      <c r="AA37" s="159">
        <f t="shared" si="5"/>
        <v>0</v>
      </c>
      <c r="AB37" s="159">
        <f t="shared" si="5"/>
        <v>0</v>
      </c>
      <c r="AC37" s="126">
        <v>38400000</v>
      </c>
      <c r="AD37" s="154">
        <f t="shared" si="7"/>
        <v>1238082815.552995</v>
      </c>
      <c r="AE37" s="164">
        <f>AD37/SUM(EconomicInputs!P6:U6)</f>
        <v>1.6415311912469307E-2</v>
      </c>
      <c r="AF37" s="165">
        <f>(B37+SUM(E37:G37,I37:M37,P37))/EconomicInputs!Q6</f>
        <v>1.0725999029259298E-2</v>
      </c>
      <c r="AG37" s="165">
        <f>(C37+D37+H37+SUM(Q37:T37))/SUM(EconomicInputs!S6:U6)</f>
        <v>4.7794730384126939E-2</v>
      </c>
    </row>
    <row r="38" spans="1:33">
      <c r="A38" s="143">
        <f>EconomicInputs!A39</f>
        <v>2013</v>
      </c>
      <c r="B38" s="154">
        <f>B7*EconomicInputs!K7</f>
        <v>549853931.25881803</v>
      </c>
      <c r="C38" s="154">
        <f>C7*EconomicInputs!L7</f>
        <v>188823743.53358373</v>
      </c>
      <c r="D38" s="154">
        <f>D7*EconomicInputs!M7</f>
        <v>103853058.94347106</v>
      </c>
      <c r="E38" s="142">
        <f>E7*EconomicInputs!K7*EconomicInputs!N7+E7*EconomicInputs!L7*EconomicInputs!O7</f>
        <v>0</v>
      </c>
      <c r="F38" s="154">
        <f>F7*EconomicInputs!C7</f>
        <v>13356697.083333332</v>
      </c>
      <c r="G38" s="154">
        <f>G7*EconomicInputs!E7</f>
        <v>143001400.7249186</v>
      </c>
      <c r="H38" s="154">
        <f>(1+H7)*EconomicInputs!J7</f>
        <v>92800000</v>
      </c>
      <c r="I38" s="159">
        <f>(I7)*EconomicInputs!AA7</f>
        <v>0</v>
      </c>
      <c r="J38" s="161">
        <f>J7*EconomicInputs!F7</f>
        <v>0</v>
      </c>
      <c r="K38" s="159">
        <f>K7*EconomicInputs!Y7</f>
        <v>0</v>
      </c>
      <c r="L38" s="159">
        <f>L7*EconomicInputs!W7</f>
        <v>0</v>
      </c>
      <c r="M38" s="159">
        <f>M7*EconomicInputs!E7</f>
        <v>0</v>
      </c>
      <c r="N38" s="142">
        <f>N7*EconomicInputs!X7</f>
        <v>62804631.399999999</v>
      </c>
      <c r="O38" s="159">
        <f>O7*EconomicInputs!X7</f>
        <v>0</v>
      </c>
      <c r="P38" s="159">
        <f>P7*EconomicInputs!Q7</f>
        <v>0</v>
      </c>
      <c r="Q38" s="159">
        <v>0</v>
      </c>
      <c r="R38" s="159">
        <v>0</v>
      </c>
      <c r="S38" s="159">
        <v>0</v>
      </c>
      <c r="T38" s="162">
        <f>(1+T7)*EconomicInputs!Z7</f>
        <v>53749413.333333336</v>
      </c>
      <c r="U38" s="163"/>
      <c r="V38" s="163"/>
      <c r="W38" s="163"/>
      <c r="X38" s="159">
        <f>X7*EconomicInputs!V7</f>
        <v>0</v>
      </c>
      <c r="Y38" s="142">
        <f t="shared" si="6"/>
        <v>0</v>
      </c>
      <c r="Z38" s="159">
        <f t="shared" si="5"/>
        <v>0</v>
      </c>
      <c r="AA38" s="159">
        <f t="shared" si="5"/>
        <v>0</v>
      </c>
      <c r="AB38" s="159">
        <f t="shared" si="5"/>
        <v>0</v>
      </c>
      <c r="AC38" s="126">
        <v>38400000</v>
      </c>
      <c r="AD38" s="154">
        <f t="shared" si="7"/>
        <v>1246642876.2774582</v>
      </c>
      <c r="AE38" s="164">
        <f>AD38/SUM(EconomicInputs!P7:U7)</f>
        <v>1.6328002639439936E-2</v>
      </c>
      <c r="AF38" s="165">
        <f>(B38+SUM(E38:G38,I38:M38,P38))/EconomicInputs!Q7</f>
        <v>1.0580069629903129E-2</v>
      </c>
      <c r="AG38" s="165">
        <f>(C38+D38+H38+SUM(Q38:T38))/SUM(EconomicInputs!S7:U7)</f>
        <v>4.7884005780373419E-2</v>
      </c>
    </row>
    <row r="39" spans="1:33">
      <c r="A39" s="143">
        <f>EconomicInputs!A40</f>
        <v>2014</v>
      </c>
      <c r="B39" s="154">
        <f>B8*EconomicInputs!K8</f>
        <v>545703789.58593762</v>
      </c>
      <c r="C39" s="154">
        <f>C8*EconomicInputs!L8</f>
        <v>190677849.31525296</v>
      </c>
      <c r="D39" s="154">
        <f>D8*EconomicInputs!M8</f>
        <v>104872817.12338914</v>
      </c>
      <c r="E39" s="142">
        <f>E8*EconomicInputs!K8*EconomicInputs!N8+E8*EconomicInputs!L8*EconomicInputs!O8</f>
        <v>0</v>
      </c>
      <c r="F39" s="154">
        <f>F8*EconomicInputs!C8</f>
        <v>13309423.75</v>
      </c>
      <c r="G39" s="154">
        <f>G8*EconomicInputs!E8</f>
        <v>144422682.49645072</v>
      </c>
      <c r="H39" s="154">
        <f>(1+H8)*EconomicInputs!J8</f>
        <v>96100000</v>
      </c>
      <c r="I39" s="159">
        <f>(I8)*EconomicInputs!AA8</f>
        <v>0</v>
      </c>
      <c r="J39" s="161">
        <f>J8*EconomicInputs!F8</f>
        <v>0</v>
      </c>
      <c r="K39" s="159">
        <f>K8*EconomicInputs!Y8</f>
        <v>0</v>
      </c>
      <c r="L39" s="159">
        <f>L8*EconomicInputs!W8</f>
        <v>0</v>
      </c>
      <c r="M39" s="159">
        <f>M8*EconomicInputs!E8</f>
        <v>0</v>
      </c>
      <c r="N39" s="142">
        <f>N8*EconomicInputs!X8</f>
        <v>64350397.299999997</v>
      </c>
      <c r="O39" s="159">
        <f>O8*EconomicInputs!X8</f>
        <v>0</v>
      </c>
      <c r="P39" s="159">
        <f>P8*EconomicInputs!Q8</f>
        <v>0</v>
      </c>
      <c r="Q39" s="159">
        <v>0</v>
      </c>
      <c r="R39" s="159">
        <v>0</v>
      </c>
      <c r="S39" s="159">
        <v>0</v>
      </c>
      <c r="T39" s="162">
        <f>(1+T8)*EconomicInputs!Z8</f>
        <v>61238700</v>
      </c>
      <c r="U39" s="163"/>
      <c r="V39" s="163"/>
      <c r="W39" s="163"/>
      <c r="X39" s="159">
        <f>X8*EconomicInputs!V8</f>
        <v>0</v>
      </c>
      <c r="Y39" s="142">
        <f t="shared" si="6"/>
        <v>0</v>
      </c>
      <c r="Z39" s="159">
        <f t="shared" si="5"/>
        <v>0</v>
      </c>
      <c r="AA39" s="159">
        <f t="shared" si="5"/>
        <v>0</v>
      </c>
      <c r="AB39" s="159">
        <f t="shared" si="5"/>
        <v>0</v>
      </c>
      <c r="AC39" s="126">
        <v>38400000</v>
      </c>
      <c r="AD39" s="154">
        <f t="shared" si="7"/>
        <v>1259075659.5710304</v>
      </c>
      <c r="AE39" s="164">
        <f>AD39/SUM(EconomicInputs!P8:U8)</f>
        <v>1.6316982052691865E-2</v>
      </c>
      <c r="AF39" s="165">
        <f>(B39+SUM(E39:G39,I39:M39,P39))/EconomicInputs!Q8</f>
        <v>1.0434768672077776E-2</v>
      </c>
      <c r="AG39" s="165">
        <f>(C39+D39+H39+SUM(Q39:T39))/SUM(EconomicInputs!S8:U8)</f>
        <v>4.8622179121856367E-2</v>
      </c>
    </row>
    <row r="40" spans="1:33">
      <c r="A40" s="143">
        <f>EconomicInputs!A41</f>
        <v>2015</v>
      </c>
      <c r="B40" s="154">
        <f>B9*EconomicInputs!K9*(IF(PolicyInputs!$K$6&lt;=TabularOutputs!A40,(PolicyInputs!$L$6-TabularOutputs!A40)/(PolicyInputs!$L$6-PolicyInputs!$K$6),1))*IF(A40&gt;=PolicyInputs!$L$6,0,1)</f>
        <v>525182375.56623578</v>
      </c>
      <c r="C40" s="154">
        <f>C9*EconomicInputs!L9*(IF(PolicyInputs!$K$7&lt;=TabularOutputs!A40,(PolicyInputs!$L$7-TabularOutputs!A40)/(PolicyInputs!$L$7-PolicyInputs!$K$7),1))*IF(A40&gt;=PolicyInputs!$L$7,0,1)</f>
        <v>192206930.13208306</v>
      </c>
      <c r="D40" s="154">
        <f>D9*EconomicInputs!M9*(IF(PolicyInputs!$K$8&lt;=TabularOutputs!A40,(PolicyInputs!$L$8-TabularOutputs!A40)/(PolicyInputs!$L$8-PolicyInputs!$K$8),1))*IF(A40&gt;=PolicyInputs!$L$8,0,1)</f>
        <v>105713811.57264568</v>
      </c>
      <c r="E40" s="142">
        <f>(E9*EconomicInputs!K9*EconomicInputs!N9+E9*EconomicInputs!L9*EconomicInputs!O9)*(IF(PolicyInputs!$K$9&lt;=TabularOutputs!A40,(PolicyInputs!$L$9-TabularOutputs!A40)/(PolicyInputs!$L$9-PolicyInputs!$K$9),1))*IF(A40&gt;=PolicyInputs!$L$9,0,1)</f>
        <v>0</v>
      </c>
      <c r="F40" s="154">
        <f>F9*EconomicInputs!C9</f>
        <v>13514139.331359999</v>
      </c>
      <c r="G40" s="154">
        <f>G9*EconomicInputs!E9</f>
        <v>145855145.49460012</v>
      </c>
      <c r="H40" s="154">
        <f>(1+H9)*EconomicInputs!J9</f>
        <v>94748446.181286544</v>
      </c>
      <c r="I40" s="159">
        <f>(I9)*EconomicInputs!AA9</f>
        <v>0</v>
      </c>
      <c r="J40" s="161">
        <f>J9*EconomicInputs!F9</f>
        <v>0</v>
      </c>
      <c r="K40" s="159">
        <f>K9*EconomicInputs!Y9</f>
        <v>0</v>
      </c>
      <c r="L40" s="159">
        <f>L9*EconomicInputs!W9</f>
        <v>0</v>
      </c>
      <c r="M40" s="159">
        <f>M9*EconomicInputs!E9</f>
        <v>0</v>
      </c>
      <c r="N40" s="142">
        <f>N9*EconomicInputs!X9</f>
        <v>66643798.20000001</v>
      </c>
      <c r="O40" s="159">
        <f>O9*EconomicInputs!X9</f>
        <v>0</v>
      </c>
      <c r="P40" s="142">
        <f>P9*EconomicInputs!Q9*(IF(PolicyInputs!$K$20&lt;=TabularOutputs!A40,MIN(1,(TabularOutputs!A40-PolicyInputs!$K$20)/(PolicyInputs!$L$20-PolicyInputs!$K$20)),1))</f>
        <v>0</v>
      </c>
      <c r="Q40" s="142">
        <f>IF(Q9="Oregon",0.05*EconomicInputs!T4+0.15*(EconomicInputs!S4+EconomicInputs!U4),IF(Q4="Kentucky",EconomicInputs!U4*0.0285,IF(Q4="None",0,"Error")))*(IF(PolicyInputs!$K$21&lt;=TabularOutputs!A40,MIN(1,(TabularOutputs!A40-PolicyInputs!$K$21)/(PolicyInputs!$L$21-PolicyInputs!$K$21)),1))</f>
        <v>0</v>
      </c>
      <c r="R40" s="159">
        <f>IF(R9="Oregon",0.025*EconomicInputs!T4+0.075*(EconomicInputs!S4+EconomicInputs!U4),IF(R4="Kentucky",EconomicInputs!U4*0.01425,IF(R4="None",0,"Error")))*(IF(PolicyInputs!$K$22&lt;=TabularOutputs!A40,MIN(1,(TabularOutputs!A40-PolicyInputs!$K$22)/(PolicyInputs!$L$22-PolicyInputs!$K$22)),1))</f>
        <v>0</v>
      </c>
      <c r="S40" s="142">
        <f>IF(S9="Purdue",0.08*EconomicInputs!T4+0.11*(EconomicInputs!U4+EconomicInputs!S4),IF(S4="None",0,"Error"))*(IF(PolicyInputs!$K$23&lt;=TabularOutputs!A40,MIN(1,(TabularOutputs!A40-PolicyInputs!$K$23)/(PolicyInputs!$L$23-PolicyInputs!$K$23)),1))</f>
        <v>0</v>
      </c>
      <c r="T40" s="162">
        <f>(1+T9)*EconomicInputs!Z9</f>
        <v>64154342.498143569</v>
      </c>
      <c r="U40" s="163"/>
      <c r="V40" s="163"/>
      <c r="W40" s="163"/>
      <c r="X40" s="159">
        <f>X9*EconomicInputs!V9</f>
        <v>0</v>
      </c>
      <c r="Y40" s="142">
        <f t="shared" si="6"/>
        <v>0</v>
      </c>
      <c r="Z40" s="159">
        <f t="shared" si="5"/>
        <v>0</v>
      </c>
      <c r="AA40" s="159">
        <f t="shared" si="5"/>
        <v>0</v>
      </c>
      <c r="AB40" s="159">
        <f t="shared" si="5"/>
        <v>0</v>
      </c>
      <c r="AC40" s="159">
        <f>AC39*(1+TechnicalInputs!$D$36)</f>
        <v>38784000</v>
      </c>
      <c r="AD40" s="154">
        <f t="shared" si="7"/>
        <v>1246802988.9763548</v>
      </c>
      <c r="AE40" s="164">
        <f>AD40/SUM(EconomicInputs!P9:U9)</f>
        <v>1.5987465387091768E-2</v>
      </c>
      <c r="AF40" s="165">
        <f>(B40+SUM(E40:G40,I40:M40,P40))/EconomicInputs!Q9</f>
        <v>1.0054909823526166E-2</v>
      </c>
      <c r="AG40" s="165">
        <f>(C40+D40+H40+SUM(Q40:T40))/SUM(EconomicInputs!S9:U9)</f>
        <v>4.8296451129480202E-2</v>
      </c>
    </row>
    <row r="41" spans="1:33">
      <c r="A41" s="143">
        <f>EconomicInputs!A42</f>
        <v>2016</v>
      </c>
      <c r="B41" s="154">
        <f>B10*EconomicInputs!K10*(IF(PolicyInputs!$K$6&lt;=TabularOutputs!A41,(PolicyInputs!$L$6-TabularOutputs!A41)/(PolicyInputs!$L$6-PolicyInputs!$K$6),1))*IF(A41&gt;=PolicyInputs!$L$6,0,1)</f>
        <v>521352939.88593155</v>
      </c>
      <c r="C41" s="154">
        <f>C10*EconomicInputs!L10*(IF(PolicyInputs!$K$7&lt;=TabularOutputs!A41,(PolicyInputs!$L$7-TabularOutputs!A41)/(PolicyInputs!$L$7-PolicyInputs!$K$7),1))*IF(A41&gt;=PolicyInputs!$L$7,0,1)</f>
        <v>193792632.43809545</v>
      </c>
      <c r="D41" s="154">
        <f>D10*EconomicInputs!M10*(IF(PolicyInputs!$K$8&lt;=TabularOutputs!A41,(PolicyInputs!$L$8-TabularOutputs!A41)/(PolicyInputs!$L$8-PolicyInputs!$K$8),1))*IF(A41&gt;=PolicyInputs!$L$8,0,1)</f>
        <v>106585947.8409525</v>
      </c>
      <c r="E41" s="142">
        <f>(E10*EconomicInputs!K10*EconomicInputs!N10+E10*EconomicInputs!L10*EconomicInputs!O10)*(IF(PolicyInputs!$K$9&lt;=TabularOutputs!A41,(PolicyInputs!$L$9-TabularOutputs!A41)/(PolicyInputs!$L$9-PolicyInputs!$K$9),1))*IF(A41&gt;=PolicyInputs!$L$9,0,1)</f>
        <v>0</v>
      </c>
      <c r="F41" s="154">
        <f>F10*EconomicInputs!C10</f>
        <v>13596587.67227816</v>
      </c>
      <c r="G41" s="154">
        <f>G10*EconomicInputs!E10</f>
        <v>147303925.79976574</v>
      </c>
      <c r="H41" s="154">
        <f>(1+H10)*EconomicInputs!J10</f>
        <v>95417331.645059913</v>
      </c>
      <c r="I41" s="159">
        <f>(I10)*EconomicInputs!AA10</f>
        <v>0</v>
      </c>
      <c r="J41" s="161">
        <f>J10*EconomicInputs!F10</f>
        <v>0</v>
      </c>
      <c r="K41" s="159">
        <f>K10*EconomicInputs!Y10</f>
        <v>0</v>
      </c>
      <c r="L41" s="159">
        <f>L10*EconomicInputs!W10</f>
        <v>0</v>
      </c>
      <c r="M41" s="159">
        <f>M10*EconomicInputs!E10</f>
        <v>0</v>
      </c>
      <c r="N41" s="142">
        <f>N10*EconomicInputs!X10</f>
        <v>69296088.400000006</v>
      </c>
      <c r="O41" s="159">
        <f>O10*EconomicInputs!X10</f>
        <v>0</v>
      </c>
      <c r="P41" s="142">
        <f>P10*EconomicInputs!Q10*(IF(PolicyInputs!$K$20&lt;=TabularOutputs!A41,MIN(1,(TabularOutputs!A41-PolicyInputs!$K$20)/(PolicyInputs!$L$20-PolicyInputs!$K$20)),1))</f>
        <v>0</v>
      </c>
      <c r="Q41" s="142">
        <f>IF(Q10="Oregon",0.05*EconomicInputs!T5+0.15*(EconomicInputs!S5+EconomicInputs!U5),IF(Q5="Kentucky",EconomicInputs!U5*0.0285,IF(Q5="None",0,"Error")))*(IF(PolicyInputs!$K$21&lt;=TabularOutputs!A41,MIN(1,(TabularOutputs!A41-PolicyInputs!$K$21)/(PolicyInputs!$L$21-PolicyInputs!$K$21)),1))</f>
        <v>0</v>
      </c>
      <c r="R41" s="159">
        <f>IF(R10="Oregon",0.025*EconomicInputs!T5+0.075*(EconomicInputs!S5+EconomicInputs!U5),IF(R5="Kentucky",EconomicInputs!U5*0.01425,IF(R5="None",0,"Error")))*(IF(PolicyInputs!$K$22&lt;=TabularOutputs!A41,MIN(1,(TabularOutputs!A41-PolicyInputs!$K$22)/(PolicyInputs!$L$22-PolicyInputs!$K$22)),1))</f>
        <v>0</v>
      </c>
      <c r="S41" s="142">
        <f>IF(S10="Purdue",0.08*EconomicInputs!T5+0.11*(EconomicInputs!U5+EconomicInputs!S5),IF(S5="None",0,"Error"))*(IF(PolicyInputs!$K$23&lt;=TabularOutputs!A41,MIN(1,(TabularOutputs!A41-PolicyInputs!$K$23)/(PolicyInputs!$L$23-PolicyInputs!$K$23)),1))</f>
        <v>0</v>
      </c>
      <c r="T41" s="162">
        <f>(1+T10)*EconomicInputs!Z10</f>
        <v>66341437.59844055</v>
      </c>
      <c r="U41" s="163"/>
      <c r="V41" s="163"/>
      <c r="W41" s="163"/>
      <c r="X41" s="159">
        <f>X10*EconomicInputs!V10</f>
        <v>0</v>
      </c>
      <c r="Y41" s="142">
        <f t="shared" si="6"/>
        <v>0</v>
      </c>
      <c r="Z41" s="159">
        <f t="shared" si="5"/>
        <v>0</v>
      </c>
      <c r="AA41" s="159">
        <f t="shared" si="5"/>
        <v>0</v>
      </c>
      <c r="AB41" s="159">
        <f t="shared" si="5"/>
        <v>0</v>
      </c>
      <c r="AC41" s="159">
        <f>AC40*(1+TechnicalInputs!$D$36)</f>
        <v>39171840</v>
      </c>
      <c r="AD41" s="154">
        <f t="shared" si="7"/>
        <v>1252858731.280524</v>
      </c>
      <c r="AE41" s="164">
        <f>AD41/SUM(EconomicInputs!P10:U10)</f>
        <v>1.5895507817077891E-2</v>
      </c>
      <c r="AF41" s="165">
        <f>(B41+SUM(E41:G41,I41:M41,P41))/EconomicInputs!Q10</f>
        <v>9.9225918539027486E-3</v>
      </c>
      <c r="AG41" s="165">
        <f>(C41+D41+H41+SUM(Q41:T41))/SUM(EconomicInputs!S10:U10)</f>
        <v>4.8111260737564998E-2</v>
      </c>
    </row>
    <row r="42" spans="1:33">
      <c r="A42" s="143">
        <f>EconomicInputs!A43</f>
        <v>2017</v>
      </c>
      <c r="B42" s="154">
        <f>B11*EconomicInputs!K11*(IF(PolicyInputs!$K$6&lt;=TabularOutputs!A42,(PolicyInputs!$L$6-TabularOutputs!A42)/(PolicyInputs!$L$6-PolicyInputs!$K$6),1))*IF(A42&gt;=PolicyInputs!$L$6,0,1)</f>
        <v>801769614.67353284</v>
      </c>
      <c r="C42" s="154">
        <f>C11*EconomicInputs!L11*(IF(PolicyInputs!$K$7&lt;=TabularOutputs!A42,(PolicyInputs!$L$7-TabularOutputs!A42)/(PolicyInputs!$L$7-PolicyInputs!$K$7),1))*IF(A42&gt;=PolicyInputs!$L$7,0,1)</f>
        <v>194733740.11723289</v>
      </c>
      <c r="D42" s="154">
        <f>D11*EconomicInputs!M11*(IF(PolicyInputs!$K$8&lt;=TabularOutputs!A42,(PolicyInputs!$L$8-TabularOutputs!A42)/(PolicyInputs!$L$8-PolicyInputs!$K$8),1))*IF(A42&gt;=PolicyInputs!$L$8,0,1)</f>
        <v>107103557.0644781</v>
      </c>
      <c r="E42" s="142">
        <f>(E11*EconomicInputs!K11*EconomicInputs!N11+E11*EconomicInputs!L11*EconomicInputs!O11)*(IF(PolicyInputs!$K$9&lt;=TabularOutputs!A42,(PolicyInputs!$L$9-TabularOutputs!A42)/(PolicyInputs!$L$9-PolicyInputs!$K$9),1))*IF(A42&gt;=PolicyInputs!$L$9,0,1)</f>
        <v>0</v>
      </c>
      <c r="F42" s="154">
        <f>F11*EconomicInputs!C11</f>
        <v>13679539.021841822</v>
      </c>
      <c r="G42" s="154">
        <f>G11*EconomicInputs!E11</f>
        <v>148767873.13487646</v>
      </c>
      <c r="H42" s="154">
        <f>(1+H11)*EconomicInputs!J11</f>
        <v>96165572.479166165</v>
      </c>
      <c r="I42" s="159">
        <f>(I11)*EconomicInputs!AA11</f>
        <v>0</v>
      </c>
      <c r="J42" s="161">
        <f>J11*EconomicInputs!F11</f>
        <v>0</v>
      </c>
      <c r="K42" s="159">
        <f>K11*EconomicInputs!Y11</f>
        <v>0</v>
      </c>
      <c r="L42" s="159">
        <f>L11*EconomicInputs!W11</f>
        <v>0</v>
      </c>
      <c r="M42" s="159">
        <f>M11*EconomicInputs!E11</f>
        <v>0</v>
      </c>
      <c r="N42" s="142">
        <f>N11*EconomicInputs!X11</f>
        <v>71777486.200000003</v>
      </c>
      <c r="O42" s="159">
        <f>O11*EconomicInputs!X11</f>
        <v>0</v>
      </c>
      <c r="P42" s="142">
        <f>P11*EconomicInputs!Q11*(IF(PolicyInputs!$K$20&lt;=TabularOutputs!A42,MIN(1,(TabularOutputs!A42-PolicyInputs!$K$20)/(PolicyInputs!$L$20-PolicyInputs!$K$20)),1))</f>
        <v>0</v>
      </c>
      <c r="Q42" s="142">
        <f>IF(Q11="Oregon",0.05*EconomicInputs!T6+0.15*(EconomicInputs!S6+EconomicInputs!U6),IF(Q6="Kentucky",EconomicInputs!U6*0.0285,IF(Q6="None",0,"Error")))*(IF(PolicyInputs!$K$21&lt;=TabularOutputs!A42,MIN(1,(TabularOutputs!A42-PolicyInputs!$K$21)/(PolicyInputs!$L$21-PolicyInputs!$K$21)),1))</f>
        <v>0</v>
      </c>
      <c r="R42" s="159">
        <f>IF(R11="Oregon",0.025*EconomicInputs!T6+0.075*(EconomicInputs!S6+EconomicInputs!U6),IF(R6="Kentucky",EconomicInputs!U6*0.01425,IF(R6="None",0,"Error")))*(IF(PolicyInputs!$K$22&lt;=TabularOutputs!A42,MIN(1,(TabularOutputs!A42-PolicyInputs!$K$22)/(PolicyInputs!$L$22-PolicyInputs!$K$22)),1))</f>
        <v>0</v>
      </c>
      <c r="S42" s="142">
        <f>IF(S11="Purdue",0.08*EconomicInputs!T6+0.11*(EconomicInputs!U6+EconomicInputs!S6),IF(S6="None",0,"Error"))*(IF(PolicyInputs!$K$23&lt;=TabularOutputs!A42,MIN(1,(TabularOutputs!A42-PolicyInputs!$K$23)/(PolicyInputs!$L$23-PolicyInputs!$K$23)),1))</f>
        <v>0</v>
      </c>
      <c r="T42" s="162">
        <f>(1+T11)*EconomicInputs!Z11</f>
        <v>68888447.028759629</v>
      </c>
      <c r="U42" s="163"/>
      <c r="V42" s="163"/>
      <c r="W42" s="163"/>
      <c r="X42" s="159">
        <f>X11*EconomicInputs!V11</f>
        <v>0</v>
      </c>
      <c r="Y42" s="142">
        <f t="shared" si="6"/>
        <v>0</v>
      </c>
      <c r="Z42" s="159">
        <f t="shared" si="5"/>
        <v>0</v>
      </c>
      <c r="AA42" s="159">
        <f t="shared" si="5"/>
        <v>0</v>
      </c>
      <c r="AB42" s="159">
        <f t="shared" si="5"/>
        <v>0</v>
      </c>
      <c r="AC42" s="159">
        <f>AC41*(1+TechnicalInputs!$D$36)</f>
        <v>39563558.399999999</v>
      </c>
      <c r="AD42" s="154">
        <f t="shared" si="7"/>
        <v>1542449388.1198883</v>
      </c>
      <c r="AE42" s="164">
        <f>AD42/SUM(EconomicInputs!P11:U11)</f>
        <v>1.9362902903320992E-2</v>
      </c>
      <c r="AF42" s="165">
        <f>(B42+SUM(E42:G42,I42:M42,P42))/EconomicInputs!Q11</f>
        <v>1.3885430492454803E-2</v>
      </c>
      <c r="AG42" s="165">
        <f>(C42+D42+H42+SUM(Q42:T42))/SUM(EconomicInputs!S11:U11)</f>
        <v>4.7861345972981459E-2</v>
      </c>
    </row>
    <row r="43" spans="1:33">
      <c r="A43" s="143">
        <f>EconomicInputs!A44</f>
        <v>2018</v>
      </c>
      <c r="B43" s="154">
        <f>B12*EconomicInputs!K12*(IF(PolicyInputs!$K$6&lt;=TabularOutputs!A43,(PolicyInputs!$L$6-TabularOutputs!A43)/(PolicyInputs!$L$6-PolicyInputs!$K$6),1))*IF(A43&gt;=PolicyInputs!$L$6,0,1)</f>
        <v>792049283.83031201</v>
      </c>
      <c r="C43" s="154">
        <f>C12*EconomicInputs!L12*(IF(PolicyInputs!$K$7&lt;=TabularOutputs!A43,(PolicyInputs!$L$7-TabularOutputs!A43)/(PolicyInputs!$L$7-PolicyInputs!$K$7),1))*IF(A43&gt;=PolicyInputs!$L$7,0,1)</f>
        <v>195887539.91949907</v>
      </c>
      <c r="D43" s="154">
        <f>D12*EconomicInputs!M12*(IF(PolicyInputs!$K$8&lt;=TabularOutputs!A43,(PolicyInputs!$L$8-TabularOutputs!A43)/(PolicyInputs!$L$8-PolicyInputs!$K$8),1))*IF(A43&gt;=PolicyInputs!$L$8,0,1)</f>
        <v>107738146.95572449</v>
      </c>
      <c r="E43" s="142">
        <f>(E12*EconomicInputs!K12*EconomicInputs!N12+E12*EconomicInputs!L12*EconomicInputs!O12)*(IF(PolicyInputs!$K$9&lt;=TabularOutputs!A43,(PolicyInputs!$L$9-TabularOutputs!A43)/(PolicyInputs!$L$9-PolicyInputs!$K$9),1))*IF(A43&gt;=PolicyInputs!$L$9,0,1)</f>
        <v>0</v>
      </c>
      <c r="F43" s="154">
        <f>F12*EconomicInputs!C12</f>
        <v>13762996.448853759</v>
      </c>
      <c r="G43" s="154">
        <f>G12*EconomicInputs!E12</f>
        <v>150244694.703026</v>
      </c>
      <c r="H43" s="154">
        <f>(1+H12)*EconomicInputs!J12</f>
        <v>96564181.870536759</v>
      </c>
      <c r="I43" s="159">
        <f>(I12)*EconomicInputs!AA12</f>
        <v>0</v>
      </c>
      <c r="J43" s="161">
        <f>J12*EconomicInputs!F12</f>
        <v>0</v>
      </c>
      <c r="K43" s="159">
        <f>K12*EconomicInputs!Y12</f>
        <v>0</v>
      </c>
      <c r="L43" s="159">
        <f>L12*EconomicInputs!W12</f>
        <v>0</v>
      </c>
      <c r="M43" s="159">
        <f>M12*EconomicInputs!E12</f>
        <v>0</v>
      </c>
      <c r="N43" s="142">
        <f>N12*EconomicInputs!X12</f>
        <v>74362180.200000003</v>
      </c>
      <c r="O43" s="159">
        <f>O12*EconomicInputs!X12</f>
        <v>0</v>
      </c>
      <c r="P43" s="142">
        <f>P12*EconomicInputs!Q12*(IF(PolicyInputs!$K$20&lt;=TabularOutputs!A43,MIN(1,(TabularOutputs!A43-PolicyInputs!$K$20)/(PolicyInputs!$L$20-PolicyInputs!$K$20)),1))</f>
        <v>0</v>
      </c>
      <c r="Q43" s="142">
        <f>IF(Q12="Oregon",0.05*EconomicInputs!T7+0.15*(EconomicInputs!S7+EconomicInputs!U7),IF(Q7="Kentucky",EconomicInputs!U7*0.0285,IF(Q7="None",0,"Error")))*(IF(PolicyInputs!$K$21&lt;=TabularOutputs!A43,MIN(1,(TabularOutputs!A43-PolicyInputs!$K$21)/(PolicyInputs!$L$21-PolicyInputs!$K$21)),1))</f>
        <v>0</v>
      </c>
      <c r="R43" s="159">
        <f>IF(R12="Oregon",0.025*EconomicInputs!T7+0.075*(EconomicInputs!S7+EconomicInputs!U7),IF(R7="Kentucky",EconomicInputs!U7*0.01425,IF(R7="None",0,"Error")))*(IF(PolicyInputs!$K$22&lt;=TabularOutputs!A43,MIN(1,(TabularOutputs!A43-PolicyInputs!$K$22)/(PolicyInputs!$L$22-PolicyInputs!$K$22)),1))</f>
        <v>0</v>
      </c>
      <c r="S43" s="142">
        <f>IF(S12="Purdue",0.08*EconomicInputs!T7+0.11*(EconomicInputs!U7+EconomicInputs!S7),IF(S7="None",0,"Error"))*(IF(PolicyInputs!$K$23&lt;=TabularOutputs!A43,MIN(1,(TabularOutputs!A43-PolicyInputs!$K$23)/(PolicyInputs!$L$23-PolicyInputs!$K$23)),1))</f>
        <v>0</v>
      </c>
      <c r="T43" s="162">
        <f>(1+T12)*EconomicInputs!Z12</f>
        <v>71333241.190216526</v>
      </c>
      <c r="U43" s="163"/>
      <c r="V43" s="163"/>
      <c r="W43" s="163"/>
      <c r="X43" s="159">
        <f>X12*EconomicInputs!V12</f>
        <v>0</v>
      </c>
      <c r="Y43" s="142">
        <f t="shared" si="6"/>
        <v>0</v>
      </c>
      <c r="Z43" s="159">
        <f t="shared" si="5"/>
        <v>0</v>
      </c>
      <c r="AA43" s="159">
        <f t="shared" si="5"/>
        <v>0</v>
      </c>
      <c r="AB43" s="159">
        <f t="shared" si="5"/>
        <v>0</v>
      </c>
      <c r="AC43" s="159">
        <f>AC42*(1+TechnicalInputs!$D$36)</f>
        <v>39959193.983999997</v>
      </c>
      <c r="AD43" s="154">
        <f t="shared" si="7"/>
        <v>1541901459.1021688</v>
      </c>
      <c r="AE43" s="164">
        <f>AD43/SUM(EconomicInputs!P12:U12)</f>
        <v>1.9151381338719686E-2</v>
      </c>
      <c r="AF43" s="165">
        <f>(B43+SUM(E43:G43,I43:M43,P43))/EconomicInputs!Q12</f>
        <v>1.3632588802905273E-2</v>
      </c>
      <c r="AG43" s="165">
        <f>(C43+D43+H43+SUM(Q43:T43))/SUM(EconomicInputs!S12:U12)</f>
        <v>4.7593773250211302E-2</v>
      </c>
    </row>
    <row r="44" spans="1:33">
      <c r="A44" s="143">
        <f>EconomicInputs!A45</f>
        <v>2019</v>
      </c>
      <c r="B44" s="154">
        <f>B13*EconomicInputs!K13*(IF(PolicyInputs!$K$6&lt;=TabularOutputs!A44,(PolicyInputs!$L$6-TabularOutputs!A44)/(PolicyInputs!$L$6-PolicyInputs!$K$6),1))*IF(A44&gt;=PolicyInputs!$L$6,0,1)</f>
        <v>781964009.78186035</v>
      </c>
      <c r="C44" s="154">
        <f>C13*EconomicInputs!L13*(IF(PolicyInputs!$K$7&lt;=TabularOutputs!A44,(PolicyInputs!$L$7-TabularOutputs!A44)/(PolicyInputs!$L$7-PolicyInputs!$K$7),1))*IF(A44&gt;=PolicyInputs!$L$7,0,1)</f>
        <v>197476555.20182845</v>
      </c>
      <c r="D44" s="154">
        <f>D13*EconomicInputs!M13*(IF(PolicyInputs!$K$8&lt;=TabularOutputs!A44,(PolicyInputs!$L$8-TabularOutputs!A44)/(PolicyInputs!$L$8-PolicyInputs!$K$8),1))*IF(A44&gt;=PolicyInputs!$L$8,0,1)</f>
        <v>108612105.36100566</v>
      </c>
      <c r="E44" s="142">
        <f>(E13*EconomicInputs!K13*EconomicInputs!N13+E13*EconomicInputs!L13*EconomicInputs!O13)*(IF(PolicyInputs!$K$9&lt;=TabularOutputs!A44,(PolicyInputs!$L$9-TabularOutputs!A44)/(PolicyInputs!$L$9-PolicyInputs!$K$9),1))*IF(A44&gt;=PolicyInputs!$L$9,0,1)</f>
        <v>0</v>
      </c>
      <c r="F44" s="154">
        <f>F13*EconomicInputs!C13</f>
        <v>13846963.040839188</v>
      </c>
      <c r="G44" s="154">
        <f>G13*EconomicInputs!E13</f>
        <v>151737384.36847031</v>
      </c>
      <c r="H44" s="154">
        <f>(1+H13)*EconomicInputs!J13</f>
        <v>96916039.950240821</v>
      </c>
      <c r="I44" s="159">
        <f>(I13)*EconomicInputs!AA13</f>
        <v>0</v>
      </c>
      <c r="J44" s="161">
        <f>J13*EconomicInputs!F13</f>
        <v>0</v>
      </c>
      <c r="K44" s="159">
        <f>K13*EconomicInputs!Y13</f>
        <v>0</v>
      </c>
      <c r="L44" s="159">
        <f>L13*EconomicInputs!W13</f>
        <v>0</v>
      </c>
      <c r="M44" s="159">
        <f>M13*EconomicInputs!E13</f>
        <v>0</v>
      </c>
      <c r="N44" s="142">
        <f>N13*EconomicInputs!X13</f>
        <v>77187001.5</v>
      </c>
      <c r="O44" s="159">
        <f>O13*EconomicInputs!X13</f>
        <v>0</v>
      </c>
      <c r="P44" s="142">
        <f>P13*EconomicInputs!Q13*(IF(PolicyInputs!$K$20&lt;=TabularOutputs!A44,MIN(1,(TabularOutputs!A44-PolicyInputs!$K$20)/(PolicyInputs!$L$20-PolicyInputs!$K$20)),1))</f>
        <v>0</v>
      </c>
      <c r="Q44" s="142">
        <f>IF(Q13="Oregon",0.05*EconomicInputs!T8+0.15*(EconomicInputs!S8+EconomicInputs!U8),IF(Q8="Kentucky",EconomicInputs!U8*0.0285,IF(Q8="None",0,"Error")))*(IF(PolicyInputs!$K$21&lt;=TabularOutputs!A44,MIN(1,(TabularOutputs!A44-PolicyInputs!$K$21)/(PolicyInputs!$L$21-PolicyInputs!$K$21)),1))</f>
        <v>0</v>
      </c>
      <c r="R44" s="159">
        <f>IF(R13="Oregon",0.025*EconomicInputs!T8+0.075*(EconomicInputs!S8+EconomicInputs!U8),IF(R8="Kentucky",EconomicInputs!U8*0.01425,IF(R8="None",0,"Error")))*(IF(PolicyInputs!$K$22&lt;=TabularOutputs!A44,MIN(1,(TabularOutputs!A44-PolicyInputs!$K$22)/(PolicyInputs!$L$22-PolicyInputs!$K$22)),1))</f>
        <v>0</v>
      </c>
      <c r="S44" s="142">
        <f>IF(S13="Purdue",0.08*EconomicInputs!T8+0.11*(EconomicInputs!U8+EconomicInputs!S8),IF(S8="None",0,"Error"))*(IF(PolicyInputs!$K$23&lt;=TabularOutputs!A44,MIN(1,(TabularOutputs!A44-PolicyInputs!$K$23)/(PolicyInputs!$L$23-PolicyInputs!$K$23)),1))</f>
        <v>0</v>
      </c>
      <c r="T44" s="162">
        <f>(1+T13)*EconomicInputs!Z13</f>
        <v>73333623.335636824</v>
      </c>
      <c r="U44" s="163"/>
      <c r="V44" s="163"/>
      <c r="W44" s="163"/>
      <c r="X44" s="159">
        <f>X13*EconomicInputs!V13</f>
        <v>0</v>
      </c>
      <c r="Y44" s="142">
        <f t="shared" si="6"/>
        <v>0</v>
      </c>
      <c r="Z44" s="159">
        <f t="shared" si="5"/>
        <v>0</v>
      </c>
      <c r="AA44" s="159">
        <f t="shared" si="5"/>
        <v>0</v>
      </c>
      <c r="AB44" s="159">
        <f t="shared" si="5"/>
        <v>0</v>
      </c>
      <c r="AC44" s="159">
        <f>AC43*(1+TechnicalInputs!$D$36)</f>
        <v>40358785.923840001</v>
      </c>
      <c r="AD44" s="154">
        <f t="shared" si="7"/>
        <v>1541432468.4637218</v>
      </c>
      <c r="AE44" s="164">
        <f>AD44/SUM(EconomicInputs!P13:U13)</f>
        <v>1.8942993038554578E-2</v>
      </c>
      <c r="AF44" s="165">
        <f>(B44+SUM(E44:G44,I44:M44,P44))/EconomicInputs!Q13</f>
        <v>1.337834823000528E-2</v>
      </c>
      <c r="AG44" s="165">
        <f>(C44+D44+H44+SUM(Q44:T44))/SUM(EconomicInputs!S13:U13)</f>
        <v>4.7339688533579984E-2</v>
      </c>
    </row>
    <row r="45" spans="1:33">
      <c r="A45" s="143">
        <f>EconomicInputs!A46</f>
        <v>2020</v>
      </c>
      <c r="B45" s="154">
        <f>B14*EconomicInputs!K14*(IF(PolicyInputs!$K$6&lt;=TabularOutputs!A45,(PolicyInputs!$L$6-TabularOutputs!A45)/(PolicyInputs!$L$6-PolicyInputs!$K$6),1))*IF(A45&gt;=PolicyInputs!$L$6,0,1)</f>
        <v>771299862.39003313</v>
      </c>
      <c r="C45" s="154">
        <f>C14*EconomicInputs!L14*(IF(PolicyInputs!$K$7&lt;=TabularOutputs!A45,(PolicyInputs!$L$7-TabularOutputs!A45)/(PolicyInputs!$L$7-PolicyInputs!$K$7),1))*IF(A45&gt;=PolicyInputs!$L$7,0,1)</f>
        <v>199243796.86001682</v>
      </c>
      <c r="D45" s="154">
        <f>D14*EconomicInputs!M14*(IF(PolicyInputs!$K$8&lt;=TabularOutputs!A45,(PolicyInputs!$L$8-TabularOutputs!A45)/(PolicyInputs!$L$8-PolicyInputs!$K$8),1))*IF(A45&gt;=PolicyInputs!$L$8,0,1)</f>
        <v>109584088.27300926</v>
      </c>
      <c r="E45" s="142">
        <f>(E14*EconomicInputs!K14*EconomicInputs!N14+E14*EconomicInputs!L14*EconomicInputs!O14)*(IF(PolicyInputs!$K$9&lt;=TabularOutputs!A45,(PolicyInputs!$L$9-TabularOutputs!A45)/(PolicyInputs!$L$9-PolicyInputs!$K$9),1))*IF(A45&gt;=PolicyInputs!$L$9,0,1)</f>
        <v>0</v>
      </c>
      <c r="F45" s="154">
        <f>F14*EconomicInputs!C14</f>
        <v>13931441.904159999</v>
      </c>
      <c r="G45" s="154">
        <f>G14*EconomicInputs!E14</f>
        <v>153245596.12374941</v>
      </c>
      <c r="H45" s="154">
        <f>(1+H14)*EconomicInputs!J14</f>
        <v>97230962.06627664</v>
      </c>
      <c r="I45" s="159">
        <f>(I14)*EconomicInputs!AA14</f>
        <v>0</v>
      </c>
      <c r="J45" s="161">
        <f>J14*EconomicInputs!F14</f>
        <v>0</v>
      </c>
      <c r="K45" s="159">
        <f>K14*EconomicInputs!Y14</f>
        <v>0</v>
      </c>
      <c r="L45" s="159">
        <f>L14*EconomicInputs!W14</f>
        <v>0</v>
      </c>
      <c r="M45" s="159">
        <f>M14*EconomicInputs!E14</f>
        <v>0</v>
      </c>
      <c r="N45" s="142">
        <f>N14*EconomicInputs!X14</f>
        <v>79995410.599999994</v>
      </c>
      <c r="O45" s="159">
        <f>O14*EconomicInputs!X14</f>
        <v>0</v>
      </c>
      <c r="P45" s="142">
        <f>P14*EconomicInputs!Q14*(IF(PolicyInputs!$K$20&lt;=TabularOutputs!A45,MIN(1,(TabularOutputs!A45-PolicyInputs!$K$20)/(PolicyInputs!$L$20-PolicyInputs!$K$20)),1))</f>
        <v>0</v>
      </c>
      <c r="Q45" s="142">
        <f>IF(Q14="Oregon",0.05*EconomicInputs!T9+0.15*(EconomicInputs!S9+EconomicInputs!U9),IF(Q9="Kentucky",EconomicInputs!U9*0.0285,IF(Q9="None",0,"Error")))*(IF(PolicyInputs!$K$21&lt;=TabularOutputs!A45,MIN(1,(TabularOutputs!A45-PolicyInputs!$K$21)/(PolicyInputs!$L$21-PolicyInputs!$K$21)),1))</f>
        <v>0</v>
      </c>
      <c r="R45" s="159">
        <f>IF(R14="Oregon",0.025*EconomicInputs!T9+0.075*(EconomicInputs!S9+EconomicInputs!U9),IF(R9="Kentucky",EconomicInputs!U9*0.01425,IF(R9="None",0,"Error")))*(IF(PolicyInputs!$K$22&lt;=TabularOutputs!A45,MIN(1,(TabularOutputs!A45-PolicyInputs!$K$22)/(PolicyInputs!$L$22-PolicyInputs!$K$22)),1))</f>
        <v>0</v>
      </c>
      <c r="S45" s="142">
        <f>IF(S14="Purdue",0.08*EconomicInputs!T9+0.11*(EconomicInputs!U9+EconomicInputs!S9),IF(S9="None",0,"Error"))*(IF(PolicyInputs!$K$23&lt;=TabularOutputs!A45,MIN(1,(TabularOutputs!A45-PolicyInputs!$K$23)/(PolicyInputs!$L$23-PolicyInputs!$K$23)),1))</f>
        <v>0</v>
      </c>
      <c r="T45" s="162">
        <f>(1+T14)*EconomicInputs!Z14</f>
        <v>75151511.927123174</v>
      </c>
      <c r="U45" s="163"/>
      <c r="V45" s="163"/>
      <c r="W45" s="163"/>
      <c r="X45" s="159">
        <f>X14*EconomicInputs!V14</f>
        <v>0</v>
      </c>
      <c r="Y45" s="142">
        <f t="shared" si="6"/>
        <v>0</v>
      </c>
      <c r="Z45" s="159">
        <f t="shared" ref="Z45:AB54" si="8">Z14</f>
        <v>0</v>
      </c>
      <c r="AA45" s="159">
        <f t="shared" si="8"/>
        <v>0</v>
      </c>
      <c r="AB45" s="159">
        <f t="shared" si="8"/>
        <v>0</v>
      </c>
      <c r="AC45" s="159">
        <f>AC44*(1+TechnicalInputs!$D$36)</f>
        <v>40762373.783078402</v>
      </c>
      <c r="AD45" s="154">
        <f t="shared" si="7"/>
        <v>1540445043.9274466</v>
      </c>
      <c r="AE45" s="164">
        <f>AD45/SUM(EconomicInputs!P14:U14)</f>
        <v>1.8730422217675003E-2</v>
      </c>
      <c r="AF45" s="165">
        <f>(B45+SUM(E45:G45,I45:M45,P45))/EconomicInputs!Q14</f>
        <v>1.311986273097872E-2</v>
      </c>
      <c r="AG45" s="165">
        <f>(C45+D45+H45+SUM(Q45:T45))/SUM(EconomicInputs!S14:U14)</f>
        <v>4.7086055110578666E-2</v>
      </c>
    </row>
    <row r="46" spans="1:33">
      <c r="A46" s="143">
        <f>EconomicInputs!A47</f>
        <v>2021</v>
      </c>
      <c r="B46" s="154">
        <f>B15*EconomicInputs!K15*(IF(PolicyInputs!$K$6&lt;=TabularOutputs!A46,(PolicyInputs!$L$6-TabularOutputs!A46)/(PolicyInputs!$L$6-PolicyInputs!$K$6),1))*IF(A46&gt;=PolicyInputs!$L$6,0,1)</f>
        <v>759331453.86394489</v>
      </c>
      <c r="C46" s="154">
        <f>C15*EconomicInputs!L15*(IF(PolicyInputs!$K$7&lt;=TabularOutputs!A46,(PolicyInputs!$L$7-TabularOutputs!A46)/(PolicyInputs!$L$7-PolicyInputs!$K$7),1))*IF(A46&gt;=PolicyInputs!$L$7,0,1)</f>
        <v>201189604.97897565</v>
      </c>
      <c r="D46" s="154">
        <f>D15*EconomicInputs!M15*(IF(PolicyInputs!$K$8&lt;=TabularOutputs!A46,(PolicyInputs!$L$8-TabularOutputs!A46)/(PolicyInputs!$L$8-PolicyInputs!$K$8),1))*IF(A46&gt;=PolicyInputs!$L$8,0,1)</f>
        <v>110654282.73843661</v>
      </c>
      <c r="E46" s="142">
        <f>(E15*EconomicInputs!K15*EconomicInputs!N15+E15*EconomicInputs!L15*EconomicInputs!O15)*(IF(PolicyInputs!$K$9&lt;=TabularOutputs!A46,(PolicyInputs!$L$9-TabularOutputs!A46)/(PolicyInputs!$L$9-PolicyInputs!$K$9),1))*IF(A46&gt;=PolicyInputs!$L$9,0,1)</f>
        <v>0</v>
      </c>
      <c r="F46" s="154">
        <f>F15*EconomicInputs!C15</f>
        <v>14013906.611863427</v>
      </c>
      <c r="G46" s="154">
        <f>G15*EconomicInputs!E15</f>
        <v>154768971.00880921</v>
      </c>
      <c r="H46" s="154">
        <f>(1+H15)*EconomicInputs!J15</f>
        <v>97515966.152356729</v>
      </c>
      <c r="I46" s="159">
        <f>(I15)*EconomicInputs!AA15</f>
        <v>0</v>
      </c>
      <c r="J46" s="161">
        <f>J15*EconomicInputs!F15</f>
        <v>0</v>
      </c>
      <c r="K46" s="159">
        <f>K15*EconomicInputs!Y15</f>
        <v>0</v>
      </c>
      <c r="L46" s="159">
        <f>L15*EconomicInputs!W15</f>
        <v>0</v>
      </c>
      <c r="M46" s="159">
        <f>M15*EconomicInputs!E15</f>
        <v>0</v>
      </c>
      <c r="N46" s="142">
        <f>N15*EconomicInputs!X15</f>
        <v>82723606</v>
      </c>
      <c r="O46" s="159">
        <f>O15*EconomicInputs!X15</f>
        <v>0</v>
      </c>
      <c r="P46" s="142">
        <f>P15*EconomicInputs!Q15*(IF(PolicyInputs!$K$20&lt;=TabularOutputs!A46,MIN(1,(TabularOutputs!A46-PolicyInputs!$K$20)/(PolicyInputs!$L$20-PolicyInputs!$K$20)),1))</f>
        <v>0</v>
      </c>
      <c r="Q46" s="142">
        <f>IF(Q15="Oregon",0.05*EconomicInputs!T10+0.15*(EconomicInputs!S10+EconomicInputs!U10),IF(Q10="Kentucky",EconomicInputs!U10*0.0285,IF(Q10="None",0,"Error")))*(IF(PolicyInputs!$K$21&lt;=TabularOutputs!A46,MIN(1,(TabularOutputs!A46-PolicyInputs!$K$21)/(PolicyInputs!$L$21-PolicyInputs!$K$21)),1))</f>
        <v>0</v>
      </c>
      <c r="R46" s="159">
        <f>IF(R15="Oregon",0.025*EconomicInputs!T10+0.075*(EconomicInputs!S10+EconomicInputs!U10),IF(R10="Kentucky",EconomicInputs!U10*0.01425,IF(R10="None",0,"Error")))*(IF(PolicyInputs!$K$22&lt;=TabularOutputs!A46,MIN(1,(TabularOutputs!A46-PolicyInputs!$K$22)/(PolicyInputs!$L$22-PolicyInputs!$K$22)),1))</f>
        <v>0</v>
      </c>
      <c r="S46" s="142">
        <f>IF(S15="Purdue",0.08*EconomicInputs!T10+0.11*(EconomicInputs!U10+EconomicInputs!S10),IF(S10="None",0,"Error"))*(IF(PolicyInputs!$K$23&lt;=TabularOutputs!A46,MIN(1,(TabularOutputs!A46-PolicyInputs!$K$23)/(PolicyInputs!$L$23-PolicyInputs!$K$23)),1))</f>
        <v>0</v>
      </c>
      <c r="T46" s="162">
        <f>(1+T15)*EconomicInputs!Z15</f>
        <v>76797726.496682703</v>
      </c>
      <c r="U46" s="163"/>
      <c r="V46" s="163"/>
      <c r="W46" s="163"/>
      <c r="X46" s="159">
        <f>X15*EconomicInputs!V15</f>
        <v>0</v>
      </c>
      <c r="Y46" s="142">
        <f t="shared" si="6"/>
        <v>0</v>
      </c>
      <c r="Z46" s="159">
        <f t="shared" si="8"/>
        <v>0</v>
      </c>
      <c r="AA46" s="159">
        <f t="shared" si="8"/>
        <v>0</v>
      </c>
      <c r="AB46" s="159">
        <f t="shared" si="8"/>
        <v>0</v>
      </c>
      <c r="AC46" s="159">
        <f>AC45*(1+TechnicalInputs!$D$36)</f>
        <v>41169997.52090919</v>
      </c>
      <c r="AD46" s="154">
        <f t="shared" si="7"/>
        <v>1538165515.3719783</v>
      </c>
      <c r="AE46" s="164">
        <f>AD46/SUM(EconomicInputs!P15:U15)</f>
        <v>1.8504540843964322E-2</v>
      </c>
      <c r="AF46" s="165">
        <f>(B46+SUM(E46:G46,I46:M46,P46))/EconomicInputs!Q15</f>
        <v>1.2847282985373437E-2</v>
      </c>
      <c r="AG46" s="165">
        <f>(C46+D46+H46+SUM(Q46:T46))/SUM(EconomicInputs!S15:U15)</f>
        <v>4.6834586570358584E-2</v>
      </c>
    </row>
    <row r="47" spans="1:33">
      <c r="A47" s="143">
        <f>EconomicInputs!A48</f>
        <v>2022</v>
      </c>
      <c r="B47" s="154">
        <f>B16*EconomicInputs!K16*(IF(PolicyInputs!$K$6&lt;=TabularOutputs!A47,(PolicyInputs!$L$6-TabularOutputs!A47)/(PolicyInputs!$L$6-PolicyInputs!$K$6),1))*IF(A47&gt;=PolicyInputs!$L$6,0,1)</f>
        <v>746219090.8840909</v>
      </c>
      <c r="C47" s="154">
        <f>C16*EconomicInputs!L16*(IF(PolicyInputs!$K$7&lt;=TabularOutputs!A47,(PolicyInputs!$L$7-TabularOutputs!A47)/(PolicyInputs!$L$7-PolicyInputs!$K$7),1))*IF(A47&gt;=PolicyInputs!$L$7,0,1)</f>
        <v>203345209.85850608</v>
      </c>
      <c r="D47" s="154">
        <f>D16*EconomicInputs!M16*(IF(PolicyInputs!$K$8&lt;=TabularOutputs!A47,(PolicyInputs!$L$8-TabularOutputs!A47)/(PolicyInputs!$L$8-PolicyInputs!$K$8),1))*IF(A47&gt;=PolicyInputs!$L$8,0,1)</f>
        <v>111839865.42217836</v>
      </c>
      <c r="E47" s="142">
        <f>(E16*EconomicInputs!K16*EconomicInputs!N16+E16*EconomicInputs!L16*EconomicInputs!O16)*(IF(PolicyInputs!$K$9&lt;=TabularOutputs!A47,(PolicyInputs!$L$9-TabularOutputs!A47)/(PolicyInputs!$L$9-PolicyInputs!$K$9),1))*IF(A47&gt;=PolicyInputs!$L$9,0,1)</f>
        <v>0</v>
      </c>
      <c r="F47" s="154">
        <f>F16*EconomicInputs!C16</f>
        <v>14096859.454826899</v>
      </c>
      <c r="G47" s="154">
        <f>G16*EconomicInputs!E16</f>
        <v>156306867.85578558</v>
      </c>
      <c r="H47" s="154">
        <f>(1+H16)*EconomicInputs!J16</f>
        <v>97776243.532790825</v>
      </c>
      <c r="I47" s="159">
        <f>(I16)*EconomicInputs!AA16</f>
        <v>0</v>
      </c>
      <c r="J47" s="161">
        <f>J16*EconomicInputs!F16</f>
        <v>0</v>
      </c>
      <c r="K47" s="159">
        <f>K16*EconomicInputs!Y16</f>
        <v>0</v>
      </c>
      <c r="L47" s="159">
        <f>L16*EconomicInputs!W16</f>
        <v>0</v>
      </c>
      <c r="M47" s="159">
        <f>M16*EconomicInputs!E16</f>
        <v>0</v>
      </c>
      <c r="N47" s="142">
        <f>N16*EconomicInputs!X16</f>
        <v>85620765.299999997</v>
      </c>
      <c r="O47" s="159">
        <f>O16*EconomicInputs!X16</f>
        <v>0</v>
      </c>
      <c r="P47" s="142">
        <f>P16*EconomicInputs!Q16*(IF(PolicyInputs!$K$20&lt;=TabularOutputs!A47,MIN(1,(TabularOutputs!A47-PolicyInputs!$K$20)/(PolicyInputs!$L$20-PolicyInputs!$K$20)),1))</f>
        <v>0</v>
      </c>
      <c r="Q47" s="142">
        <f>IF(Q16="Oregon",0.05*EconomicInputs!T11+0.15*(EconomicInputs!S11+EconomicInputs!U11),IF(Q11="Kentucky",EconomicInputs!U11*0.0285,IF(Q11="None",0,"Error")))*(IF(PolicyInputs!$K$21&lt;=TabularOutputs!A47,MIN(1,(TabularOutputs!A47-PolicyInputs!$K$21)/(PolicyInputs!$L$21-PolicyInputs!$K$21)),1))</f>
        <v>0</v>
      </c>
      <c r="R47" s="159">
        <f>IF(R16="Oregon",0.025*EconomicInputs!T11+0.075*(EconomicInputs!S11+EconomicInputs!U11),IF(R11="Kentucky",EconomicInputs!U11*0.01425,IF(R11="None",0,"Error")))*(IF(PolicyInputs!$K$22&lt;=TabularOutputs!A47,MIN(1,(TabularOutputs!A47-PolicyInputs!$K$22)/(PolicyInputs!$L$22-PolicyInputs!$K$22)),1))</f>
        <v>0</v>
      </c>
      <c r="S47" s="142">
        <f>IF(S16="Purdue",0.08*EconomicInputs!T11+0.11*(EconomicInputs!U11+EconomicInputs!S11),IF(S11="None",0,"Error"))*(IF(PolicyInputs!$K$23&lt;=TabularOutputs!A47,MIN(1,(TabularOutputs!A47-PolicyInputs!$K$23)/(PolicyInputs!$L$23-PolicyInputs!$K$23)),1))</f>
        <v>0</v>
      </c>
      <c r="T47" s="162">
        <f>(1+T16)*EconomicInputs!Z16</f>
        <v>78303857.705853537</v>
      </c>
      <c r="U47" s="163"/>
      <c r="V47" s="163"/>
      <c r="W47" s="163"/>
      <c r="X47" s="159">
        <f>X16*EconomicInputs!V16</f>
        <v>0</v>
      </c>
      <c r="Y47" s="142">
        <f t="shared" si="6"/>
        <v>0</v>
      </c>
      <c r="Z47" s="159">
        <f t="shared" si="8"/>
        <v>0</v>
      </c>
      <c r="AA47" s="159">
        <f t="shared" si="8"/>
        <v>0</v>
      </c>
      <c r="AB47" s="159">
        <f t="shared" si="8"/>
        <v>0</v>
      </c>
      <c r="AC47" s="159">
        <f>AC46*(1+TechnicalInputs!$D$36)</f>
        <v>41581697.496118285</v>
      </c>
      <c r="AD47" s="154">
        <f t="shared" si="7"/>
        <v>1535090457.5101504</v>
      </c>
      <c r="AE47" s="164">
        <f>AD47/SUM(EconomicInputs!P16:U16)</f>
        <v>1.8271731244622644E-2</v>
      </c>
      <c r="AF47" s="165">
        <f>(B47+SUM(E47:G47,I47:M47,P47))/EconomicInputs!Q16</f>
        <v>1.2563374631287863E-2</v>
      </c>
      <c r="AG47" s="165">
        <f>(C47+D47+H47+SUM(Q47:T47))/SUM(EconomicInputs!S16:U16)</f>
        <v>4.6593227937082725E-2</v>
      </c>
    </row>
    <row r="48" spans="1:33">
      <c r="A48" s="143">
        <f>EconomicInputs!A49</f>
        <v>2023</v>
      </c>
      <c r="B48" s="154">
        <f>B17*EconomicInputs!K17*(IF(PolicyInputs!$K$6&lt;=TabularOutputs!A48,(PolicyInputs!$L$6-TabularOutputs!A48)/(PolicyInputs!$L$6-PolicyInputs!$K$6),1))*IF(A48&gt;=PolicyInputs!$L$6,0,1)</f>
        <v>732113503.74592328</v>
      </c>
      <c r="C48" s="154">
        <f>C17*EconomicInputs!L17*(IF(PolicyInputs!$K$7&lt;=TabularOutputs!A48,(PolicyInputs!$L$7-TabularOutputs!A48)/(PolicyInputs!$L$7-PolicyInputs!$K$7),1))*IF(A48&gt;=PolicyInputs!$L$7,0,1)</f>
        <v>205728938.98258591</v>
      </c>
      <c r="D48" s="154">
        <f>D17*EconomicInputs!M17*(IF(PolicyInputs!$K$8&lt;=TabularOutputs!A48,(PolicyInputs!$L$8-TabularOutputs!A48)/(PolicyInputs!$L$8-PolicyInputs!$K$8),1))*IF(A48&gt;=PolicyInputs!$L$8,0,1)</f>
        <v>113150916.44042225</v>
      </c>
      <c r="E48" s="142">
        <f>(E17*EconomicInputs!K17*EconomicInputs!N17+E17*EconomicInputs!L17*EconomicInputs!O17)*(IF(PolicyInputs!$K$9&lt;=TabularOutputs!A48,(PolicyInputs!$L$9-TabularOutputs!A48)/(PolicyInputs!$L$9-PolicyInputs!$K$9),1))*IF(A48&gt;=PolicyInputs!$L$9,0,1)</f>
        <v>0</v>
      </c>
      <c r="F48" s="154">
        <f>F17*EconomicInputs!C17</f>
        <v>14180303.32248079</v>
      </c>
      <c r="G48" s="154">
        <f>G17*EconomicInputs!E17</f>
        <v>157859545.61805451</v>
      </c>
      <c r="H48" s="154">
        <f>(1+H17)*EconomicInputs!J17</f>
        <v>98015742.216549546</v>
      </c>
      <c r="I48" s="159">
        <f>(I17)*EconomicInputs!AA17</f>
        <v>0</v>
      </c>
      <c r="J48" s="161">
        <f>J17*EconomicInputs!F17</f>
        <v>0</v>
      </c>
      <c r="K48" s="159">
        <f>K17*EconomicInputs!Y17</f>
        <v>0</v>
      </c>
      <c r="L48" s="159">
        <f>L17*EconomicInputs!W17</f>
        <v>0</v>
      </c>
      <c r="M48" s="159">
        <f>M17*EconomicInputs!E17</f>
        <v>0</v>
      </c>
      <c r="N48" s="142">
        <f>N17*EconomicInputs!X17</f>
        <v>88799673.200000003</v>
      </c>
      <c r="O48" s="159">
        <f>O17*EconomicInputs!X17</f>
        <v>0</v>
      </c>
      <c r="P48" s="142">
        <f>P17*EconomicInputs!Q17*(IF(PolicyInputs!$K$20&lt;=TabularOutputs!A48,MIN(1,(TabularOutputs!A48-PolicyInputs!$K$20)/(PolicyInputs!$L$20-PolicyInputs!$K$20)),1))</f>
        <v>0</v>
      </c>
      <c r="Q48" s="142">
        <f>IF(Q17="Oregon",0.05*EconomicInputs!T12+0.15*(EconomicInputs!S12+EconomicInputs!U12),IF(Q12="Kentucky",EconomicInputs!U12*0.0285,IF(Q12="None",0,"Error")))*(IF(PolicyInputs!$K$21&lt;=TabularOutputs!A48,MIN(1,(TabularOutputs!A48-PolicyInputs!$K$21)/(PolicyInputs!$L$21-PolicyInputs!$K$21)),1))</f>
        <v>0</v>
      </c>
      <c r="R48" s="159">
        <f>IF(R17="Oregon",0.025*EconomicInputs!T12+0.075*(EconomicInputs!S12+EconomicInputs!U12),IF(R12="Kentucky",EconomicInputs!U12*0.01425,IF(R12="None",0,"Error")))*(IF(PolicyInputs!$K$22&lt;=TabularOutputs!A48,MIN(1,(TabularOutputs!A48-PolicyInputs!$K$22)/(PolicyInputs!$L$22-PolicyInputs!$K$22)),1))</f>
        <v>0</v>
      </c>
      <c r="S48" s="142">
        <f>IF(S17="Purdue",0.08*EconomicInputs!T12+0.11*(EconomicInputs!U12+EconomicInputs!S12),IF(S12="None",0,"Error"))*(IF(PolicyInputs!$K$23&lt;=TabularOutputs!A48,MIN(1,(TabularOutputs!A48-PolicyInputs!$K$23)/(PolicyInputs!$L$23-PolicyInputs!$K$23)),1))</f>
        <v>0</v>
      </c>
      <c r="T48" s="162">
        <f>(1+T17)*EconomicInputs!Z17</f>
        <v>79691471.796481475</v>
      </c>
      <c r="U48" s="163"/>
      <c r="V48" s="163"/>
      <c r="W48" s="163"/>
      <c r="X48" s="159">
        <f>X17*EconomicInputs!V17</f>
        <v>0</v>
      </c>
      <c r="Y48" s="142">
        <f t="shared" si="6"/>
        <v>0</v>
      </c>
      <c r="Z48" s="159">
        <f t="shared" si="8"/>
        <v>0</v>
      </c>
      <c r="AA48" s="159">
        <f t="shared" si="8"/>
        <v>0</v>
      </c>
      <c r="AB48" s="159">
        <f t="shared" si="8"/>
        <v>0</v>
      </c>
      <c r="AC48" s="159">
        <f>AC47*(1+TechnicalInputs!$D$36)</f>
        <v>41997514.471079469</v>
      </c>
      <c r="AD48" s="154">
        <f t="shared" si="7"/>
        <v>1531537609.7935772</v>
      </c>
      <c r="AE48" s="164">
        <f>AD48/SUM(EconomicInputs!P17:U17)</f>
        <v>1.8036009305043729E-2</v>
      </c>
      <c r="AF48" s="165">
        <f>(B48+SUM(E48:G48,I48:M48,P48))/EconomicInputs!Q17</f>
        <v>1.2270576159141372E-2</v>
      </c>
      <c r="AG48" s="165">
        <f>(C48+D48+H48+SUM(Q48:T48))/SUM(EconomicInputs!S17:U17)</f>
        <v>4.6366508246963055E-2</v>
      </c>
    </row>
    <row r="49" spans="1:37">
      <c r="A49" s="143">
        <f>EconomicInputs!A50</f>
        <v>2024</v>
      </c>
      <c r="B49" s="154">
        <f>B18*EconomicInputs!K18*(IF(PolicyInputs!$K$6&lt;=TabularOutputs!A49,(PolicyInputs!$L$6-TabularOutputs!A49)/(PolicyInputs!$L$6-PolicyInputs!$K$6),1))*IF(A49&gt;=PolicyInputs!$L$6,0,1)</f>
        <v>717014893.05173755</v>
      </c>
      <c r="C49" s="154">
        <f>C18*EconomicInputs!L18*(IF(PolicyInputs!$K$7&lt;=TabularOutputs!A49,(PolicyInputs!$L$7-TabularOutputs!A49)/(PolicyInputs!$L$7-PolicyInputs!$K$7),1))*IF(A49&gt;=PolicyInputs!$L$7,0,1)</f>
        <v>208312992.22022355</v>
      </c>
      <c r="D49" s="154">
        <f>D18*EconomicInputs!M18*(IF(PolicyInputs!$K$8&lt;=TabularOutputs!A49,(PolicyInputs!$L$8-TabularOutputs!A49)/(PolicyInputs!$L$8-PolicyInputs!$K$8),1))*IF(A49&gt;=PolicyInputs!$L$8,0,1)</f>
        <v>114572145.72112295</v>
      </c>
      <c r="E49" s="142">
        <f>(E18*EconomicInputs!K18*EconomicInputs!N18+E18*EconomicInputs!L18*EconomicInputs!O18)*(IF(PolicyInputs!$K$9&lt;=TabularOutputs!A49,(PolicyInputs!$L$9-TabularOutputs!A49)/(PolicyInputs!$L$9-PolicyInputs!$K$9),1))*IF(A49&gt;=PolicyInputs!$L$9,0,1)</f>
        <v>0</v>
      </c>
      <c r="F49" s="154">
        <f>F18*EconomicInputs!C18</f>
        <v>14264241.121358965</v>
      </c>
      <c r="G49" s="154">
        <f>G18*EconomicInputs!E18</f>
        <v>159426333.02407852</v>
      </c>
      <c r="H49" s="154">
        <f>(1+H18)*EconomicInputs!J18</f>
        <v>98237534.574385151</v>
      </c>
      <c r="I49" s="159">
        <f>(I18)*EconomicInputs!AA18</f>
        <v>0</v>
      </c>
      <c r="J49" s="161">
        <f>J18*EconomicInputs!F18</f>
        <v>0</v>
      </c>
      <c r="K49" s="159">
        <f>K18*EconomicInputs!Y18</f>
        <v>0</v>
      </c>
      <c r="L49" s="159">
        <f>L18*EconomicInputs!W18</f>
        <v>0</v>
      </c>
      <c r="M49" s="159">
        <f>M18*EconomicInputs!E18</f>
        <v>0</v>
      </c>
      <c r="N49" s="142">
        <f>N18*EconomicInputs!X18</f>
        <v>92136235.099999994</v>
      </c>
      <c r="O49" s="159">
        <f>O18*EconomicInputs!X18</f>
        <v>0</v>
      </c>
      <c r="P49" s="142">
        <f>P18*EconomicInputs!Q18*(IF(PolicyInputs!$K$20&lt;=TabularOutputs!A49,MIN(1,(TabularOutputs!A49-PolicyInputs!$K$20)/(PolicyInputs!$L$20-PolicyInputs!$K$20)),1))</f>
        <v>0</v>
      </c>
      <c r="Q49" s="142">
        <f>IF(Q18="Oregon",0.05*EconomicInputs!T13+0.15*(EconomicInputs!S13+EconomicInputs!U13),IF(Q13="Kentucky",EconomicInputs!U13*0.0285,IF(Q13="None",0,"Error")))*(IF(PolicyInputs!$K$21&lt;=TabularOutputs!A49,MIN(1,(TabularOutputs!A49-PolicyInputs!$K$21)/(PolicyInputs!$L$21-PolicyInputs!$K$21)),1))</f>
        <v>0</v>
      </c>
      <c r="R49" s="159">
        <f>IF(R18="Oregon",0.025*EconomicInputs!T13+0.075*(EconomicInputs!S13+EconomicInputs!U13),IF(R13="Kentucky",EconomicInputs!U13*0.01425,IF(R13="None",0,"Error")))*(IF(PolicyInputs!$K$22&lt;=TabularOutputs!A49,MIN(1,(TabularOutputs!A49-PolicyInputs!$K$22)/(PolicyInputs!$L$22-PolicyInputs!$K$22)),1))</f>
        <v>0</v>
      </c>
      <c r="S49" s="142">
        <f>IF(S18="Purdue",0.08*EconomicInputs!T13+0.11*(EconomicInputs!U13+EconomicInputs!S13),IF(S13="None",0,"Error"))*(IF(PolicyInputs!$K$23&lt;=TabularOutputs!A49,MIN(1,(TabularOutputs!A49-PolicyInputs!$K$23)/(PolicyInputs!$L$23-PolicyInputs!$K$23)),1))</f>
        <v>0</v>
      </c>
      <c r="T49" s="162">
        <f>(1+T18)*EconomicInputs!Z18</f>
        <v>80977770.202317223</v>
      </c>
      <c r="U49" s="163"/>
      <c r="V49" s="163"/>
      <c r="W49" s="163"/>
      <c r="X49" s="159">
        <f>X18*EconomicInputs!V18</f>
        <v>0</v>
      </c>
      <c r="Y49" s="142">
        <f t="shared" si="6"/>
        <v>0</v>
      </c>
      <c r="Z49" s="159">
        <f t="shared" si="8"/>
        <v>0</v>
      </c>
      <c r="AA49" s="159">
        <f t="shared" si="8"/>
        <v>0</v>
      </c>
      <c r="AB49" s="159">
        <f t="shared" si="8"/>
        <v>0</v>
      </c>
      <c r="AC49" s="159">
        <f>AC48*(1+TechnicalInputs!$D$36)</f>
        <v>42417489.615790263</v>
      </c>
      <c r="AD49" s="154">
        <f t="shared" si="7"/>
        <v>1527359634.6310143</v>
      </c>
      <c r="AE49" s="164">
        <f>AD49/SUM(EconomicInputs!P18:U18)</f>
        <v>1.7795807532280349E-2</v>
      </c>
      <c r="AF49" s="165">
        <f>(B49+SUM(E49:G49,I49:M49,P49))/EconomicInputs!Q18</f>
        <v>1.1969272864182735E-2</v>
      </c>
      <c r="AG49" s="165">
        <f>(C49+D49+H49+SUM(Q49:T49))/SUM(EconomicInputs!S18:U18)</f>
        <v>4.6151604841833158E-2</v>
      </c>
    </row>
    <row r="50" spans="1:37">
      <c r="A50" s="143">
        <f>EconomicInputs!A51</f>
        <v>2025</v>
      </c>
      <c r="B50" s="154">
        <f>B19*EconomicInputs!K19*(IF(PolicyInputs!$K$6&lt;=TabularOutputs!A50,(PolicyInputs!$L$6-TabularOutputs!A50)/(PolicyInputs!$L$6-PolicyInputs!$K$6),1))*IF(A50&gt;=PolicyInputs!$L$6,0,1)</f>
        <v>701154032.082569</v>
      </c>
      <c r="C50" s="154">
        <f>C19*EconomicInputs!L19*(IF(PolicyInputs!$K$7&lt;=TabularOutputs!A50,(PolicyInputs!$L$7-TabularOutputs!A50)/(PolicyInputs!$L$7-PolicyInputs!$K$7),1))*IF(A50&gt;=PolicyInputs!$L$7,0,1)</f>
        <v>211050102.93141598</v>
      </c>
      <c r="D50" s="154">
        <f>D19*EconomicInputs!M19*(IF(PolicyInputs!$K$8&lt;=TabularOutputs!A50,(PolicyInputs!$L$8-TabularOutputs!A50)/(PolicyInputs!$L$8-PolicyInputs!$K$8),1))*IF(A50&gt;=PolicyInputs!$L$8,0,1)</f>
        <v>116077556.61227879</v>
      </c>
      <c r="E50" s="142">
        <f>(E19*EconomicInputs!K19*EconomicInputs!N19+E19*EconomicInputs!L19*EconomicInputs!O19)*(IF(PolicyInputs!$K$9&lt;=TabularOutputs!A50,(PolicyInputs!$L$9-TabularOutputs!A50)/(PolicyInputs!$L$9-PolicyInputs!$K$9),1))*IF(A50&gt;=PolicyInputs!$L$9,0,1)</f>
        <v>0</v>
      </c>
      <c r="F50" s="154">
        <f>F19*EconomicInputs!C19</f>
        <v>14348675.775199998</v>
      </c>
      <c r="G50" s="154">
        <f>G19*EconomicInputs!E19</f>
        <v>161006512.80148327</v>
      </c>
      <c r="H50" s="154">
        <f>(1+H19)*EconomicInputs!J19</f>
        <v>98444058.459106848</v>
      </c>
      <c r="I50" s="159">
        <f>(I19)*EconomicInputs!AA19</f>
        <v>0</v>
      </c>
      <c r="J50" s="161">
        <f>J19*EconomicInputs!F19</f>
        <v>0</v>
      </c>
      <c r="K50" s="159">
        <f>K19*EconomicInputs!Y19</f>
        <v>0</v>
      </c>
      <c r="L50" s="159">
        <f>L19*EconomicInputs!W19</f>
        <v>0</v>
      </c>
      <c r="M50" s="159">
        <f>M19*EconomicInputs!E19</f>
        <v>0</v>
      </c>
      <c r="N50" s="142">
        <f>N19*EconomicInputs!X19</f>
        <v>95599734.999999985</v>
      </c>
      <c r="O50" s="159">
        <f>O19*EconomicInputs!X19</f>
        <v>0</v>
      </c>
      <c r="P50" s="142">
        <f>P19*EconomicInputs!Q19*(IF(PolicyInputs!$K$20&lt;=TabularOutputs!A50,MIN(1,(TabularOutputs!A50-PolicyInputs!$K$20)/(PolicyInputs!$L$20-PolicyInputs!$K$20)),1))</f>
        <v>0</v>
      </c>
      <c r="Q50" s="142">
        <f>IF(Q19="Oregon",0.05*EconomicInputs!T14+0.15*(EconomicInputs!S14+EconomicInputs!U14),IF(Q14="Kentucky",EconomicInputs!U14*0.0285,IF(Q14="None",0,"Error")))*(IF(PolicyInputs!$K$21&lt;=TabularOutputs!A50,MIN(1,(TabularOutputs!A50-PolicyInputs!$K$21)/(PolicyInputs!$L$21-PolicyInputs!$K$21)),1))</f>
        <v>0</v>
      </c>
      <c r="R50" s="159">
        <f>IF(R19="Oregon",0.025*EconomicInputs!T14+0.075*(EconomicInputs!S14+EconomicInputs!U14),IF(R14="Kentucky",EconomicInputs!U14*0.01425,IF(R14="None",0,"Error")))*(IF(PolicyInputs!$K$22&lt;=TabularOutputs!A50,MIN(1,(TabularOutputs!A50-PolicyInputs!$K$22)/(PolicyInputs!$L$22-PolicyInputs!$K$22)),1))</f>
        <v>0</v>
      </c>
      <c r="S50" s="142">
        <f>IF(S19="Purdue",0.08*EconomicInputs!T14+0.11*(EconomicInputs!U14+EconomicInputs!S14),IF(S14="None",0,"Error"))*(IF(PolicyInputs!$K$23&lt;=TabularOutputs!A50,MIN(1,(TabularOutputs!A50-PolicyInputs!$K$23)/(PolicyInputs!$L$23-PolicyInputs!$K$23)),1))</f>
        <v>0</v>
      </c>
      <c r="T50" s="162">
        <f>(1+T19)*EconomicInputs!Z19</f>
        <v>82176461.904254764</v>
      </c>
      <c r="U50" s="163"/>
      <c r="V50" s="163"/>
      <c r="W50" s="163"/>
      <c r="X50" s="159">
        <f>X19*EconomicInputs!V19</f>
        <v>0</v>
      </c>
      <c r="Y50" s="142">
        <f t="shared" si="6"/>
        <v>0</v>
      </c>
      <c r="Z50" s="159">
        <f t="shared" si="8"/>
        <v>0</v>
      </c>
      <c r="AA50" s="159">
        <f t="shared" si="8"/>
        <v>0</v>
      </c>
      <c r="AB50" s="159">
        <f t="shared" si="8"/>
        <v>0</v>
      </c>
      <c r="AC50" s="159">
        <f>AC49*(1+TechnicalInputs!$D$36)</f>
        <v>42841664.511948168</v>
      </c>
      <c r="AD50" s="154">
        <f t="shared" si="7"/>
        <v>1522698800.0782568</v>
      </c>
      <c r="AE50" s="164">
        <f>AD50/SUM(EconomicInputs!P19:U19)</f>
        <v>1.7552966627741307E-2</v>
      </c>
      <c r="AF50" s="165">
        <f>(B50+SUM(E50:G50,I50:M50,P50))/EconomicInputs!Q19</f>
        <v>1.1662905371738185E-2</v>
      </c>
      <c r="AG50" s="165">
        <f>(C50+D50+H50+SUM(Q50:T50))/SUM(EconomicInputs!S19:U19)</f>
        <v>4.5942743677319299E-2</v>
      </c>
    </row>
    <row r="51" spans="1:37">
      <c r="A51" s="143">
        <f>EconomicInputs!A52</f>
        <v>2026</v>
      </c>
      <c r="B51" s="154">
        <f>B20*EconomicInputs!K20*(IF(PolicyInputs!$K$6&lt;=TabularOutputs!A51,(PolicyInputs!$L$6-TabularOutputs!A51)/(PolicyInputs!$L$6-PolicyInputs!$K$6),1))*IF(A51&gt;=PolicyInputs!$L$6,0,1)</f>
        <v>685474880.37335742</v>
      </c>
      <c r="C51" s="154">
        <f>C20*EconomicInputs!L20*(IF(PolicyInputs!$K$7&lt;=TabularOutputs!A51,(PolicyInputs!$L$7-TabularOutputs!A51)/(PolicyInputs!$L$7-PolicyInputs!$K$7),1))*IF(A51&gt;=PolicyInputs!$L$7,0,1)</f>
        <v>213894522.49725446</v>
      </c>
      <c r="D51" s="154">
        <f>D20*EconomicInputs!M20*(IF(PolicyInputs!$K$8&lt;=TabularOutputs!A51,(PolicyInputs!$L$8-TabularOutputs!A51)/(PolicyInputs!$L$8-PolicyInputs!$K$8),1))*IF(A51&gt;=PolicyInputs!$L$8,0,1)</f>
        <v>117641987.37348996</v>
      </c>
      <c r="E51" s="142">
        <f>(E20*EconomicInputs!K20*EconomicInputs!N20+E20*EconomicInputs!L20*EconomicInputs!O20)*(IF(PolicyInputs!$K$9&lt;=TabularOutputs!A51,(PolicyInputs!$L$9-TabularOutputs!A51)/(PolicyInputs!$L$9-PolicyInputs!$K$9),1))*IF(A51&gt;=PolicyInputs!$L$9,0,1)</f>
        <v>0</v>
      </c>
      <c r="F51" s="154">
        <f>F20*EconomicInputs!C20</f>
        <v>14431181.586631684</v>
      </c>
      <c r="G51" s="154">
        <f>G20*EconomicInputs!E20</f>
        <v>162599758.79129663</v>
      </c>
      <c r="H51" s="154">
        <f>(1+H20)*EconomicInputs!J20</f>
        <v>98637280.676199034</v>
      </c>
      <c r="I51" s="159">
        <f>(I20)*EconomicInputs!AA20</f>
        <v>0</v>
      </c>
      <c r="J51" s="161">
        <f>J20*EconomicInputs!F20</f>
        <v>0</v>
      </c>
      <c r="K51" s="159">
        <f>K20*EconomicInputs!Y20</f>
        <v>0</v>
      </c>
      <c r="L51" s="159">
        <f>L20*EconomicInputs!W20</f>
        <v>0</v>
      </c>
      <c r="M51" s="159">
        <f>M20*EconomicInputs!E20</f>
        <v>0</v>
      </c>
      <c r="N51" s="142">
        <f>N20*EconomicInputs!X20</f>
        <v>99257880.400000006</v>
      </c>
      <c r="O51" s="159">
        <f>O20*EconomicInputs!X20</f>
        <v>0</v>
      </c>
      <c r="P51" s="142">
        <f>P20*EconomicInputs!Q20*(IF(PolicyInputs!$K$20&lt;=TabularOutputs!A51,MIN(1,(TabularOutputs!A51-PolicyInputs!$K$20)/(PolicyInputs!$L$20-PolicyInputs!$K$20)),1))</f>
        <v>0</v>
      </c>
      <c r="Q51" s="142">
        <f>IF(Q20="Oregon",0.05*EconomicInputs!T15+0.15*(EconomicInputs!S15+EconomicInputs!U15),IF(Q15="Kentucky",EconomicInputs!U15*0.0285,IF(Q15="None",0,"Error")))*(IF(PolicyInputs!$K$21&lt;=TabularOutputs!A51,MIN(1,(TabularOutputs!A51-PolicyInputs!$K$21)/(PolicyInputs!$L$21-PolicyInputs!$K$21)),1))</f>
        <v>0</v>
      </c>
      <c r="R51" s="159">
        <f>IF(R20="Oregon",0.025*EconomicInputs!T15+0.075*(EconomicInputs!S15+EconomicInputs!U15),IF(R15="Kentucky",EconomicInputs!U15*0.01425,IF(R15="None",0,"Error")))*(IF(PolicyInputs!$K$22&lt;=TabularOutputs!A51,MIN(1,(TabularOutputs!A51-PolicyInputs!$K$22)/(PolicyInputs!$L$22-PolicyInputs!$K$22)),1))</f>
        <v>0</v>
      </c>
      <c r="S51" s="142">
        <f>IF(S20="Purdue",0.08*EconomicInputs!T15+0.11*(EconomicInputs!U15+EconomicInputs!S15),IF(S15="None",0,"Error"))*(IF(PolicyInputs!$K$23&lt;=TabularOutputs!A51,MIN(1,(TabularOutputs!A51-PolicyInputs!$K$23)/(PolicyInputs!$L$23-PolicyInputs!$K$23)),1))</f>
        <v>0</v>
      </c>
      <c r="T51" s="162">
        <f>(1+T20)*EconomicInputs!Z20</f>
        <v>83298665.076175258</v>
      </c>
      <c r="U51" s="163"/>
      <c r="V51" s="163"/>
      <c r="W51" s="163"/>
      <c r="X51" s="159">
        <f>X20*EconomicInputs!V20</f>
        <v>0</v>
      </c>
      <c r="Y51" s="142">
        <f t="shared" si="6"/>
        <v>0</v>
      </c>
      <c r="Z51" s="159">
        <f t="shared" si="8"/>
        <v>0</v>
      </c>
      <c r="AA51" s="159">
        <f t="shared" si="8"/>
        <v>0</v>
      </c>
      <c r="AB51" s="159">
        <f t="shared" si="8"/>
        <v>0</v>
      </c>
      <c r="AC51" s="159">
        <f>AC50*(1+TechnicalInputs!$D$36)</f>
        <v>43270081.157067649</v>
      </c>
      <c r="AD51" s="154">
        <f t="shared" si="7"/>
        <v>1518506237.9314721</v>
      </c>
      <c r="AE51" s="164">
        <f>AD51/SUM(EconomicInputs!P20:U20)</f>
        <v>1.7318478328200656E-2</v>
      </c>
      <c r="AF51" s="165">
        <f>(B51+SUM(E51:G51,I51:M51,P51))/EconomicInputs!Q20</f>
        <v>1.1364120870840965E-2</v>
      </c>
      <c r="AG51" s="165">
        <f>(C51+D51+H51+SUM(Q51:T51))/SUM(EconomicInputs!S20:U20)</f>
        <v>4.5734429025757889E-2</v>
      </c>
    </row>
    <row r="52" spans="1:37">
      <c r="A52" s="143">
        <f>EconomicInputs!A53</f>
        <v>2027</v>
      </c>
      <c r="B52" s="154">
        <f>B21*EconomicInputs!K21*(IF(PolicyInputs!$K$6&lt;=TabularOutputs!A52,(PolicyInputs!$L$6-TabularOutputs!A52)/(PolicyInputs!$L$6-PolicyInputs!$K$6),1))*IF(A52&gt;=PolicyInputs!$L$6,0,1)</f>
        <v>670266285.85695314</v>
      </c>
      <c r="C52" s="154">
        <f>C21*EconomicInputs!L21*(IF(PolicyInputs!$K$7&lt;=TabularOutputs!A52,(PolicyInputs!$L$7-TabularOutputs!A52)/(PolicyInputs!$L$7-PolicyInputs!$K$7),1))*IF(A52&gt;=PolicyInputs!$L$7,0,1)</f>
        <v>216837111.34789571</v>
      </c>
      <c r="D52" s="154">
        <f>D21*EconomicInputs!M21*(IF(PolicyInputs!$K$8&lt;=TabularOutputs!A52,(PolicyInputs!$L$8-TabularOutputs!A52)/(PolicyInputs!$L$8-PolicyInputs!$K$8),1))*IF(A52&gt;=PolicyInputs!$L$8,0,1)</f>
        <v>119260411.24134265</v>
      </c>
      <c r="E52" s="142">
        <f>(E21*EconomicInputs!K21*EconomicInputs!N21+E21*EconomicInputs!L21*EconomicInputs!O21)*(IF(PolicyInputs!$K$9&lt;=TabularOutputs!A52,(PolicyInputs!$L$9-TabularOutputs!A52)/(PolicyInputs!$L$9-PolicyInputs!$K$9),1))*IF(A52&gt;=PolicyInputs!$L$9,0,1)</f>
        <v>0</v>
      </c>
      <c r="F52" s="154">
        <f>F21*EconomicInputs!C21</f>
        <v>14514161.811802072</v>
      </c>
      <c r="G52" s="154">
        <f>G21*EconomicInputs!E21</f>
        <v>164206534.03902459</v>
      </c>
      <c r="H52" s="154">
        <f>(1+H21)*EconomicInputs!J21</f>
        <v>98818810.996317029</v>
      </c>
      <c r="I52" s="159">
        <f>(I21)*EconomicInputs!AA21</f>
        <v>0</v>
      </c>
      <c r="J52" s="161">
        <f>J21*EconomicInputs!F21</f>
        <v>0</v>
      </c>
      <c r="K52" s="159">
        <f>K21*EconomicInputs!Y21</f>
        <v>0</v>
      </c>
      <c r="L52" s="159">
        <f>L21*EconomicInputs!W21</f>
        <v>0</v>
      </c>
      <c r="M52" s="159">
        <f>M21*EconomicInputs!E21</f>
        <v>0</v>
      </c>
      <c r="N52" s="142">
        <f>N21*EconomicInputs!X21</f>
        <v>103127073</v>
      </c>
      <c r="O52" s="159">
        <f>O21*EconomicInputs!X21</f>
        <v>0</v>
      </c>
      <c r="P52" s="142">
        <f>P21*EconomicInputs!Q21*(IF(PolicyInputs!$K$20&lt;=TabularOutputs!A52,MIN(1,(TabularOutputs!A52-PolicyInputs!$K$20)/(PolicyInputs!$L$20-PolicyInputs!$K$20)),1))</f>
        <v>0</v>
      </c>
      <c r="Q52" s="142">
        <f>IF(Q21="Oregon",0.05*EconomicInputs!T16+0.15*(EconomicInputs!S16+EconomicInputs!U16),IF(Q16="Kentucky",EconomicInputs!U16*0.0285,IF(Q16="None",0,"Error")))*(IF(PolicyInputs!$K$21&lt;=TabularOutputs!A52,MIN(1,(TabularOutputs!A52-PolicyInputs!$K$21)/(PolicyInputs!$L$21-PolicyInputs!$K$21)),1))</f>
        <v>0</v>
      </c>
      <c r="R52" s="159">
        <f>IF(R21="Oregon",0.025*EconomicInputs!T16+0.075*(EconomicInputs!S16+EconomicInputs!U16),IF(R16="Kentucky",EconomicInputs!U16*0.01425,IF(R16="None",0,"Error")))*(IF(PolicyInputs!$K$22&lt;=TabularOutputs!A52,MIN(1,(TabularOutputs!A52-PolicyInputs!$K$22)/(PolicyInputs!$L$22-PolicyInputs!$K$22)),1))</f>
        <v>0</v>
      </c>
      <c r="S52" s="142">
        <f>IF(S21="Purdue",0.08*EconomicInputs!T16+0.11*(EconomicInputs!U16+EconomicInputs!S16),IF(S16="None",0,"Error"))*(IF(PolicyInputs!$K$23&lt;=TabularOutputs!A52,MIN(1,(TabularOutputs!A52-PolicyInputs!$K$23)/(PolicyInputs!$L$23-PolicyInputs!$K$23)),1))</f>
        <v>0</v>
      </c>
      <c r="T52" s="162">
        <f>(1+T21)*EconomicInputs!Z21</f>
        <v>84353516.480910987</v>
      </c>
      <c r="U52" s="163"/>
      <c r="V52" s="163"/>
      <c r="W52" s="163"/>
      <c r="X52" s="159">
        <f>X21*EconomicInputs!V21</f>
        <v>0</v>
      </c>
      <c r="Y52" s="142">
        <f t="shared" si="6"/>
        <v>0</v>
      </c>
      <c r="Z52" s="159">
        <f t="shared" si="8"/>
        <v>0</v>
      </c>
      <c r="AA52" s="159">
        <f t="shared" si="8"/>
        <v>0</v>
      </c>
      <c r="AB52" s="159">
        <f t="shared" si="8"/>
        <v>0</v>
      </c>
      <c r="AC52" s="159">
        <f>AC51*(1+TechnicalInputs!$D$36)</f>
        <v>43702781.968638323</v>
      </c>
      <c r="AD52" s="154">
        <f t="shared" si="7"/>
        <v>1515086686.7428844</v>
      </c>
      <c r="AE52" s="164">
        <f>AD52/SUM(EconomicInputs!P21:U21)</f>
        <v>1.7095575812732244E-2</v>
      </c>
      <c r="AF52" s="165">
        <f>(B52+SUM(E52:G52,I52:M52,P52))/EconomicInputs!Q21</f>
        <v>1.1076544665958228E-2</v>
      </c>
      <c r="AG52" s="165">
        <f>(C52+D52+H52+SUM(Q52:T52))/SUM(EconomicInputs!S21:U21)</f>
        <v>4.552626923745344E-2</v>
      </c>
    </row>
    <row r="53" spans="1:37">
      <c r="A53" s="143">
        <f>EconomicInputs!A54</f>
        <v>2028</v>
      </c>
      <c r="B53" s="154">
        <f>B22*EconomicInputs!K22*(IF(PolicyInputs!$K$6&lt;=TabularOutputs!A53,(PolicyInputs!$L$6-TabularOutputs!A53)/(PolicyInputs!$L$6-PolicyInputs!$K$6),1))*IF(A53&gt;=PolicyInputs!$L$6,0,1)</f>
        <v>655541470.7737565</v>
      </c>
      <c r="C53" s="154">
        <f>C22*EconomicInputs!L22*(IF(PolicyInputs!$K$7&lt;=TabularOutputs!A53,(PolicyInputs!$L$7-TabularOutputs!A53)/(PolicyInputs!$L$7-PolicyInputs!$K$7),1))*IF(A53&gt;=PolicyInputs!$L$7,0,1)</f>
        <v>219881732.43561786</v>
      </c>
      <c r="D53" s="154">
        <f>D22*EconomicInputs!M22*(IF(PolicyInputs!$K$8&lt;=TabularOutputs!A53,(PolicyInputs!$L$8-TabularOutputs!A53)/(PolicyInputs!$L$8-PolicyInputs!$K$8),1))*IF(A53&gt;=PolicyInputs!$L$8,0,1)</f>
        <v>120934952.83958983</v>
      </c>
      <c r="E53" s="142">
        <f>(E22*EconomicInputs!K22*EconomicInputs!N22+E22*EconomicInputs!L22*EconomicInputs!O22)*(IF(PolicyInputs!$K$9&lt;=TabularOutputs!A53,(PolicyInputs!$L$9-TabularOutputs!A53)/(PolicyInputs!$L$9-PolicyInputs!$K$9),1))*IF(A53&gt;=PolicyInputs!$L$9,0,1)</f>
        <v>0</v>
      </c>
      <c r="F53" s="154">
        <f>F22*EconomicInputs!C22</f>
        <v>14597619.178620772</v>
      </c>
      <c r="G53" s="154">
        <f>G22*EconomicInputs!E22</f>
        <v>165826604.0212208</v>
      </c>
      <c r="H53" s="154">
        <f>(1+H22)*EconomicInputs!J22</f>
        <v>98989983.641414985</v>
      </c>
      <c r="I53" s="159">
        <f>(I22)*EconomicInputs!AA22</f>
        <v>0</v>
      </c>
      <c r="J53" s="161">
        <f>J22*EconomicInputs!F22</f>
        <v>0</v>
      </c>
      <c r="K53" s="159">
        <f>K22*EconomicInputs!Y22</f>
        <v>0</v>
      </c>
      <c r="L53" s="159">
        <f>L22*EconomicInputs!W22</f>
        <v>0</v>
      </c>
      <c r="M53" s="159">
        <f>M22*EconomicInputs!E22</f>
        <v>0</v>
      </c>
      <c r="N53" s="142">
        <f>N22*EconomicInputs!X22</f>
        <v>107051194.59999999</v>
      </c>
      <c r="O53" s="159">
        <f>O22*EconomicInputs!X22</f>
        <v>0</v>
      </c>
      <c r="P53" s="142">
        <f>P22*EconomicInputs!Q22*(IF(PolicyInputs!$K$20&lt;=TabularOutputs!A53,MIN(1,(TabularOutputs!A53-PolicyInputs!$K$20)/(PolicyInputs!$L$20-PolicyInputs!$K$20)),1))</f>
        <v>0</v>
      </c>
      <c r="Q53" s="142">
        <f>IF(Q22="Oregon",0.05*EconomicInputs!T17+0.15*(EconomicInputs!S17+EconomicInputs!U17),IF(Q17="Kentucky",EconomicInputs!U17*0.0285,IF(Q17="None",0,"Error")))*(IF(PolicyInputs!$K$21&lt;=TabularOutputs!A53,MIN(1,(TabularOutputs!A53-PolicyInputs!$K$21)/(PolicyInputs!$L$21-PolicyInputs!$K$21)),1))</f>
        <v>0</v>
      </c>
      <c r="R53" s="159">
        <f>IF(R22="Oregon",0.025*EconomicInputs!T17+0.075*(EconomicInputs!S17+EconomicInputs!U17),IF(R17="Kentucky",EconomicInputs!U17*0.01425,IF(R17="None",0,"Error")))*(IF(PolicyInputs!$K$22&lt;=TabularOutputs!A53,MIN(1,(TabularOutputs!A53-PolicyInputs!$K$22)/(PolicyInputs!$L$22-PolicyInputs!$K$22)),1))</f>
        <v>0</v>
      </c>
      <c r="S53" s="142">
        <f>IF(S22="Purdue",0.08*EconomicInputs!T17+0.11*(EconomicInputs!U17+EconomicInputs!S17),IF(S17="None",0,"Error"))*(IF(PolicyInputs!$K$23&lt;=TabularOutputs!A53,MIN(1,(TabularOutputs!A53-PolicyInputs!$K$23)/(PolicyInputs!$L$23-PolicyInputs!$K$23)),1))</f>
        <v>0</v>
      </c>
      <c r="T53" s="162">
        <f>(1+T22)*EconomicInputs!Z22</f>
        <v>85348614.177206367</v>
      </c>
      <c r="U53" s="163"/>
      <c r="V53" s="163"/>
      <c r="W53" s="163"/>
      <c r="X53" s="159">
        <f>X22*EconomicInputs!V22</f>
        <v>0</v>
      </c>
      <c r="Y53" s="142">
        <f t="shared" si="6"/>
        <v>0</v>
      </c>
      <c r="Z53" s="159">
        <f t="shared" si="8"/>
        <v>0</v>
      </c>
      <c r="AA53" s="159">
        <f t="shared" si="8"/>
        <v>0</v>
      </c>
      <c r="AB53" s="159">
        <f t="shared" si="8"/>
        <v>0</v>
      </c>
      <c r="AC53" s="159">
        <f>AC52*(1+TechnicalInputs!$D$36)</f>
        <v>44139809.788324706</v>
      </c>
      <c r="AD53" s="154">
        <f t="shared" si="7"/>
        <v>1512311981.4557517</v>
      </c>
      <c r="AE53" s="164">
        <f>AD53/SUM(EconomicInputs!P22:U22)</f>
        <v>1.688251685878691E-2</v>
      </c>
      <c r="AF53" s="165">
        <f>(B53+SUM(E53:G53,I53:M53,P53))/EconomicInputs!Q22</f>
        <v>1.0800104438324524E-2</v>
      </c>
      <c r="AG53" s="165">
        <f>(C53+D53+H53+SUM(Q53:T53))/SUM(EconomicInputs!S22:U22)</f>
        <v>4.5319478761016017E-2</v>
      </c>
    </row>
    <row r="54" spans="1:37">
      <c r="A54" s="143">
        <f>EconomicInputs!A55</f>
        <v>2029</v>
      </c>
      <c r="B54" s="154">
        <f>B23*EconomicInputs!K23*(IF(PolicyInputs!$K$6&lt;=TabularOutputs!A54,(PolicyInputs!$L$6-TabularOutputs!A54)/(PolicyInputs!$L$6-PolicyInputs!$K$6),1))*IF(A54&gt;=PolicyInputs!$L$6,0,1)</f>
        <v>641309393.77554071</v>
      </c>
      <c r="C54" s="154">
        <f>C23*EconomicInputs!L23*(IF(PolicyInputs!$K$7&lt;=TabularOutputs!A54,(PolicyInputs!$L$7-TabularOutputs!A54)/(PolicyInputs!$L$7-PolicyInputs!$K$7),1))*IF(A54&gt;=PolicyInputs!$L$7,0,1)</f>
        <v>223014783.8771874</v>
      </c>
      <c r="D54" s="154">
        <f>D23*EconomicInputs!M23*(IF(PolicyInputs!$K$8&lt;=TabularOutputs!A54,(PolicyInputs!$L$8-TabularOutputs!A54)/(PolicyInputs!$L$8-PolicyInputs!$K$8),1))*IF(A54&gt;=PolicyInputs!$L$8,0,1)</f>
        <v>122658131.13245307</v>
      </c>
      <c r="E54" s="142">
        <f>(E23*EconomicInputs!K23*EconomicInputs!N23+E23*EconomicInputs!L23*EconomicInputs!O23)*(IF(PolicyInputs!$K$9&lt;=TabularOutputs!A54,(PolicyInputs!$L$9-TabularOutputs!A54)/(PolicyInputs!$L$9-PolicyInputs!$K$9),1))*IF(A54&gt;=PolicyInputs!$L$9,0,1)</f>
        <v>0</v>
      </c>
      <c r="F54" s="154">
        <f>F23*EconomicInputs!C23</f>
        <v>14681556.430683048</v>
      </c>
      <c r="G54" s="154">
        <f>G23*EconomicInputs!E23</f>
        <v>167460822.90657061</v>
      </c>
      <c r="H54" s="154">
        <f>(1+H23)*EconomicInputs!J23</f>
        <v>99151916.778700233</v>
      </c>
      <c r="I54" s="159">
        <f>(I23)*EconomicInputs!AA23</f>
        <v>0</v>
      </c>
      <c r="J54" s="161">
        <f>J23*EconomicInputs!F23</f>
        <v>0</v>
      </c>
      <c r="K54" s="159">
        <f>K23*EconomicInputs!Y23</f>
        <v>0</v>
      </c>
      <c r="L54" s="159">
        <f>L23*EconomicInputs!W23</f>
        <v>0</v>
      </c>
      <c r="M54" s="159">
        <f>M23*EconomicInputs!E23</f>
        <v>0</v>
      </c>
      <c r="N54" s="142">
        <f>N23*EconomicInputs!X23</f>
        <v>111144565.7</v>
      </c>
      <c r="O54" s="159">
        <f>O23*EconomicInputs!X23</f>
        <v>0</v>
      </c>
      <c r="P54" s="142">
        <f>P23*EconomicInputs!Q23*(IF(PolicyInputs!$K$20&lt;=TabularOutputs!A54,MIN(1,(TabularOutputs!A54-PolicyInputs!$K$20)/(PolicyInputs!$L$20-PolicyInputs!$K$20)),1))</f>
        <v>0</v>
      </c>
      <c r="Q54" s="142">
        <f>IF(Q23="Oregon",0.05*EconomicInputs!T18+0.15*(EconomicInputs!S18+EconomicInputs!U18),IF(Q18="Kentucky",EconomicInputs!U18*0.0285,IF(Q18="None",0,"Error")))*(IF(PolicyInputs!$K$21&lt;=TabularOutputs!A54,MIN(1,(TabularOutputs!A54-PolicyInputs!$K$21)/(PolicyInputs!$L$21-PolicyInputs!$K$21)),1))</f>
        <v>0</v>
      </c>
      <c r="R54" s="159">
        <f>IF(R23="Oregon",0.025*EconomicInputs!T18+0.075*(EconomicInputs!S18+EconomicInputs!U18),IF(R18="Kentucky",EconomicInputs!U18*0.01425,IF(R18="None",0,"Error")))*(IF(PolicyInputs!$K$22&lt;=TabularOutputs!A54,MIN(1,(TabularOutputs!A54-PolicyInputs!$K$22)/(PolicyInputs!$L$22-PolicyInputs!$K$22)),1))</f>
        <v>0</v>
      </c>
      <c r="S54" s="142">
        <f>IF(S23="Purdue",0.08*EconomicInputs!T18+0.11*(EconomicInputs!U18+EconomicInputs!S18),IF(S18="None",0,"Error"))*(IF(PolicyInputs!$K$23&lt;=TabularOutputs!A54,MIN(1,(TabularOutputs!A54-PolicyInputs!$K$23)/(PolicyInputs!$L$23-PolicyInputs!$K$23)),1))</f>
        <v>0</v>
      </c>
      <c r="T54" s="162">
        <f>(1+T23)*EconomicInputs!Z23</f>
        <v>86290343.438675866</v>
      </c>
      <c r="U54" s="163"/>
      <c r="V54" s="163"/>
      <c r="W54" s="163"/>
      <c r="X54" s="159">
        <f>X23*EconomicInputs!V23</f>
        <v>0</v>
      </c>
      <c r="Y54" s="142">
        <f t="shared" si="6"/>
        <v>0</v>
      </c>
      <c r="Z54" s="159">
        <f t="shared" si="8"/>
        <v>0</v>
      </c>
      <c r="AA54" s="159">
        <f t="shared" si="8"/>
        <v>0</v>
      </c>
      <c r="AB54" s="159">
        <f t="shared" si="8"/>
        <v>0</v>
      </c>
      <c r="AC54" s="159">
        <f>AC53*(1+TechnicalInputs!$D$36)</f>
        <v>44581207.886207953</v>
      </c>
      <c r="AD54" s="154">
        <f t="shared" si="7"/>
        <v>1510292721.926019</v>
      </c>
      <c r="AE54" s="164">
        <f>AD54/SUM(EconomicInputs!P23:U23)</f>
        <v>1.6680263136406422E-2</v>
      </c>
      <c r="AF54" s="165">
        <f>(B54+SUM(E54:G54,I54:M54,P54))/EconomicInputs!Q23</f>
        <v>1.0534614666619656E-2</v>
      </c>
      <c r="AG54" s="165">
        <f>(C54+D54+H54+SUM(Q54:T54))/SUM(EconomicInputs!S23:U23)</f>
        <v>4.5112774405547389E-2</v>
      </c>
    </row>
    <row r="55" spans="1:37">
      <c r="A55" s="143">
        <f>EconomicInputs!A56</f>
        <v>2030</v>
      </c>
      <c r="B55" s="154">
        <f>B24*EconomicInputs!K24*(IF(PolicyInputs!$K$6&lt;=TabularOutputs!A55,(PolicyInputs!$L$6-TabularOutputs!A55)/(PolicyInputs!$L$6-PolicyInputs!$K$6),1))*IF(A55&gt;=PolicyInputs!$L$6,0,1)</f>
        <v>627566771.98597395</v>
      </c>
      <c r="C55" s="154">
        <f>C24*EconomicInputs!L24*(IF(PolicyInputs!$K$7&lt;=TabularOutputs!A55,(PolicyInputs!$L$7-TabularOutputs!A55)/(PolicyInputs!$L$7-PolicyInputs!$K$7),1))*IF(A55&gt;=PolicyInputs!$L$7,0,1)</f>
        <v>226275845.79382119</v>
      </c>
      <c r="D55" s="154">
        <f>D24*EconomicInputs!M24*(IF(PolicyInputs!$K$8&lt;=TabularOutputs!A55,(PolicyInputs!$L$8-TabularOutputs!A55)/(PolicyInputs!$L$8-PolicyInputs!$K$8),1))*IF(A55&gt;=PolicyInputs!$L$8,0,1)</f>
        <v>124451715.18660165</v>
      </c>
      <c r="E55" s="142">
        <f>(E24*EconomicInputs!K24*EconomicInputs!N24+E24*EconomicInputs!L24*EconomicInputs!O24)*(IF(PolicyInputs!$K$9&lt;=TabularOutputs!A55,(PolicyInputs!$L$9-TabularOutputs!A55)/(PolicyInputs!$L$9-PolicyInputs!$K$9),1))*IF(A55&gt;=PolicyInputs!$L$9,0,1)</f>
        <v>0</v>
      </c>
      <c r="F55" s="154">
        <f>F24*EconomicInputs!C24</f>
        <v>14765976.327359999</v>
      </c>
      <c r="G55" s="154">
        <f>G24*EconomicInputs!E24</f>
        <v>169109989.80572015</v>
      </c>
      <c r="H55" s="154">
        <f>(1+H24)*EconomicInputs!J24</f>
        <v>99305556.780168712</v>
      </c>
      <c r="I55" s="159">
        <f>(I24)*EconomicInputs!AA24</f>
        <v>0</v>
      </c>
      <c r="J55" s="161">
        <f>J24*EconomicInputs!F24</f>
        <v>0</v>
      </c>
      <c r="K55" s="159">
        <f>K24*EconomicInputs!Y24</f>
        <v>0</v>
      </c>
      <c r="L55" s="159">
        <f>L24*EconomicInputs!W24</f>
        <v>0</v>
      </c>
      <c r="M55" s="159">
        <f>M24*EconomicInputs!E24</f>
        <v>0</v>
      </c>
      <c r="N55" s="142">
        <f>N24*EconomicInputs!X24</f>
        <v>115473335.59999999</v>
      </c>
      <c r="O55" s="159">
        <f>O24*EconomicInputs!X24</f>
        <v>0</v>
      </c>
      <c r="P55" s="142">
        <f>P24*EconomicInputs!Q24*(IF(PolicyInputs!$K$20&lt;=TabularOutputs!A55,MIN(1,(TabularOutputs!A55-PolicyInputs!$K$20)/(PolicyInputs!$L$20-PolicyInputs!$K$20)),1))</f>
        <v>0</v>
      </c>
      <c r="Q55" s="142">
        <f>IF(Q24="Oregon",0.05*EconomicInputs!T19+0.15*(EconomicInputs!S19+EconomicInputs!U19),IF(Q19="Kentucky",EconomicInputs!U19*0.0285,IF(Q19="None",0,"Error")))*(IF(PolicyInputs!$K$21&lt;=TabularOutputs!A55,MIN(1,(TabularOutputs!A55-PolicyInputs!$K$21)/(PolicyInputs!$L$21-PolicyInputs!$K$21)),1))</f>
        <v>0</v>
      </c>
      <c r="R55" s="159">
        <f>IF(R24="Oregon",0.025*EconomicInputs!T19+0.075*(EconomicInputs!S19+EconomicInputs!U19),IF(R19="Kentucky",EconomicInputs!U19*0.01425,IF(R19="None",0,"Error")))*(IF(PolicyInputs!$K$22&lt;=TabularOutputs!A55,MIN(1,(TabularOutputs!A55-PolicyInputs!$K$22)/(PolicyInputs!$L$22-PolicyInputs!$K$22)),1))</f>
        <v>0</v>
      </c>
      <c r="S55" s="142">
        <f>IF(S24="Purdue",0.08*EconomicInputs!T19+0.11*(EconomicInputs!U19+EconomicInputs!S19),IF(S19="None",0,"Error"))*(IF(PolicyInputs!$K$23&lt;=TabularOutputs!A55,MIN(1,(TabularOutputs!A55-PolicyInputs!$K$23)/(PolicyInputs!$L$23-PolicyInputs!$K$23)),1))</f>
        <v>0</v>
      </c>
      <c r="T55" s="162">
        <f>(1+T24)*EconomicInputs!Z24</f>
        <v>87184121.014912128</v>
      </c>
      <c r="U55" s="163"/>
      <c r="V55" s="163"/>
      <c r="W55" s="163"/>
      <c r="X55" s="159">
        <f>X24*EconomicInputs!V24</f>
        <v>0</v>
      </c>
      <c r="Y55" s="142">
        <f t="shared" si="6"/>
        <v>0</v>
      </c>
      <c r="Z55" s="159">
        <f t="shared" ref="Z55:AB60" si="9">Z24</f>
        <v>0</v>
      </c>
      <c r="AA55" s="159">
        <f t="shared" si="9"/>
        <v>0</v>
      </c>
      <c r="AB55" s="159">
        <f t="shared" si="9"/>
        <v>0</v>
      </c>
      <c r="AC55" s="159">
        <f>AC54*(1+TechnicalInputs!$D$36)</f>
        <v>45027019.965070032</v>
      </c>
      <c r="AD55" s="154">
        <f t="shared" si="7"/>
        <v>1509160332.4596279</v>
      </c>
      <c r="AE55" s="164">
        <f>AD55/SUM(EconomicInputs!P24:U24)</f>
        <v>1.6489956614698945E-2</v>
      </c>
      <c r="AF55" s="165">
        <f>(B55+SUM(E55:G55,I55:M55,P55))/EconomicInputs!Q24</f>
        <v>1.0279744517045946E-2</v>
      </c>
      <c r="AG55" s="165">
        <f>(C55+D55+H55+SUM(Q55:T55))/SUM(EconomicInputs!S24:U24)</f>
        <v>4.4911747420696105E-2</v>
      </c>
    </row>
    <row r="56" spans="1:37">
      <c r="A56" s="143">
        <f>EconomicInputs!A57</f>
        <v>2031</v>
      </c>
      <c r="B56" s="154">
        <f>B25*EconomicInputs!K25*(IF(PolicyInputs!$K$6&lt;=TabularOutputs!A56,(PolicyInputs!$L$6-TabularOutputs!A56)/(PolicyInputs!$L$6-PolicyInputs!$K$6),1))*IF(A56&gt;=PolicyInputs!$L$6,0,1)</f>
        <v>614317053.36040974</v>
      </c>
      <c r="C56" s="154">
        <f>C25*EconomicInputs!L25*(IF(PolicyInputs!$K$7&lt;=TabularOutputs!A56,(PolicyInputs!$L$7-TabularOutputs!A56)/(PolicyInputs!$L$7-PolicyInputs!$K$7),1))*IF(A56&gt;=PolicyInputs!$L$7,0,1)</f>
        <v>229640654.4076173</v>
      </c>
      <c r="D56" s="154">
        <f>D25*EconomicInputs!M25*(IF(PolicyInputs!$K$8&lt;=TabularOutputs!A56,(PolicyInputs!$L$8-TabularOutputs!A56)/(PolicyInputs!$L$8-PolicyInputs!$K$8),1))*IF(A56&gt;=PolicyInputs!$L$8,0,1)</f>
        <v>126302359.92418954</v>
      </c>
      <c r="E56" s="142">
        <f>(E25*EconomicInputs!K25*EconomicInputs!N25+E25*EconomicInputs!L25*EconomicInputs!O25)*(IF(PolicyInputs!$K$9&lt;=TabularOutputs!A56,(PolicyInputs!$L$9-TabularOutputs!A56)/(PolicyInputs!$L$9-PolicyInputs!$K$9),1))*IF(A56&gt;=PolicyInputs!$L$9,0,1)</f>
        <v>0</v>
      </c>
      <c r="F56" s="154">
        <f>F25*EconomicInputs!C25</f>
        <v>14849377.642773319</v>
      </c>
      <c r="G56" s="154">
        <f>G25*EconomicInputs!E25</f>
        <v>170773668.21662888</v>
      </c>
      <c r="H56" s="154">
        <f>(1+H25)*EconomicInputs!J25</f>
        <v>99451711.700892329</v>
      </c>
      <c r="I56" s="159">
        <f>(I25)*EconomicInputs!AA25</f>
        <v>0</v>
      </c>
      <c r="J56" s="161">
        <f>J25*EconomicInputs!F25</f>
        <v>0</v>
      </c>
      <c r="K56" s="159">
        <f>K25*EconomicInputs!Y25</f>
        <v>0</v>
      </c>
      <c r="L56" s="159">
        <f>L25*EconomicInputs!W25</f>
        <v>0</v>
      </c>
      <c r="M56" s="159">
        <f>M25*EconomicInputs!E25</f>
        <v>0</v>
      </c>
      <c r="N56" s="142">
        <f>N25*EconomicInputs!X25</f>
        <v>119893753.7</v>
      </c>
      <c r="O56" s="159">
        <f>O25*EconomicInputs!X25</f>
        <v>0</v>
      </c>
      <c r="P56" s="142">
        <f>P25*EconomicInputs!Q25*(IF(PolicyInputs!$K$20&lt;=TabularOutputs!A56,MIN(1,(TabularOutputs!A56-PolicyInputs!$K$20)/(PolicyInputs!$L$20-PolicyInputs!$K$20)),1))</f>
        <v>0</v>
      </c>
      <c r="Q56" s="142">
        <f>IF(Q25="Oregon",0.05*EconomicInputs!T20+0.15*(EconomicInputs!S20+EconomicInputs!U20),IF(Q20="Kentucky",EconomicInputs!U20*0.0285,IF(Q20="None",0,"Error")))*(IF(PolicyInputs!$K$21&lt;=TabularOutputs!A56,MIN(1,(TabularOutputs!A56-PolicyInputs!$K$21)/(PolicyInputs!$L$21-PolicyInputs!$K$21)),1))</f>
        <v>0</v>
      </c>
      <c r="R56" s="159">
        <f>IF(R25="Oregon",0.025*EconomicInputs!T20+0.075*(EconomicInputs!S20+EconomicInputs!U20),IF(R20="Kentucky",EconomicInputs!U20*0.01425,IF(R20="None",0,"Error")))*(IF(PolicyInputs!$K$22&lt;=TabularOutputs!A56,MIN(1,(TabularOutputs!A56-PolicyInputs!$K$22)/(PolicyInputs!$L$22-PolicyInputs!$K$22)),1))</f>
        <v>0</v>
      </c>
      <c r="S56" s="142">
        <f>IF(S25="Purdue",0.08*EconomicInputs!T20+0.11*(EconomicInputs!U20+EconomicInputs!S20),IF(S20="None",0,"Error"))*(IF(PolicyInputs!$K$23&lt;=TabularOutputs!A56,MIN(1,(TabularOutputs!A56-PolicyInputs!$K$23)/(PolicyInputs!$L$23-PolicyInputs!$K$23)),1))</f>
        <v>0</v>
      </c>
      <c r="T56" s="162">
        <f>(1+T25)*EconomicInputs!Z25</f>
        <v>88034581.027436465</v>
      </c>
      <c r="U56" s="163"/>
      <c r="V56" s="163"/>
      <c r="W56" s="163"/>
      <c r="X56" s="159">
        <f>X25*EconomicInputs!V25</f>
        <v>0</v>
      </c>
      <c r="Y56" s="142">
        <f t="shared" si="6"/>
        <v>0</v>
      </c>
      <c r="Z56" s="159">
        <f t="shared" si="9"/>
        <v>0</v>
      </c>
      <c r="AA56" s="159">
        <f t="shared" si="9"/>
        <v>0</v>
      </c>
      <c r="AB56" s="159">
        <f t="shared" si="9"/>
        <v>0</v>
      </c>
      <c r="AC56" s="159">
        <f>AC55*(1+TechnicalInputs!$D$36)</f>
        <v>45477290.164720729</v>
      </c>
      <c r="AD56" s="154">
        <f t="shared" si="7"/>
        <v>1508740450.1446683</v>
      </c>
      <c r="AE56" s="164">
        <f>AD56/SUM(EconomicInputs!P25:U25)</f>
        <v>1.6309377980974201E-2</v>
      </c>
      <c r="AF56" s="165">
        <f>(B56+SUM(E56:G56,I56:M56,P56))/EconomicInputs!Q25</f>
        <v>1.0035297851598592E-2</v>
      </c>
      <c r="AG56" s="165">
        <f>(C56+D56+H56+SUM(Q56:T56))/SUM(EconomicInputs!S25:U25)</f>
        <v>4.4713417335914864E-2</v>
      </c>
    </row>
    <row r="57" spans="1:37">
      <c r="A57" s="143">
        <f>EconomicInputs!A58</f>
        <v>2032</v>
      </c>
      <c r="B57" s="154">
        <f>B26*EconomicInputs!K26*(IF(PolicyInputs!$K$6&lt;=TabularOutputs!A57,(PolicyInputs!$L$6-TabularOutputs!A57)/(PolicyInputs!$L$6-PolicyInputs!$K$6),1))*IF(A57&gt;=PolicyInputs!$L$6,0,1)</f>
        <v>601556195.03785074</v>
      </c>
      <c r="C57" s="154">
        <f>C26*EconomicInputs!L26*(IF(PolicyInputs!$K$7&lt;=TabularOutputs!A57,(PolicyInputs!$L$7-TabularOutputs!A57)/(PolicyInputs!$L$7-PolicyInputs!$K$7),1))*IF(A57&gt;=PolicyInputs!$L$7,0,1)</f>
        <v>233107896.25819978</v>
      </c>
      <c r="D57" s="154">
        <f>D26*EconomicInputs!M26*(IF(PolicyInputs!$K$8&lt;=TabularOutputs!A57,(PolicyInputs!$L$8-TabularOutputs!A57)/(PolicyInputs!$L$8-PolicyInputs!$K$8),1))*IF(A57&gt;=PolicyInputs!$L$8,0,1)</f>
        <v>128209342.94200988</v>
      </c>
      <c r="E57" s="142">
        <f>(E26*EconomicInputs!K26*EconomicInputs!N26+E26*EconomicInputs!L26*EconomicInputs!O26)*(IF(PolicyInputs!$K$9&lt;=TabularOutputs!A57,(PolicyInputs!$L$9-TabularOutputs!A57)/(PolicyInputs!$L$9-PolicyInputs!$K$9),1))*IF(A57&gt;=PolicyInputs!$L$9,0,1)</f>
        <v>0</v>
      </c>
      <c r="F57" s="154">
        <f>F26*EconomicInputs!C26</f>
        <v>14933250.026218886</v>
      </c>
      <c r="G57" s="154">
        <f>G26*EconomicInputs!E26</f>
        <v>172453159.44859174</v>
      </c>
      <c r="H57" s="154">
        <f>(1+H26)*EconomicInputs!J26</f>
        <v>99591076.981121451</v>
      </c>
      <c r="I57" s="159">
        <f>(I26)*EconomicInputs!AA26</f>
        <v>0</v>
      </c>
      <c r="J57" s="161">
        <f>J26*EconomicInputs!F26</f>
        <v>0</v>
      </c>
      <c r="K57" s="159">
        <f>K26*EconomicInputs!Y26</f>
        <v>0</v>
      </c>
      <c r="L57" s="159">
        <f>L26*EconomicInputs!W26</f>
        <v>0</v>
      </c>
      <c r="M57" s="159">
        <f>M26*EconomicInputs!E26</f>
        <v>0</v>
      </c>
      <c r="N57" s="142">
        <f>N26*EconomicInputs!X26</f>
        <v>124556281.5</v>
      </c>
      <c r="O57" s="159">
        <f>O26*EconomicInputs!X26</f>
        <v>0</v>
      </c>
      <c r="P57" s="142">
        <f>P26*EconomicInputs!Q26*(IF(PolicyInputs!$K$20&lt;=TabularOutputs!A57,MIN(1,(TabularOutputs!A57-PolicyInputs!$K$20)/(PolicyInputs!$L$20-PolicyInputs!$K$20)),1))</f>
        <v>0</v>
      </c>
      <c r="Q57" s="142">
        <f>IF(Q26="Oregon",0.05*EconomicInputs!T21+0.15*(EconomicInputs!S21+EconomicInputs!U21),IF(Q21="Kentucky",EconomicInputs!U21*0.0285,IF(Q21="None",0,"Error")))*(IF(PolicyInputs!$K$21&lt;=TabularOutputs!A57,MIN(1,(TabularOutputs!A57-PolicyInputs!$K$21)/(PolicyInputs!$L$21-PolicyInputs!$K$21)),1))</f>
        <v>0</v>
      </c>
      <c r="R57" s="159">
        <f>IF(R26="Oregon",0.025*EconomicInputs!T21+0.075*(EconomicInputs!S21+EconomicInputs!U21),IF(R21="Kentucky",EconomicInputs!U21*0.01425,IF(R21="None",0,"Error")))*(IF(PolicyInputs!$K$22&lt;=TabularOutputs!A57,MIN(1,(TabularOutputs!A57-PolicyInputs!$K$22)/(PolicyInputs!$L$22-PolicyInputs!$K$22)),1))</f>
        <v>0</v>
      </c>
      <c r="S57" s="142">
        <f>IF(S26="Purdue",0.08*EconomicInputs!T21+0.11*(EconomicInputs!U21+EconomicInputs!S21),IF(S21="None",0,"Error"))*(IF(PolicyInputs!$K$23&lt;=TabularOutputs!A57,MIN(1,(TabularOutputs!A57-PolicyInputs!$K$23)/(PolicyInputs!$L$23-PolicyInputs!$K$23)),1))</f>
        <v>0</v>
      </c>
      <c r="T57" s="162">
        <f>(1+T26)*EconomicInputs!Z26</f>
        <v>88845718.426421195</v>
      </c>
      <c r="U57" s="163"/>
      <c r="V57" s="163"/>
      <c r="W57" s="163"/>
      <c r="X57" s="159">
        <f>X26*EconomicInputs!V26</f>
        <v>0</v>
      </c>
      <c r="Y57" s="142">
        <f t="shared" si="6"/>
        <v>0</v>
      </c>
      <c r="Z57" s="159">
        <f t="shared" si="9"/>
        <v>0</v>
      </c>
      <c r="AA57" s="159">
        <f t="shared" si="9"/>
        <v>0</v>
      </c>
      <c r="AB57" s="159">
        <f t="shared" si="9"/>
        <v>0</v>
      </c>
      <c r="AC57" s="159">
        <f>AC56*(1+TechnicalInputs!$D$36)</f>
        <v>45932063.066367939</v>
      </c>
      <c r="AD57" s="154">
        <f t="shared" si="7"/>
        <v>1509184983.6867816</v>
      </c>
      <c r="AE57" s="164">
        <f>AD57/SUM(EconomicInputs!P26:U26)</f>
        <v>1.6139884165428945E-2</v>
      </c>
      <c r="AF57" s="165">
        <f>(B57+SUM(E57:G57,I57:M57,P57))/EconomicInputs!Q26</f>
        <v>9.8009451974633722E-3</v>
      </c>
      <c r="AG57" s="165">
        <f>(C57+D57+H57+SUM(Q57:T57))/SUM(EconomicInputs!S26:U26)</f>
        <v>4.4517802302565045E-2</v>
      </c>
    </row>
    <row r="58" spans="1:37">
      <c r="A58" s="143">
        <f>EconomicInputs!A59</f>
        <v>2033</v>
      </c>
      <c r="B58" s="154">
        <f>B27*EconomicInputs!K27*(IF(PolicyInputs!$K$6&lt;=TabularOutputs!A58,(PolicyInputs!$L$6-TabularOutputs!A58)/(PolicyInputs!$L$6-PolicyInputs!$K$6),1))*IF(A58&gt;=PolicyInputs!$L$6,0,1)</f>
        <v>589155250.68108952</v>
      </c>
      <c r="C58" s="154">
        <f>C27*EconomicInputs!L27*(IF(PolicyInputs!$K$7&lt;=TabularOutputs!A58,(PolicyInputs!$L$7-TabularOutputs!A58)/(PolicyInputs!$L$7-PolicyInputs!$K$7),1))*IF(A58&gt;=PolicyInputs!$L$7,0,1)</f>
        <v>236651532.68318811</v>
      </c>
      <c r="D58" s="154">
        <f>D27*EconomicInputs!M27*(IF(PolicyInputs!$K$8&lt;=TabularOutputs!A58,(PolicyInputs!$L$8-TabularOutputs!A58)/(PolicyInputs!$L$8-PolicyInputs!$K$8),1))*IF(A58&gt;=PolicyInputs!$L$8,0,1)</f>
        <v>130158342.97575346</v>
      </c>
      <c r="E58" s="142">
        <f>(E27*EconomicInputs!K27*EconomicInputs!N27+E27*EconomicInputs!L27*EconomicInputs!O27)*(IF(PolicyInputs!$K$9&lt;=TabularOutputs!A58,(PolicyInputs!$L$9-TabularOutputs!A58)/(PolicyInputs!$L$9-PolicyInputs!$K$9),1))*IF(A58&gt;=PolicyInputs!$L$9,0,1)</f>
        <v>0</v>
      </c>
      <c r="F58" s="154">
        <f>F27*EconomicInputs!C27</f>
        <v>15017596.138387231</v>
      </c>
      <c r="G58" s="154">
        <f>G27*EconomicInputs!E27</f>
        <v>174148384.00423402</v>
      </c>
      <c r="H58" s="154">
        <f>(1+H27)*EconomicInputs!J27</f>
        <v>99789618.720984086</v>
      </c>
      <c r="I58" s="159">
        <f>(I27)*EconomicInputs!AA27</f>
        <v>0</v>
      </c>
      <c r="J58" s="161">
        <f>J27*EconomicInputs!F27</f>
        <v>0</v>
      </c>
      <c r="K58" s="159">
        <f>K27*EconomicInputs!Y27</f>
        <v>0</v>
      </c>
      <c r="L58" s="159">
        <f>L27*EconomicInputs!W27</f>
        <v>0</v>
      </c>
      <c r="M58" s="159">
        <f>M27*EconomicInputs!E27</f>
        <v>0</v>
      </c>
      <c r="N58" s="142">
        <f>N27*EconomicInputs!X27</f>
        <v>128391296.40243435</v>
      </c>
      <c r="O58" s="159">
        <f>O27*EconomicInputs!X27</f>
        <v>0</v>
      </c>
      <c r="P58" s="142">
        <f>P27*EconomicInputs!Q27*(IF(PolicyInputs!$K$20&lt;=TabularOutputs!A58,MIN(1,(TabularOutputs!A58-PolicyInputs!$K$20)/(PolicyInputs!$L$20-PolicyInputs!$K$20)),1))</f>
        <v>0</v>
      </c>
      <c r="Q58" s="142">
        <f>IF(Q27="Oregon",0.05*EconomicInputs!T22+0.15*(EconomicInputs!S22+EconomicInputs!U22),IF(Q22="Kentucky",EconomicInputs!U22*0.0285,IF(Q22="None",0,"Error")))*(IF(PolicyInputs!$K$21&lt;=TabularOutputs!A58,MIN(1,(TabularOutputs!A58-PolicyInputs!$K$21)/(PolicyInputs!$L$21-PolicyInputs!$K$21)),1))</f>
        <v>0</v>
      </c>
      <c r="R58" s="159">
        <f>IF(R27="Oregon",0.025*EconomicInputs!T22+0.075*(EconomicInputs!S22+EconomicInputs!U22),IF(R22="Kentucky",EconomicInputs!U22*0.01425,IF(R22="None",0,"Error")))*(IF(PolicyInputs!$K$22&lt;=TabularOutputs!A58,MIN(1,(TabularOutputs!A58-PolicyInputs!$K$22)/(PolicyInputs!$L$22-PolicyInputs!$K$22)),1))</f>
        <v>0</v>
      </c>
      <c r="S58" s="142">
        <f>IF(S27="Purdue",0.08*EconomicInputs!T22+0.11*(EconomicInputs!U22+EconomicInputs!S22),IF(S22="None",0,"Error"))*(IF(PolicyInputs!$K$23&lt;=TabularOutputs!A58,MIN(1,(TabularOutputs!A58-PolicyInputs!$K$23)/(PolicyInputs!$L$23-PolicyInputs!$K$23)),1))</f>
        <v>0</v>
      </c>
      <c r="T58" s="162">
        <f>(1+T27)*EconomicInputs!Z27</f>
        <v>90701583.019262746</v>
      </c>
      <c r="U58" s="163"/>
      <c r="V58" s="163"/>
      <c r="W58" s="163"/>
      <c r="X58" s="159">
        <f>X27*EconomicInputs!V27</f>
        <v>0</v>
      </c>
      <c r="Y58" s="142">
        <f t="shared" si="6"/>
        <v>0</v>
      </c>
      <c r="Z58" s="159">
        <f t="shared" si="9"/>
        <v>0</v>
      </c>
      <c r="AA58" s="159">
        <f t="shared" si="9"/>
        <v>0</v>
      </c>
      <c r="AB58" s="159">
        <f t="shared" si="9"/>
        <v>0</v>
      </c>
      <c r="AC58" s="159">
        <f>AC57*(1+TechnicalInputs!$D$36)</f>
        <v>46391383.697031617</v>
      </c>
      <c r="AD58" s="154">
        <f t="shared" si="7"/>
        <v>1510404988.3223648</v>
      </c>
      <c r="AE58" s="164">
        <f>AD58/SUM(EconomicInputs!P27:U27)</f>
        <v>1.5980219468775595E-2</v>
      </c>
      <c r="AF58" s="165">
        <f>(B58+SUM(E58:G58,I58:M58,P58))/EconomicInputs!Q27</f>
        <v>9.5748754861823149E-3</v>
      </c>
      <c r="AG58" s="165">
        <f>(C58+D58+H58+SUM(Q58:T58))/SUM(EconomicInputs!S27:U27)</f>
        <v>4.4413134970768327E-2</v>
      </c>
    </row>
    <row r="59" spans="1:37">
      <c r="A59" s="143">
        <f>EconomicInputs!A60</f>
        <v>2034</v>
      </c>
      <c r="B59" s="154">
        <f>B28*EconomicInputs!K28*(IF(PolicyInputs!$K$6&lt;=TabularOutputs!A59,(PolicyInputs!$L$6-TabularOutputs!A59)/(PolicyInputs!$L$6-PolicyInputs!$K$6),1))*IF(A59&gt;=PolicyInputs!$L$6,0,1)</f>
        <v>577096242.65069067</v>
      </c>
      <c r="C59" s="154">
        <f>C28*EconomicInputs!L28*(IF(PolicyInputs!$K$7&lt;=TabularOutputs!A59,(PolicyInputs!$L$7-TabularOutputs!A59)/(PolicyInputs!$L$7-PolicyInputs!$K$7),1))*IF(A59&gt;=PolicyInputs!$L$7,0,1)</f>
        <v>240310506.52990079</v>
      </c>
      <c r="D59" s="154">
        <f>D28*EconomicInputs!M28*(IF(PolicyInputs!$K$8&lt;=TabularOutputs!A59,(PolicyInputs!$L$8-TabularOutputs!A59)/(PolicyInputs!$L$8-PolicyInputs!$K$8),1))*IF(A59&gt;=PolicyInputs!$L$8,0,1)</f>
        <v>132170778.59144543</v>
      </c>
      <c r="E59" s="142">
        <f>(E28*EconomicInputs!K28*EconomicInputs!N28+E28*EconomicInputs!L28*EconomicInputs!O28)*(IF(PolicyInputs!$K$9&lt;=TabularOutputs!A59,(PolicyInputs!$L$9-TabularOutputs!A59)/(PolicyInputs!$L$9-PolicyInputs!$K$9),1))*IF(A59&gt;=PolicyInputs!$L$9,0,1)</f>
        <v>0</v>
      </c>
      <c r="F59" s="154">
        <f>F28*EconomicInputs!C28</f>
        <v>15102418.654997038</v>
      </c>
      <c r="G59" s="154">
        <f>G28*EconomicInputs!E28</f>
        <v>175860826.07787558</v>
      </c>
      <c r="H59" s="154">
        <f>(1+H28)*EconomicInputs!J28</f>
        <v>99988556.267616391</v>
      </c>
      <c r="I59" s="159">
        <f>(I28)*EconomicInputs!AA28</f>
        <v>0</v>
      </c>
      <c r="J59" s="161">
        <f>J28*EconomicInputs!F28</f>
        <v>0</v>
      </c>
      <c r="K59" s="159">
        <f>K28*EconomicInputs!Y28</f>
        <v>0</v>
      </c>
      <c r="L59" s="159">
        <f>L28*EconomicInputs!W28</f>
        <v>0</v>
      </c>
      <c r="M59" s="159">
        <f>M28*EconomicInputs!E28</f>
        <v>0</v>
      </c>
      <c r="N59" s="142">
        <f>N28*EconomicInputs!X28</f>
        <v>132344389.16593502</v>
      </c>
      <c r="O59" s="159">
        <f>O28*EconomicInputs!X28</f>
        <v>0</v>
      </c>
      <c r="P59" s="142">
        <f>P28*EconomicInputs!Q28*(IF(PolicyInputs!$K$20&lt;=TabularOutputs!A59,MIN(1,(TabularOutputs!A59-PolicyInputs!$K$20)/(PolicyInputs!$L$20-PolicyInputs!$K$20)),1))</f>
        <v>0</v>
      </c>
      <c r="Q59" s="142">
        <f>IF(Q28="Oregon",0.05*EconomicInputs!T23+0.15*(EconomicInputs!S23+EconomicInputs!U23),IF(Q23="Kentucky",EconomicInputs!U23*0.0285,IF(Q23="None",0,"Error")))*(IF(PolicyInputs!$K$21&lt;=TabularOutputs!A59,MIN(1,(TabularOutputs!A59-PolicyInputs!$K$21)/(PolicyInputs!$L$21-PolicyInputs!$K$21)),1))</f>
        <v>0</v>
      </c>
      <c r="R59" s="159">
        <f>IF(R28="Oregon",0.025*EconomicInputs!T23+0.075*(EconomicInputs!S23+EconomicInputs!U23),IF(R23="Kentucky",EconomicInputs!U23*0.01425,IF(R23="None",0,"Error")))*(IF(PolicyInputs!$K$22&lt;=TabularOutputs!A59,MIN(1,(TabularOutputs!A59-PolicyInputs!$K$22)/(PolicyInputs!$L$22-PolicyInputs!$K$22)),1))</f>
        <v>0</v>
      </c>
      <c r="S59" s="142">
        <f>IF(S28="Purdue",0.08*EconomicInputs!T23+0.11*(EconomicInputs!U23+EconomicInputs!S23),IF(S23="None",0,"Error"))*(IF(PolicyInputs!$K$23&lt;=TabularOutputs!A59,MIN(1,(TabularOutputs!A59-PolicyInputs!$K$23)/(PolicyInputs!$L$23-PolicyInputs!$K$23)),1))</f>
        <v>0</v>
      </c>
      <c r="T59" s="162">
        <f>(1+T28)*EconomicInputs!Z28</f>
        <v>92596214.065321907</v>
      </c>
      <c r="U59" s="163"/>
      <c r="V59" s="163"/>
      <c r="W59" s="163"/>
      <c r="X59" s="159">
        <f>X28*EconomicInputs!V28</f>
        <v>0</v>
      </c>
      <c r="Y59" s="142">
        <f t="shared" si="6"/>
        <v>0</v>
      </c>
      <c r="Z59" s="159">
        <f t="shared" si="9"/>
        <v>0</v>
      </c>
      <c r="AA59" s="159">
        <f t="shared" si="9"/>
        <v>0</v>
      </c>
      <c r="AB59" s="159">
        <f t="shared" si="9"/>
        <v>0</v>
      </c>
      <c r="AC59" s="159">
        <f>AC58*(1+TechnicalInputs!$D$36)</f>
        <v>46855297.534001932</v>
      </c>
      <c r="AD59" s="154">
        <f t="shared" si="7"/>
        <v>1512325229.5377846</v>
      </c>
      <c r="AE59" s="164">
        <f>AD59/SUM(EconomicInputs!P28:U28)</f>
        <v>1.5829318030984564E-2</v>
      </c>
      <c r="AF59" s="165">
        <f>(B59+SUM(E59:G59,I59:M59,P59))/EconomicInputs!Q28</f>
        <v>9.3566299978282714E-3</v>
      </c>
      <c r="AG59" s="165">
        <f>(C59+D59+H59+SUM(Q59:T59))/SUM(EconomicInputs!S28:U28)</f>
        <v>4.4316236962185257E-2</v>
      </c>
    </row>
    <row r="60" spans="1:37">
      <c r="A60" s="143">
        <f>EconomicInputs!A61</f>
        <v>2035</v>
      </c>
      <c r="B60" s="154">
        <f>B29*EconomicInputs!K29*(IF(PolicyInputs!$K$6&lt;=TabularOutputs!A60,(PolicyInputs!$L$6-TabularOutputs!A60)/(PolicyInputs!$L$6-PolicyInputs!$K$6),1))*IF(A60&gt;=PolicyInputs!$L$6,0,1)</f>
        <v>565379114.9161644</v>
      </c>
      <c r="C60" s="154">
        <f>C29*EconomicInputs!L29*(IF(PolicyInputs!$K$7&lt;=TabularOutputs!A60,(PolicyInputs!$L$7-TabularOutputs!A60)/(PolicyInputs!$L$7-PolicyInputs!$K$7),1))*IF(A60&gt;=PolicyInputs!$L$7,0,1)</f>
        <v>244076899.3528533</v>
      </c>
      <c r="D60" s="154">
        <f>D29*EconomicInputs!M29*(IF(PolicyInputs!$K$8&lt;=TabularOutputs!A60,(PolicyInputs!$L$8-TabularOutputs!A60)/(PolicyInputs!$L$8-PolicyInputs!$K$8),1))*IF(A60&gt;=PolicyInputs!$L$8,0,1)</f>
        <v>134242294.64406931</v>
      </c>
      <c r="E60" s="142">
        <f>(E29*EconomicInputs!K29*EconomicInputs!N29+E29*EconomicInputs!L29*EconomicInputs!O29)*(IF(PolicyInputs!$K$9&lt;=TabularOutputs!A60,(PolicyInputs!$L$9-TabularOutputs!A60)/(PolicyInputs!$L$9-PolicyInputs!$K$9),1))*IF(A60&gt;=PolicyInputs!$L$9,0,1)</f>
        <v>0</v>
      </c>
      <c r="F60" s="154">
        <f>F29*EconomicInputs!C29</f>
        <v>15187720.266879998</v>
      </c>
      <c r="G60" s="154">
        <f>G29*EconomicInputs!E29</f>
        <v>177590905.31123531</v>
      </c>
      <c r="H60" s="154">
        <f>(1+H29)*EconomicInputs!J29</f>
        <v>100187890.41008669</v>
      </c>
      <c r="I60" s="159">
        <f>(I29)*EconomicInputs!AA29</f>
        <v>0</v>
      </c>
      <c r="J60" s="161">
        <f>J29*EconomicInputs!F29</f>
        <v>0</v>
      </c>
      <c r="K60" s="159">
        <f>K29*EconomicInputs!Y29</f>
        <v>0</v>
      </c>
      <c r="L60" s="159">
        <f>L29*EconomicInputs!W29</f>
        <v>0</v>
      </c>
      <c r="M60" s="159">
        <f>M29*EconomicInputs!E29</f>
        <v>0</v>
      </c>
      <c r="N60" s="142">
        <f>N29*EconomicInputs!X29</f>
        <v>136419195.33863643</v>
      </c>
      <c r="O60" s="159">
        <f>O29*EconomicInputs!X29</f>
        <v>0</v>
      </c>
      <c r="P60" s="142">
        <f>P29*EconomicInputs!Q29*(IF(PolicyInputs!$K$20&lt;=TabularOutputs!A60,MIN(1,(TabularOutputs!A60-PolicyInputs!$K$20)/(PolicyInputs!$L$20-PolicyInputs!$K$20)),1))</f>
        <v>0</v>
      </c>
      <c r="Q60" s="142">
        <f>IF(Q29="Oregon",0.05*EconomicInputs!T24+0.15*(EconomicInputs!S24+EconomicInputs!U24),IF(Q24="Kentucky",EconomicInputs!U24*0.0285,IF(Q24="None",0,"Error")))*(IF(PolicyInputs!$K$21&lt;=TabularOutputs!A60,MIN(1,(TabularOutputs!A60-PolicyInputs!$K$21)/(PolicyInputs!$L$21-PolicyInputs!$K$21)),1))</f>
        <v>0</v>
      </c>
      <c r="R60" s="159">
        <f>IF(R29="Oregon",0.025*EconomicInputs!T24+0.075*(EconomicInputs!S24+EconomicInputs!U24),IF(R24="Kentucky",EconomicInputs!U24*0.01425,IF(R24="None",0,"Error")))*(IF(PolicyInputs!$K$22&lt;=TabularOutputs!A60,MIN(1,(TabularOutputs!A60-PolicyInputs!$K$22)/(PolicyInputs!$L$22-PolicyInputs!$K$22)),1))</f>
        <v>0</v>
      </c>
      <c r="S60" s="142">
        <f>IF(S29="Purdue",0.08*EconomicInputs!T24+0.11*(EconomicInputs!U24+EconomicInputs!S24),IF(S24="None",0,"Error"))*(IF(PolicyInputs!$K$23&lt;=TabularOutputs!A60,MIN(1,(TabularOutputs!A60-PolicyInputs!$K$23)/(PolicyInputs!$L$23-PolicyInputs!$K$23)),1))</f>
        <v>0</v>
      </c>
      <c r="T60" s="162">
        <f>(1+T29)*EconomicInputs!Z29</f>
        <v>94530421.342370659</v>
      </c>
      <c r="U60" s="163"/>
      <c r="V60" s="163"/>
      <c r="W60" s="163"/>
      <c r="X60" s="159">
        <f>X29*EconomicInputs!V29</f>
        <v>0</v>
      </c>
      <c r="Y60" s="142">
        <f t="shared" si="6"/>
        <v>0</v>
      </c>
      <c r="Z60" s="159">
        <f t="shared" si="9"/>
        <v>0</v>
      </c>
      <c r="AA60" s="159">
        <f t="shared" si="9"/>
        <v>0</v>
      </c>
      <c r="AB60" s="159">
        <f t="shared" si="9"/>
        <v>0</v>
      </c>
      <c r="AC60" s="159">
        <f>AC59*(1+TechnicalInputs!$D$36)</f>
        <v>47323850.509341948</v>
      </c>
      <c r="AD60" s="154">
        <f t="shared" si="7"/>
        <v>1514938292.0916381</v>
      </c>
      <c r="AE60" s="164">
        <f>AD60/SUM(EconomicInputs!P29:U29)</f>
        <v>1.5686855340555899E-2</v>
      </c>
      <c r="AF60" s="165">
        <f>(B60+SUM(E60:G60,I60:M60,P60))/EconomicInputs!Q29</f>
        <v>9.1460286779875607E-3</v>
      </c>
      <c r="AG60" s="165">
        <f>(C60+D60+H60+SUM(Q60:T60))/SUM(EconomicInputs!S29:U29)</f>
        <v>4.4225703604270854E-2</v>
      </c>
    </row>
    <row r="63" spans="1:37" ht="15.75" customHeight="1">
      <c r="A63" s="272" t="s">
        <v>93</v>
      </c>
      <c r="B63" s="273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73"/>
      <c r="Q63" s="273"/>
      <c r="R63" s="273"/>
      <c r="S63" s="273"/>
      <c r="T63" s="273"/>
      <c r="U63" s="273"/>
      <c r="V63" s="273"/>
      <c r="W63" s="273"/>
      <c r="X63" s="273"/>
      <c r="Y63" s="273"/>
      <c r="Z63" s="273"/>
      <c r="AA63" s="273"/>
      <c r="AB63" s="273"/>
      <c r="AC63" s="274"/>
      <c r="AD63" s="276" t="s">
        <v>141</v>
      </c>
      <c r="AE63" s="233" t="s">
        <v>142</v>
      </c>
      <c r="AG63" s="233" t="s">
        <v>321</v>
      </c>
      <c r="AH63" s="233" t="s">
        <v>376</v>
      </c>
      <c r="AI63" s="233" t="s">
        <v>377</v>
      </c>
      <c r="AJ63" s="275"/>
      <c r="AK63" s="275"/>
    </row>
    <row r="64" spans="1:37" ht="31.5">
      <c r="A64" s="170" t="s">
        <v>91</v>
      </c>
      <c r="B64" s="270" t="s">
        <v>44</v>
      </c>
      <c r="C64" s="270"/>
      <c r="D64" s="270"/>
      <c r="E64" s="171" t="s">
        <v>1</v>
      </c>
      <c r="F64" s="171" t="s">
        <v>31</v>
      </c>
      <c r="G64" s="171" t="s">
        <v>11</v>
      </c>
      <c r="H64" s="171" t="s">
        <v>11</v>
      </c>
      <c r="I64" s="171" t="s">
        <v>23</v>
      </c>
      <c r="J64" s="171" t="s">
        <v>34</v>
      </c>
      <c r="K64" s="171" t="s">
        <v>29</v>
      </c>
      <c r="L64" s="171" t="s">
        <v>32</v>
      </c>
      <c r="M64" s="171" t="s">
        <v>36</v>
      </c>
      <c r="N64" s="171" t="s">
        <v>15</v>
      </c>
      <c r="O64" s="171" t="s">
        <v>17</v>
      </c>
      <c r="P64" s="171" t="s">
        <v>59</v>
      </c>
      <c r="Q64" s="171" t="s">
        <v>3</v>
      </c>
      <c r="R64" s="171" t="s">
        <v>4</v>
      </c>
      <c r="S64" s="171" t="s">
        <v>58</v>
      </c>
      <c r="T64" s="171" t="s">
        <v>21</v>
      </c>
      <c r="U64" s="171" t="s">
        <v>5</v>
      </c>
      <c r="V64" s="171" t="s">
        <v>7</v>
      </c>
      <c r="W64" s="171" t="s">
        <v>9</v>
      </c>
      <c r="X64" s="171" t="s">
        <v>13</v>
      </c>
      <c r="Y64" s="171" t="s">
        <v>19</v>
      </c>
      <c r="Z64" s="171" t="s">
        <v>25</v>
      </c>
      <c r="AA64" s="171" t="s">
        <v>25</v>
      </c>
      <c r="AB64" s="171" t="s">
        <v>25</v>
      </c>
      <c r="AC64" s="171" t="s">
        <v>62</v>
      </c>
      <c r="AD64" s="277"/>
      <c r="AE64" s="233"/>
      <c r="AG64" s="233"/>
      <c r="AH64" s="233"/>
      <c r="AI64" s="233"/>
      <c r="AJ64" s="275"/>
      <c r="AK64" s="275"/>
    </row>
    <row r="65" spans="1:37" ht="63">
      <c r="A65" s="170" t="s">
        <v>86</v>
      </c>
      <c r="B65" s="170" t="s">
        <v>40</v>
      </c>
      <c r="C65" s="170" t="s">
        <v>41</v>
      </c>
      <c r="D65" s="170" t="s">
        <v>42</v>
      </c>
      <c r="E65" s="170" t="s">
        <v>2</v>
      </c>
      <c r="F65" s="171" t="s">
        <v>53</v>
      </c>
      <c r="G65" s="172" t="s">
        <v>12</v>
      </c>
      <c r="H65" s="172" t="s">
        <v>157</v>
      </c>
      <c r="I65" s="171" t="s">
        <v>24</v>
      </c>
      <c r="J65" s="171" t="s">
        <v>35</v>
      </c>
      <c r="K65" s="171" t="s">
        <v>30</v>
      </c>
      <c r="L65" s="171" t="s">
        <v>33</v>
      </c>
      <c r="M65" s="171" t="s">
        <v>37</v>
      </c>
      <c r="N65" s="171" t="s">
        <v>16</v>
      </c>
      <c r="O65" s="171" t="s">
        <v>18</v>
      </c>
      <c r="P65" s="170" t="s">
        <v>46</v>
      </c>
      <c r="Q65" s="170" t="s">
        <v>49</v>
      </c>
      <c r="R65" s="170" t="s">
        <v>50</v>
      </c>
      <c r="S65" s="171" t="s">
        <v>51</v>
      </c>
      <c r="T65" s="171" t="s">
        <v>22</v>
      </c>
      <c r="U65" s="171" t="s">
        <v>6</v>
      </c>
      <c r="V65" s="171" t="s">
        <v>8</v>
      </c>
      <c r="W65" s="171" t="s">
        <v>10</v>
      </c>
      <c r="X65" s="171" t="s">
        <v>14</v>
      </c>
      <c r="Y65" s="171" t="s">
        <v>20</v>
      </c>
      <c r="Z65" s="171" t="s">
        <v>26</v>
      </c>
      <c r="AA65" s="171" t="s">
        <v>27</v>
      </c>
      <c r="AB65" s="171" t="s">
        <v>28</v>
      </c>
      <c r="AC65" s="171" t="s">
        <v>371</v>
      </c>
      <c r="AD65" s="278"/>
      <c r="AE65" s="233"/>
      <c r="AG65" s="233"/>
      <c r="AH65" s="233"/>
      <c r="AI65" s="233"/>
      <c r="AJ65" s="275"/>
      <c r="AK65" s="275"/>
    </row>
    <row r="66" spans="1:37">
      <c r="A66" s="143">
        <f>EconomicInputs!A36</f>
        <v>2010</v>
      </c>
      <c r="B66" s="142">
        <f>B35*(1-Evasion!B4)</f>
        <v>586205485.32246459</v>
      </c>
      <c r="C66" s="142">
        <f>C35*(1-Evasion!C4)</f>
        <v>176705843.28022638</v>
      </c>
      <c r="D66" s="142">
        <f>D35*(1-Evasion!D4)</f>
        <v>97188213.804124504</v>
      </c>
      <c r="E66" s="142">
        <f>E35*(1-Evasion!E4)</f>
        <v>0</v>
      </c>
      <c r="F66" s="142">
        <f>F35*(1-Evasion!F4)</f>
        <v>13197351.708333332</v>
      </c>
      <c r="G66" s="142">
        <f>G35*(1-Evasion!G4)</f>
        <v>131696653.95104851</v>
      </c>
      <c r="H66" s="142">
        <f>H35*(1-Evasion!H4)</f>
        <v>82900000</v>
      </c>
      <c r="I66" s="142">
        <f>I35*(1-Evasion!I4)</f>
        <v>0</v>
      </c>
      <c r="J66" s="142">
        <f>J35*(1-Evasion!J4)</f>
        <v>0</v>
      </c>
      <c r="K66" s="142">
        <f>K35*(1-Evasion!K4)</f>
        <v>0</v>
      </c>
      <c r="L66" s="142">
        <f>L35*(1-Evasion!L4)</f>
        <v>0</v>
      </c>
      <c r="M66" s="142">
        <f>M35*(1-Evasion!M4)</f>
        <v>0</v>
      </c>
      <c r="N66" s="142">
        <f>N35*(1-Evasion!N4)</f>
        <v>52296009.380999997</v>
      </c>
      <c r="O66" s="142">
        <f>O35*(1-Evasion!O4)</f>
        <v>0</v>
      </c>
      <c r="P66" s="142">
        <f>P35*(1-Evasion!P4)</f>
        <v>0</v>
      </c>
      <c r="Q66" s="142">
        <f>Q35*(1-Evasion!Q4)</f>
        <v>0</v>
      </c>
      <c r="R66" s="142">
        <f>R35*(1-Evasion!R4)</f>
        <v>0</v>
      </c>
      <c r="S66" s="142">
        <f>S35*(1-Evasion!S4)</f>
        <v>0</v>
      </c>
      <c r="T66" s="142">
        <f>T35*(1-Evasion!T4)</f>
        <v>12376606.000000002</v>
      </c>
      <c r="U66" s="142">
        <f>U35*(1-Evasion!U4)</f>
        <v>0</v>
      </c>
      <c r="V66" s="142">
        <f>V35*(1-Evasion!V4)</f>
        <v>0</v>
      </c>
      <c r="W66" s="142">
        <f>W35*(1-Evasion!W4)</f>
        <v>0</v>
      </c>
      <c r="X66" s="142">
        <f>X35*(1-Evasion!X4)</f>
        <v>0</v>
      </c>
      <c r="Y66" s="142">
        <f>Y35*(1-Evasion!Y4)</f>
        <v>0</v>
      </c>
      <c r="Z66" s="142">
        <f>Z35*(1-Evasion!Z4)</f>
        <v>0</v>
      </c>
      <c r="AA66" s="142">
        <f>AA35*(1-Evasion!AA4)</f>
        <v>0</v>
      </c>
      <c r="AB66" s="142">
        <f>AB35*(1-Evasion!AB4)</f>
        <v>0</v>
      </c>
      <c r="AC66" s="142">
        <f>AC35*(1-Evasion!AC4)</f>
        <v>38400000</v>
      </c>
      <c r="AD66" s="154">
        <f>SUM(B66:AC66)</f>
        <v>1190966163.4471974</v>
      </c>
      <c r="AE66" s="164"/>
      <c r="AG66" s="154">
        <f>AD35-AD66</f>
        <v>63411844.090324402</v>
      </c>
      <c r="AH66" s="154">
        <f>AD66-AI66-X66</f>
        <v>783395500.36284661</v>
      </c>
      <c r="AI66" s="154">
        <f>C66+D66+H66+SUM(Q66:T66)+AC66</f>
        <v>407570663.08435088</v>
      </c>
    </row>
    <row r="67" spans="1:37">
      <c r="A67" s="143">
        <f>EconomicInputs!A37</f>
        <v>2011</v>
      </c>
      <c r="B67" s="142">
        <f>B36*(1-Evasion!B5)</f>
        <v>551513148.35902107</v>
      </c>
      <c r="C67" s="142">
        <f>C36*(1-Evasion!C5)</f>
        <v>176335176.12186363</v>
      </c>
      <c r="D67" s="142">
        <f>D36*(1-Evasion!D5)</f>
        <v>96984346.867025018</v>
      </c>
      <c r="E67" s="142">
        <f>E36*(1-Evasion!E5)</f>
        <v>0</v>
      </c>
      <c r="F67" s="142">
        <f>F36*(1-Evasion!F5)</f>
        <v>13099303</v>
      </c>
      <c r="G67" s="142">
        <f>G36*(1-Evasion!G5)</f>
        <v>133013620.490559</v>
      </c>
      <c r="H67" s="142">
        <f>H36*(1-Evasion!H5)</f>
        <v>89100000</v>
      </c>
      <c r="I67" s="142">
        <f>I36*(1-Evasion!I5)</f>
        <v>0</v>
      </c>
      <c r="J67" s="142">
        <f>J36*(1-Evasion!J5)</f>
        <v>0</v>
      </c>
      <c r="K67" s="142">
        <f>K36*(1-Evasion!K5)</f>
        <v>0</v>
      </c>
      <c r="L67" s="142">
        <f>L36*(1-Evasion!L5)</f>
        <v>0</v>
      </c>
      <c r="M67" s="142">
        <f>M36*(1-Evasion!M5)</f>
        <v>0</v>
      </c>
      <c r="N67" s="142">
        <f>N36*(1-Evasion!N5)</f>
        <v>56211148.916999996</v>
      </c>
      <c r="O67" s="142">
        <f>O36*(1-Evasion!O5)</f>
        <v>0</v>
      </c>
      <c r="P67" s="142">
        <f>P36*(1-Evasion!P5)</f>
        <v>0</v>
      </c>
      <c r="Q67" s="142">
        <f>Q36*(1-Evasion!Q5)</f>
        <v>0</v>
      </c>
      <c r="R67" s="142">
        <f>R36*(1-Evasion!R5)</f>
        <v>0</v>
      </c>
      <c r="S67" s="142">
        <f>S36*(1-Evasion!S5)</f>
        <v>0</v>
      </c>
      <c r="T67" s="142">
        <f>T36*(1-Evasion!T5)</f>
        <v>13519137.000000002</v>
      </c>
      <c r="U67" s="142">
        <f>U36*(1-Evasion!U5)</f>
        <v>0</v>
      </c>
      <c r="V67" s="142">
        <f>V36*(1-Evasion!V5)</f>
        <v>0</v>
      </c>
      <c r="W67" s="142">
        <f>W36*(1-Evasion!W5)</f>
        <v>0</v>
      </c>
      <c r="X67" s="142">
        <f>X36*(1-Evasion!X5)</f>
        <v>0</v>
      </c>
      <c r="Y67" s="142">
        <f>Y36*(1-Evasion!Y5)</f>
        <v>0</v>
      </c>
      <c r="Z67" s="142">
        <f>Z36*(1-Evasion!Z5)</f>
        <v>0</v>
      </c>
      <c r="AA67" s="142">
        <f>AA36*(1-Evasion!AA5)</f>
        <v>0</v>
      </c>
      <c r="AB67" s="142">
        <f>AB36*(1-Evasion!AB5)</f>
        <v>0</v>
      </c>
      <c r="AC67" s="142">
        <f>AC36*(1-Evasion!AC5)</f>
        <v>38400000</v>
      </c>
      <c r="AD67" s="154">
        <f t="shared" ref="AD67:AD91" si="10">SUM(B67:AC67)</f>
        <v>1168175880.7554686</v>
      </c>
      <c r="AE67" s="164"/>
      <c r="AG67" s="154">
        <f t="shared" ref="AG67:AG91" si="11">AD36-AD67</f>
        <v>65443204.677645206</v>
      </c>
      <c r="AH67" s="154">
        <f t="shared" ref="AH67:AH91" si="12">AD67-AI67-X67</f>
        <v>753837220.76657999</v>
      </c>
      <c r="AI67" s="154">
        <f t="shared" ref="AI67:AI91" si="13">C67+D67+H67+SUM(Q67:T67)+AC67</f>
        <v>414338659.98888862</v>
      </c>
    </row>
    <row r="68" spans="1:37">
      <c r="A68" s="143">
        <f>EconomicInputs!A38</f>
        <v>2012</v>
      </c>
      <c r="B68" s="142">
        <f>B37*(1-Evasion!B6)</f>
        <v>541675289.47073424</v>
      </c>
      <c r="C68" s="142">
        <f>C37*(1-Evasion!C6)</f>
        <v>176032898.99230996</v>
      </c>
      <c r="D68" s="142">
        <f>D37*(1-Evasion!D6)</f>
        <v>96818094.445770487</v>
      </c>
      <c r="E68" s="142">
        <f>E37*(1-Evasion!E6)</f>
        <v>0</v>
      </c>
      <c r="F68" s="142">
        <f>F37*(1-Evasion!F6)</f>
        <v>12842222.3125</v>
      </c>
      <c r="G68" s="142">
        <f>G37*(1-Evasion!G6)</f>
        <v>134261925.99048147</v>
      </c>
      <c r="H68" s="142">
        <f>H37*(1-Evasion!H6)</f>
        <v>90900000</v>
      </c>
      <c r="I68" s="142">
        <f>I37*(1-Evasion!I6)</f>
        <v>0</v>
      </c>
      <c r="J68" s="142">
        <f>J37*(1-Evasion!J6)</f>
        <v>0</v>
      </c>
      <c r="K68" s="142">
        <f>K37*(1-Evasion!K6)</f>
        <v>0</v>
      </c>
      <c r="L68" s="142">
        <f>L37*(1-Evasion!L6)</f>
        <v>0</v>
      </c>
      <c r="M68" s="142">
        <f>M37*(1-Evasion!M6)</f>
        <v>0</v>
      </c>
      <c r="N68" s="142">
        <f>N37*(1-Evasion!N6)</f>
        <v>59751701.855999999</v>
      </c>
      <c r="O68" s="142">
        <f>O37*(1-Evasion!O6)</f>
        <v>0</v>
      </c>
      <c r="P68" s="142">
        <f>P37*(1-Evasion!P6)</f>
        <v>0</v>
      </c>
      <c r="Q68" s="142">
        <f>Q37*(1-Evasion!Q6)</f>
        <v>0</v>
      </c>
      <c r="R68" s="142">
        <f>R37*(1-Evasion!R6)</f>
        <v>0</v>
      </c>
      <c r="S68" s="142">
        <f>S37*(1-Evasion!S6)</f>
        <v>0</v>
      </c>
      <c r="T68" s="142">
        <f>T37*(1-Evasion!T6)</f>
        <v>16091889.000000002</v>
      </c>
      <c r="U68" s="142">
        <f>U37*(1-Evasion!U6)</f>
        <v>0</v>
      </c>
      <c r="V68" s="142">
        <f>V37*(1-Evasion!V6)</f>
        <v>0</v>
      </c>
      <c r="W68" s="142">
        <f>W37*(1-Evasion!W6)</f>
        <v>0</v>
      </c>
      <c r="X68" s="142">
        <f>X37*(1-Evasion!X6)</f>
        <v>0</v>
      </c>
      <c r="Y68" s="142">
        <f>Y37*(1-Evasion!Y6)</f>
        <v>0</v>
      </c>
      <c r="Z68" s="142">
        <f>Z37*(1-Evasion!Z6)</f>
        <v>0</v>
      </c>
      <c r="AA68" s="142">
        <f>AA37*(1-Evasion!AA6)</f>
        <v>0</v>
      </c>
      <c r="AB68" s="142">
        <f>AB37*(1-Evasion!AB6)</f>
        <v>0</v>
      </c>
      <c r="AC68" s="142">
        <f>AC37*(1-Evasion!AC6)</f>
        <v>38400000</v>
      </c>
      <c r="AD68" s="154">
        <f t="shared" si="10"/>
        <v>1166774022.0677962</v>
      </c>
      <c r="AE68" s="164"/>
      <c r="AG68" s="154">
        <f t="shared" si="11"/>
        <v>71308793.485198736</v>
      </c>
      <c r="AH68" s="154">
        <f t="shared" si="12"/>
        <v>748531139.6297158</v>
      </c>
      <c r="AI68" s="154">
        <f t="shared" si="13"/>
        <v>418242882.43808043</v>
      </c>
    </row>
    <row r="69" spans="1:37">
      <c r="A69" s="143">
        <f>EconomicInputs!A39</f>
        <v>2013</v>
      </c>
      <c r="B69" s="142">
        <f>B38*(1-Evasion!B7)</f>
        <v>538856852.6336416</v>
      </c>
      <c r="C69" s="142">
        <f>C38*(1-Evasion!C7)</f>
        <v>179382556.35690454</v>
      </c>
      <c r="D69" s="142">
        <f>D38*(1-Evasion!D7)</f>
        <v>98660405.996297508</v>
      </c>
      <c r="E69" s="142">
        <f>E38*(1-Evasion!E7)</f>
        <v>0</v>
      </c>
      <c r="F69" s="142">
        <f>F38*(1-Evasion!F7)</f>
        <v>12688862.229166664</v>
      </c>
      <c r="G69" s="142">
        <f>G38*(1-Evasion!G7)</f>
        <v>135851330.68867266</v>
      </c>
      <c r="H69" s="142">
        <f>H38*(1-Evasion!H7)</f>
        <v>92800000</v>
      </c>
      <c r="I69" s="142">
        <f>I38*(1-Evasion!I7)</f>
        <v>0</v>
      </c>
      <c r="J69" s="142">
        <f>J38*(1-Evasion!J7)</f>
        <v>0</v>
      </c>
      <c r="K69" s="142">
        <f>K38*(1-Evasion!K7)</f>
        <v>0</v>
      </c>
      <c r="L69" s="142">
        <f>L38*(1-Evasion!L7)</f>
        <v>0</v>
      </c>
      <c r="M69" s="142">
        <f>M38*(1-Evasion!M7)</f>
        <v>0</v>
      </c>
      <c r="N69" s="142">
        <f>N38*(1-Evasion!N7)</f>
        <v>62176585.085999995</v>
      </c>
      <c r="O69" s="142">
        <f>O38*(1-Evasion!O7)</f>
        <v>0</v>
      </c>
      <c r="P69" s="142">
        <f>P38*(1-Evasion!P7)</f>
        <v>0</v>
      </c>
      <c r="Q69" s="142">
        <f>Q38*(1-Evasion!Q7)</f>
        <v>0</v>
      </c>
      <c r="R69" s="142">
        <f>R38*(1-Evasion!R7)</f>
        <v>0</v>
      </c>
      <c r="S69" s="142">
        <f>S38*(1-Evasion!S7)</f>
        <v>0</v>
      </c>
      <c r="T69" s="142">
        <f>T38*(1-Evasion!T7)</f>
        <v>16124824.000000004</v>
      </c>
      <c r="U69" s="142">
        <f>U38*(1-Evasion!U7)</f>
        <v>0</v>
      </c>
      <c r="V69" s="142">
        <f>V38*(1-Evasion!V7)</f>
        <v>0</v>
      </c>
      <c r="W69" s="142">
        <f>W38*(1-Evasion!W7)</f>
        <v>0</v>
      </c>
      <c r="X69" s="142">
        <f>X38*(1-Evasion!X7)</f>
        <v>0</v>
      </c>
      <c r="Y69" s="142">
        <f>Y38*(1-Evasion!Y7)</f>
        <v>0</v>
      </c>
      <c r="Z69" s="142">
        <f>Z38*(1-Evasion!Z7)</f>
        <v>0</v>
      </c>
      <c r="AA69" s="142">
        <f>AA38*(1-Evasion!AA7)</f>
        <v>0</v>
      </c>
      <c r="AB69" s="142">
        <f>AB38*(1-Evasion!AB7)</f>
        <v>0</v>
      </c>
      <c r="AC69" s="142">
        <f>AC38*(1-Evasion!AC7)</f>
        <v>38400000</v>
      </c>
      <c r="AD69" s="154">
        <f t="shared" si="10"/>
        <v>1174941416.9906828</v>
      </c>
      <c r="AE69" s="164"/>
      <c r="AG69" s="154">
        <f t="shared" si="11"/>
        <v>71701459.286775351</v>
      </c>
      <c r="AH69" s="154">
        <f t="shared" si="12"/>
        <v>749573630.63748074</v>
      </c>
      <c r="AI69" s="154">
        <f t="shared" si="13"/>
        <v>425367786.35320204</v>
      </c>
    </row>
    <row r="70" spans="1:37">
      <c r="A70" s="143">
        <f>EconomicInputs!A40</f>
        <v>2014</v>
      </c>
      <c r="B70" s="142">
        <f>B39*(1-Evasion!B8)</f>
        <v>534789713.79421884</v>
      </c>
      <c r="C70" s="142">
        <f>C39*(1-Evasion!C8)</f>
        <v>181143956.84949031</v>
      </c>
      <c r="D70" s="142">
        <f>D39*(1-Evasion!D8)</f>
        <v>99629176.267219678</v>
      </c>
      <c r="E70" s="142">
        <f>E39*(1-Evasion!E8)</f>
        <v>0</v>
      </c>
      <c r="F70" s="142">
        <f>F39*(1-Evasion!F8)</f>
        <v>12643952.5625</v>
      </c>
      <c r="G70" s="142">
        <f>G39*(1-Evasion!G8)</f>
        <v>137201548.37162817</v>
      </c>
      <c r="H70" s="142">
        <f>H39*(1-Evasion!H8)</f>
        <v>96100000</v>
      </c>
      <c r="I70" s="142">
        <f>I39*(1-Evasion!I8)</f>
        <v>0</v>
      </c>
      <c r="J70" s="142">
        <f>J39*(1-Evasion!J8)</f>
        <v>0</v>
      </c>
      <c r="K70" s="142">
        <f>K39*(1-Evasion!K8)</f>
        <v>0</v>
      </c>
      <c r="L70" s="142">
        <f>L39*(1-Evasion!L8)</f>
        <v>0</v>
      </c>
      <c r="M70" s="142">
        <f>M39*(1-Evasion!M8)</f>
        <v>0</v>
      </c>
      <c r="N70" s="142">
        <f>N39*(1-Evasion!N8)</f>
        <v>63706893.327</v>
      </c>
      <c r="O70" s="142">
        <f>O39*(1-Evasion!O8)</f>
        <v>0</v>
      </c>
      <c r="P70" s="142">
        <f>P39*(1-Evasion!P8)</f>
        <v>0</v>
      </c>
      <c r="Q70" s="142">
        <f>Q39*(1-Evasion!Q8)</f>
        <v>0</v>
      </c>
      <c r="R70" s="142">
        <f>R39*(1-Evasion!R8)</f>
        <v>0</v>
      </c>
      <c r="S70" s="142">
        <f>S39*(1-Evasion!S8)</f>
        <v>0</v>
      </c>
      <c r="T70" s="142">
        <f>T39*(1-Evasion!T8)</f>
        <v>18371610.000000004</v>
      </c>
      <c r="U70" s="142">
        <f>U39*(1-Evasion!U8)</f>
        <v>0</v>
      </c>
      <c r="V70" s="142">
        <f>V39*(1-Evasion!V8)</f>
        <v>0</v>
      </c>
      <c r="W70" s="142">
        <f>W39*(1-Evasion!W8)</f>
        <v>0</v>
      </c>
      <c r="X70" s="142">
        <f>X39*(1-Evasion!X8)</f>
        <v>0</v>
      </c>
      <c r="Y70" s="142">
        <f>Y39*(1-Evasion!Y8)</f>
        <v>0</v>
      </c>
      <c r="Z70" s="142">
        <f>Z39*(1-Evasion!Z8)</f>
        <v>0</v>
      </c>
      <c r="AA70" s="142">
        <f>AA39*(1-Evasion!AA8)</f>
        <v>0</v>
      </c>
      <c r="AB70" s="142">
        <f>AB39*(1-Evasion!AB8)</f>
        <v>0</v>
      </c>
      <c r="AC70" s="142">
        <f>AC39*(1-Evasion!AC8)</f>
        <v>38400000</v>
      </c>
      <c r="AD70" s="154">
        <f t="shared" si="10"/>
        <v>1181986851.1720569</v>
      </c>
      <c r="AE70" s="164"/>
      <c r="AG70" s="154">
        <f t="shared" si="11"/>
        <v>77088808.398973465</v>
      </c>
      <c r="AH70" s="154">
        <f t="shared" si="12"/>
        <v>748342108.05534697</v>
      </c>
      <c r="AI70" s="154">
        <f t="shared" si="13"/>
        <v>433644743.11671001</v>
      </c>
    </row>
    <row r="71" spans="1:37">
      <c r="A71" s="143">
        <f>EconomicInputs!A41</f>
        <v>2015</v>
      </c>
      <c r="B71" s="142">
        <f>B40*(1-Evasion!B9)</f>
        <v>514678728.05491108</v>
      </c>
      <c r="C71" s="142">
        <f>C40*(1-Evasion!C9)</f>
        <v>182596583.62547889</v>
      </c>
      <c r="D71" s="142">
        <f>D40*(1-Evasion!D9)</f>
        <v>100428120.99401338</v>
      </c>
      <c r="E71" s="142">
        <f>E40*(1-Evasion!E9)</f>
        <v>0</v>
      </c>
      <c r="F71" s="142">
        <f>F40*(1-Evasion!F9)</f>
        <v>12838432.364791999</v>
      </c>
      <c r="G71" s="142">
        <f>G40*(1-Evasion!G9)</f>
        <v>138562388.21987009</v>
      </c>
      <c r="H71" s="142">
        <f>H40*(1-Evasion!H9)</f>
        <v>94748446.181286544</v>
      </c>
      <c r="I71" s="142">
        <f>I40*(1-Evasion!I9)</f>
        <v>0</v>
      </c>
      <c r="J71" s="142">
        <f>J40*(1-Evasion!J9)</f>
        <v>0</v>
      </c>
      <c r="K71" s="142">
        <f>K40*(1-Evasion!K9)</f>
        <v>0</v>
      </c>
      <c r="L71" s="142">
        <f>L40*(1-Evasion!L9)</f>
        <v>0</v>
      </c>
      <c r="M71" s="142">
        <f>M40*(1-Evasion!M9)</f>
        <v>0</v>
      </c>
      <c r="N71" s="142">
        <f>N40*(1-Evasion!N9)</f>
        <v>65977360.21800001</v>
      </c>
      <c r="O71" s="142">
        <f>O40*(1-Evasion!O9)</f>
        <v>0</v>
      </c>
      <c r="P71" s="142">
        <f>P40*(1-Evasion!P9)</f>
        <v>0</v>
      </c>
      <c r="Q71" s="142">
        <f>Q40*(1-Evasion!Q9)</f>
        <v>0</v>
      </c>
      <c r="R71" s="142">
        <f>R40*(1-Evasion!R9)</f>
        <v>0</v>
      </c>
      <c r="S71" s="142">
        <f>S40*(1-Evasion!S9)</f>
        <v>0</v>
      </c>
      <c r="T71" s="142">
        <f>T40*(1-Evasion!T9)</f>
        <v>19246302.749443073</v>
      </c>
      <c r="U71" s="142">
        <f>U40*(1-Evasion!U9)</f>
        <v>0</v>
      </c>
      <c r="V71" s="142">
        <f>V40*(1-Evasion!V9)</f>
        <v>0</v>
      </c>
      <c r="W71" s="142">
        <f>W40*(1-Evasion!W9)</f>
        <v>0</v>
      </c>
      <c r="X71" s="142">
        <f>X40*(1-Evasion!X9)</f>
        <v>0</v>
      </c>
      <c r="Y71" s="142">
        <f>Y40*(1-Evasion!Y9)</f>
        <v>0</v>
      </c>
      <c r="Z71" s="142">
        <f>Z40*(1-Evasion!Z9)</f>
        <v>0</v>
      </c>
      <c r="AA71" s="142">
        <f>AA40*(1-Evasion!AA9)</f>
        <v>0</v>
      </c>
      <c r="AB71" s="142">
        <f>AB40*(1-Evasion!AB9)</f>
        <v>0</v>
      </c>
      <c r="AC71" s="142">
        <f>AC40*(1-Evasion!AC9)</f>
        <v>38784000</v>
      </c>
      <c r="AD71" s="154">
        <f t="shared" si="10"/>
        <v>1167860362.4077952</v>
      </c>
      <c r="AE71" s="164"/>
      <c r="AG71" s="154">
        <f t="shared" si="11"/>
        <v>78942626.568559647</v>
      </c>
      <c r="AH71" s="154">
        <f t="shared" si="12"/>
        <v>732056908.85757327</v>
      </c>
      <c r="AI71" s="154">
        <f t="shared" si="13"/>
        <v>435803453.55022192</v>
      </c>
    </row>
    <row r="72" spans="1:37">
      <c r="A72" s="143">
        <f>EconomicInputs!A42</f>
        <v>2016</v>
      </c>
      <c r="B72" s="142">
        <f>B41*(1-Evasion!B10)</f>
        <v>510925881.08821291</v>
      </c>
      <c r="C72" s="142">
        <f>C41*(1-Evasion!C10)</f>
        <v>184103000.81619066</v>
      </c>
      <c r="D72" s="142">
        <f>D41*(1-Evasion!D10)</f>
        <v>101256650.44890487</v>
      </c>
      <c r="E72" s="142">
        <f>E41*(1-Evasion!E10)</f>
        <v>0</v>
      </c>
      <c r="F72" s="142">
        <f>F41*(1-Evasion!F10)</f>
        <v>12916758.288664252</v>
      </c>
      <c r="G72" s="142">
        <f>G41*(1-Evasion!G10)</f>
        <v>139938729.50977746</v>
      </c>
      <c r="H72" s="142">
        <f>H41*(1-Evasion!H10)</f>
        <v>95417331.645059913</v>
      </c>
      <c r="I72" s="142">
        <f>I41*(1-Evasion!I10)</f>
        <v>0</v>
      </c>
      <c r="J72" s="142">
        <f>J41*(1-Evasion!J10)</f>
        <v>0</v>
      </c>
      <c r="K72" s="142">
        <f>K41*(1-Evasion!K10)</f>
        <v>0</v>
      </c>
      <c r="L72" s="142">
        <f>L41*(1-Evasion!L10)</f>
        <v>0</v>
      </c>
      <c r="M72" s="142">
        <f>M41*(1-Evasion!M10)</f>
        <v>0</v>
      </c>
      <c r="N72" s="142">
        <f>N41*(1-Evasion!N10)</f>
        <v>68603127.516000003</v>
      </c>
      <c r="O72" s="142">
        <f>O41*(1-Evasion!O10)</f>
        <v>0</v>
      </c>
      <c r="P72" s="142">
        <f>P41*(1-Evasion!P10)</f>
        <v>0</v>
      </c>
      <c r="Q72" s="142">
        <f>Q41*(1-Evasion!Q10)</f>
        <v>0</v>
      </c>
      <c r="R72" s="142">
        <f>R41*(1-Evasion!R10)</f>
        <v>0</v>
      </c>
      <c r="S72" s="142">
        <f>S41*(1-Evasion!S10)</f>
        <v>0</v>
      </c>
      <c r="T72" s="142">
        <f>T41*(1-Evasion!T10)</f>
        <v>19902431.279532168</v>
      </c>
      <c r="U72" s="142">
        <f>U41*(1-Evasion!U10)</f>
        <v>0</v>
      </c>
      <c r="V72" s="142">
        <f>V41*(1-Evasion!V10)</f>
        <v>0</v>
      </c>
      <c r="W72" s="142">
        <f>W41*(1-Evasion!W10)</f>
        <v>0</v>
      </c>
      <c r="X72" s="142">
        <f>X41*(1-Evasion!X10)</f>
        <v>0</v>
      </c>
      <c r="Y72" s="142">
        <f>Y41*(1-Evasion!Y10)</f>
        <v>0</v>
      </c>
      <c r="Z72" s="142">
        <f>Z41*(1-Evasion!Z10)</f>
        <v>0</v>
      </c>
      <c r="AA72" s="142">
        <f>AA41*(1-Evasion!AA10)</f>
        <v>0</v>
      </c>
      <c r="AB72" s="142">
        <f>AB41*(1-Evasion!AB10)</f>
        <v>0</v>
      </c>
      <c r="AC72" s="142">
        <f>AC41*(1-Evasion!AC10)</f>
        <v>39171840</v>
      </c>
      <c r="AD72" s="154">
        <f t="shared" si="10"/>
        <v>1172235750.5923421</v>
      </c>
      <c r="AE72" s="164"/>
      <c r="AG72" s="154">
        <f t="shared" si="11"/>
        <v>80622980.688181877</v>
      </c>
      <c r="AH72" s="154">
        <f t="shared" si="12"/>
        <v>732384496.40265453</v>
      </c>
      <c r="AI72" s="154">
        <f t="shared" si="13"/>
        <v>439851254.18968761</v>
      </c>
    </row>
    <row r="73" spans="1:37">
      <c r="A73" s="143">
        <f>EconomicInputs!A43</f>
        <v>2017</v>
      </c>
      <c r="B73" s="142">
        <f>B42*(1-Evasion!B11)</f>
        <v>785734222.38006222</v>
      </c>
      <c r="C73" s="142">
        <f>C42*(1-Evasion!C11)</f>
        <v>184997053.11137125</v>
      </c>
      <c r="D73" s="142">
        <f>D42*(1-Evasion!D11)</f>
        <v>101748379.21125419</v>
      </c>
      <c r="E73" s="142">
        <f>E42*(1-Evasion!E11)</f>
        <v>0</v>
      </c>
      <c r="F73" s="142">
        <f>F42*(1-Evasion!F11)</f>
        <v>12995562.07074973</v>
      </c>
      <c r="G73" s="142">
        <f>G42*(1-Evasion!G11)</f>
        <v>141329479.47813264</v>
      </c>
      <c r="H73" s="142">
        <f>H42*(1-Evasion!H11)</f>
        <v>96165572.479166165</v>
      </c>
      <c r="I73" s="142">
        <f>I42*(1-Evasion!I11)</f>
        <v>0</v>
      </c>
      <c r="J73" s="142">
        <f>J42*(1-Evasion!J11)</f>
        <v>0</v>
      </c>
      <c r="K73" s="142">
        <f>K42*(1-Evasion!K11)</f>
        <v>0</v>
      </c>
      <c r="L73" s="142">
        <f>L42*(1-Evasion!L11)</f>
        <v>0</v>
      </c>
      <c r="M73" s="142">
        <f>M42*(1-Evasion!M11)</f>
        <v>0</v>
      </c>
      <c r="N73" s="142">
        <f>N42*(1-Evasion!N11)</f>
        <v>71059711.338</v>
      </c>
      <c r="O73" s="142">
        <f>O42*(1-Evasion!O11)</f>
        <v>0</v>
      </c>
      <c r="P73" s="142">
        <f>P42*(1-Evasion!P11)</f>
        <v>0</v>
      </c>
      <c r="Q73" s="142">
        <f>Q42*(1-Evasion!Q11)</f>
        <v>0</v>
      </c>
      <c r="R73" s="142">
        <f>R42*(1-Evasion!R11)</f>
        <v>0</v>
      </c>
      <c r="S73" s="142">
        <f>S42*(1-Evasion!S11)</f>
        <v>0</v>
      </c>
      <c r="T73" s="142">
        <f>T42*(1-Evasion!T11)</f>
        <v>20666534.108627893</v>
      </c>
      <c r="U73" s="142">
        <f>U42*(1-Evasion!U11)</f>
        <v>0</v>
      </c>
      <c r="V73" s="142">
        <f>V42*(1-Evasion!V11)</f>
        <v>0</v>
      </c>
      <c r="W73" s="142">
        <f>W42*(1-Evasion!W11)</f>
        <v>0</v>
      </c>
      <c r="X73" s="142">
        <f>X42*(1-Evasion!X11)</f>
        <v>0</v>
      </c>
      <c r="Y73" s="142">
        <f>Y42*(1-Evasion!Y11)</f>
        <v>0</v>
      </c>
      <c r="Z73" s="142">
        <f>Z42*(1-Evasion!Z11)</f>
        <v>0</v>
      </c>
      <c r="AA73" s="142">
        <f>AA42*(1-Evasion!AA11)</f>
        <v>0</v>
      </c>
      <c r="AB73" s="142">
        <f>AB42*(1-Evasion!AB11)</f>
        <v>0</v>
      </c>
      <c r="AC73" s="142">
        <f>AC42*(1-Evasion!AC11)</f>
        <v>39563558.399999999</v>
      </c>
      <c r="AD73" s="154">
        <f t="shared" si="10"/>
        <v>1454260072.5773644</v>
      </c>
      <c r="AE73" s="164"/>
      <c r="AG73" s="154">
        <f t="shared" si="11"/>
        <v>88189315.542523861</v>
      </c>
      <c r="AH73" s="154">
        <f t="shared" si="12"/>
        <v>1011118975.2669449</v>
      </c>
      <c r="AI73" s="154">
        <f t="shared" si="13"/>
        <v>443141097.3104195</v>
      </c>
    </row>
    <row r="74" spans="1:37">
      <c r="A74" s="143">
        <f>EconomicInputs!A44</f>
        <v>2018</v>
      </c>
      <c r="B74" s="142">
        <f>B43*(1-Evasion!B12)</f>
        <v>776208298.15370572</v>
      </c>
      <c r="C74" s="142">
        <f>C43*(1-Evasion!C12)</f>
        <v>186093162.92352411</v>
      </c>
      <c r="D74" s="142">
        <f>D43*(1-Evasion!D12)</f>
        <v>102351239.60793826</v>
      </c>
      <c r="E74" s="142">
        <f>E43*(1-Evasion!E12)</f>
        <v>0</v>
      </c>
      <c r="F74" s="142">
        <f>F43*(1-Evasion!F12)</f>
        <v>13074846.626411071</v>
      </c>
      <c r="G74" s="142">
        <f>G43*(1-Evasion!G12)</f>
        <v>142732459.96787468</v>
      </c>
      <c r="H74" s="142">
        <f>H43*(1-Evasion!H12)</f>
        <v>96564181.870536759</v>
      </c>
      <c r="I74" s="142">
        <f>I43*(1-Evasion!I12)</f>
        <v>0</v>
      </c>
      <c r="J74" s="142">
        <f>J43*(1-Evasion!J12)</f>
        <v>0</v>
      </c>
      <c r="K74" s="142">
        <f>K43*(1-Evasion!K12)</f>
        <v>0</v>
      </c>
      <c r="L74" s="142">
        <f>L43*(1-Evasion!L12)</f>
        <v>0</v>
      </c>
      <c r="M74" s="142">
        <f>M43*(1-Evasion!M12)</f>
        <v>0</v>
      </c>
      <c r="N74" s="142">
        <f>N43*(1-Evasion!N12)</f>
        <v>73618558.398000002</v>
      </c>
      <c r="O74" s="142">
        <f>O43*(1-Evasion!O12)</f>
        <v>0</v>
      </c>
      <c r="P74" s="142">
        <f>P43*(1-Evasion!P12)</f>
        <v>0</v>
      </c>
      <c r="Q74" s="142">
        <f>Q43*(1-Evasion!Q12)</f>
        <v>0</v>
      </c>
      <c r="R74" s="142">
        <f>R43*(1-Evasion!R12)</f>
        <v>0</v>
      </c>
      <c r="S74" s="142">
        <f>S43*(1-Evasion!S12)</f>
        <v>0</v>
      </c>
      <c r="T74" s="142">
        <f>T43*(1-Evasion!T12)</f>
        <v>21399972.357064962</v>
      </c>
      <c r="U74" s="142">
        <f>U43*(1-Evasion!U12)</f>
        <v>0</v>
      </c>
      <c r="V74" s="142">
        <f>V43*(1-Evasion!V12)</f>
        <v>0</v>
      </c>
      <c r="W74" s="142">
        <f>W43*(1-Evasion!W12)</f>
        <v>0</v>
      </c>
      <c r="X74" s="142">
        <f>X43*(1-Evasion!X12)</f>
        <v>0</v>
      </c>
      <c r="Y74" s="142">
        <f>Y43*(1-Evasion!Y12)</f>
        <v>0</v>
      </c>
      <c r="Z74" s="142">
        <f>Z43*(1-Evasion!Z12)</f>
        <v>0</v>
      </c>
      <c r="AA74" s="142">
        <f>AA43*(1-Evasion!AA12)</f>
        <v>0</v>
      </c>
      <c r="AB74" s="142">
        <f>AB43*(1-Evasion!AB12)</f>
        <v>0</v>
      </c>
      <c r="AC74" s="142">
        <f>AC43*(1-Evasion!AC12)</f>
        <v>39959193.983999997</v>
      </c>
      <c r="AD74" s="154">
        <f t="shared" si="10"/>
        <v>1452001913.8890557</v>
      </c>
      <c r="AE74" s="164"/>
      <c r="AG74" s="154">
        <f t="shared" si="11"/>
        <v>89899545.21311307</v>
      </c>
      <c r="AH74" s="154">
        <f t="shared" si="12"/>
        <v>1005634163.1459917</v>
      </c>
      <c r="AI74" s="154">
        <f t="shared" si="13"/>
        <v>446367750.74306405</v>
      </c>
    </row>
    <row r="75" spans="1:37">
      <c r="A75" s="143">
        <f>EconomicInputs!A45</f>
        <v>2019</v>
      </c>
      <c r="B75" s="142">
        <f>B44*(1-Evasion!B13)</f>
        <v>766324729.58622313</v>
      </c>
      <c r="C75" s="142">
        <f>C44*(1-Evasion!C13)</f>
        <v>187602727.44173703</v>
      </c>
      <c r="D75" s="142">
        <f>D44*(1-Evasion!D13)</f>
        <v>103181500.09295538</v>
      </c>
      <c r="E75" s="142">
        <f>E44*(1-Evasion!E13)</f>
        <v>0</v>
      </c>
      <c r="F75" s="142">
        <f>F44*(1-Evasion!F13)</f>
        <v>13154614.888797227</v>
      </c>
      <c r="G75" s="142">
        <f>G44*(1-Evasion!G13)</f>
        <v>144150515.1500468</v>
      </c>
      <c r="H75" s="142">
        <f>H44*(1-Evasion!H13)</f>
        <v>96916039.950240821</v>
      </c>
      <c r="I75" s="142">
        <f>I44*(1-Evasion!I13)</f>
        <v>0</v>
      </c>
      <c r="J75" s="142">
        <f>J44*(1-Evasion!J13)</f>
        <v>0</v>
      </c>
      <c r="K75" s="142">
        <f>K44*(1-Evasion!K13)</f>
        <v>0</v>
      </c>
      <c r="L75" s="142">
        <f>L44*(1-Evasion!L13)</f>
        <v>0</v>
      </c>
      <c r="M75" s="142">
        <f>M44*(1-Evasion!M13)</f>
        <v>0</v>
      </c>
      <c r="N75" s="142">
        <f>N44*(1-Evasion!N13)</f>
        <v>76415131.484999999</v>
      </c>
      <c r="O75" s="142">
        <f>O44*(1-Evasion!O13)</f>
        <v>0</v>
      </c>
      <c r="P75" s="142">
        <f>P44*(1-Evasion!P13)</f>
        <v>0</v>
      </c>
      <c r="Q75" s="142">
        <f>Q44*(1-Evasion!Q13)</f>
        <v>0</v>
      </c>
      <c r="R75" s="142">
        <f>R44*(1-Evasion!R13)</f>
        <v>0</v>
      </c>
      <c r="S75" s="142">
        <f>S44*(1-Evasion!S13)</f>
        <v>0</v>
      </c>
      <c r="T75" s="142">
        <f>T44*(1-Evasion!T13)</f>
        <v>22000087.000691049</v>
      </c>
      <c r="U75" s="142">
        <f>U44*(1-Evasion!U13)</f>
        <v>0</v>
      </c>
      <c r="V75" s="142">
        <f>V44*(1-Evasion!V13)</f>
        <v>0</v>
      </c>
      <c r="W75" s="142">
        <f>W44*(1-Evasion!W13)</f>
        <v>0</v>
      </c>
      <c r="X75" s="142">
        <f>X44*(1-Evasion!X13)</f>
        <v>0</v>
      </c>
      <c r="Y75" s="142">
        <f>Y44*(1-Evasion!Y13)</f>
        <v>0</v>
      </c>
      <c r="Z75" s="142">
        <f>Z44*(1-Evasion!Z13)</f>
        <v>0</v>
      </c>
      <c r="AA75" s="142">
        <f>AA44*(1-Evasion!AA13)</f>
        <v>0</v>
      </c>
      <c r="AB75" s="142">
        <f>AB44*(1-Evasion!AB13)</f>
        <v>0</v>
      </c>
      <c r="AC75" s="142">
        <f>AC44*(1-Evasion!AC13)</f>
        <v>40358785.923840001</v>
      </c>
      <c r="AD75" s="154">
        <f t="shared" si="10"/>
        <v>1450104131.5195312</v>
      </c>
      <c r="AE75" s="164"/>
      <c r="AG75" s="154">
        <f t="shared" si="11"/>
        <v>91328336.944190502</v>
      </c>
      <c r="AH75" s="154">
        <f t="shared" si="12"/>
        <v>1000044991.1100669</v>
      </c>
      <c r="AI75" s="154">
        <f t="shared" si="13"/>
        <v>450059140.4094643</v>
      </c>
    </row>
    <row r="76" spans="1:37">
      <c r="A76" s="143">
        <f>EconomicInputs!A46</f>
        <v>2020</v>
      </c>
      <c r="B76" s="142">
        <f>B45*(1-Evasion!B14)</f>
        <v>755873865.14223242</v>
      </c>
      <c r="C76" s="142">
        <f>C45*(1-Evasion!C14)</f>
        <v>189281607.01701596</v>
      </c>
      <c r="D76" s="142">
        <f>D45*(1-Evasion!D14)</f>
        <v>104104883.85935879</v>
      </c>
      <c r="E76" s="142">
        <f>E45*(1-Evasion!E14)</f>
        <v>0</v>
      </c>
      <c r="F76" s="142">
        <f>F45*(1-Evasion!F14)</f>
        <v>13234869.808951998</v>
      </c>
      <c r="G76" s="142">
        <f>G45*(1-Evasion!G14)</f>
        <v>145583316.31756192</v>
      </c>
      <c r="H76" s="142">
        <f>H45*(1-Evasion!H14)</f>
        <v>97230962.06627664</v>
      </c>
      <c r="I76" s="142">
        <f>I45*(1-Evasion!I14)</f>
        <v>0</v>
      </c>
      <c r="J76" s="142">
        <f>J45*(1-Evasion!J14)</f>
        <v>0</v>
      </c>
      <c r="K76" s="142">
        <f>K45*(1-Evasion!K14)</f>
        <v>0</v>
      </c>
      <c r="L76" s="142">
        <f>L45*(1-Evasion!L14)</f>
        <v>0</v>
      </c>
      <c r="M76" s="142">
        <f>M45*(1-Evasion!M14)</f>
        <v>0</v>
      </c>
      <c r="N76" s="142">
        <f>N45*(1-Evasion!N14)</f>
        <v>79195456.493999988</v>
      </c>
      <c r="O76" s="142">
        <f>O45*(1-Evasion!O14)</f>
        <v>0</v>
      </c>
      <c r="P76" s="142">
        <f>P45*(1-Evasion!P14)</f>
        <v>0</v>
      </c>
      <c r="Q76" s="142">
        <f>Q45*(1-Evasion!Q14)</f>
        <v>0</v>
      </c>
      <c r="R76" s="142">
        <f>R45*(1-Evasion!R14)</f>
        <v>0</v>
      </c>
      <c r="S76" s="142">
        <f>S45*(1-Evasion!S14)</f>
        <v>0</v>
      </c>
      <c r="T76" s="142">
        <f>T45*(1-Evasion!T14)</f>
        <v>22545453.578136954</v>
      </c>
      <c r="U76" s="142">
        <f>U45*(1-Evasion!U14)</f>
        <v>0</v>
      </c>
      <c r="V76" s="142">
        <f>V45*(1-Evasion!V14)</f>
        <v>0</v>
      </c>
      <c r="W76" s="142">
        <f>W45*(1-Evasion!W14)</f>
        <v>0</v>
      </c>
      <c r="X76" s="142">
        <f>X45*(1-Evasion!X14)</f>
        <v>0</v>
      </c>
      <c r="Y76" s="142">
        <f>Y45*(1-Evasion!Y14)</f>
        <v>0</v>
      </c>
      <c r="Z76" s="142">
        <f>Z45*(1-Evasion!Z14)</f>
        <v>0</v>
      </c>
      <c r="AA76" s="142">
        <f>AA45*(1-Evasion!AA14)</f>
        <v>0</v>
      </c>
      <c r="AB76" s="142">
        <f>AB45*(1-Evasion!AB14)</f>
        <v>0</v>
      </c>
      <c r="AC76" s="142">
        <f>AC45*(1-Evasion!AC14)</f>
        <v>40762373.783078402</v>
      </c>
      <c r="AD76" s="154">
        <f t="shared" si="10"/>
        <v>1447812788.066613</v>
      </c>
      <c r="AE76" s="164"/>
      <c r="AG76" s="154">
        <f t="shared" si="11"/>
        <v>92632255.860833645</v>
      </c>
      <c r="AH76" s="154">
        <f t="shared" si="12"/>
        <v>993887507.76274621</v>
      </c>
      <c r="AI76" s="154">
        <f t="shared" si="13"/>
        <v>453925280.30386674</v>
      </c>
    </row>
    <row r="77" spans="1:37">
      <c r="A77" s="143">
        <f>EconomicInputs!A47</f>
        <v>2021</v>
      </c>
      <c r="B77" s="142">
        <f>B46*(1-Evasion!B15)</f>
        <v>744144824.78666604</v>
      </c>
      <c r="C77" s="142">
        <f>C46*(1-Evasion!C15)</f>
        <v>191130124.73002687</v>
      </c>
      <c r="D77" s="142">
        <f>D46*(1-Evasion!D15)</f>
        <v>105121568.60151477</v>
      </c>
      <c r="E77" s="142">
        <f>E46*(1-Evasion!E15)</f>
        <v>0</v>
      </c>
      <c r="F77" s="142">
        <f>F46*(1-Evasion!F15)</f>
        <v>13313211.281270254</v>
      </c>
      <c r="G77" s="142">
        <f>G46*(1-Evasion!G15)</f>
        <v>147030522.45836875</v>
      </c>
      <c r="H77" s="142">
        <f>H46*(1-Evasion!H15)</f>
        <v>97515966.152356729</v>
      </c>
      <c r="I77" s="142">
        <f>I46*(1-Evasion!I15)</f>
        <v>0</v>
      </c>
      <c r="J77" s="142">
        <f>J46*(1-Evasion!J15)</f>
        <v>0</v>
      </c>
      <c r="K77" s="142">
        <f>K46*(1-Evasion!K15)</f>
        <v>0</v>
      </c>
      <c r="L77" s="142">
        <f>L46*(1-Evasion!L15)</f>
        <v>0</v>
      </c>
      <c r="M77" s="142">
        <f>M46*(1-Evasion!M15)</f>
        <v>0</v>
      </c>
      <c r="N77" s="142">
        <f>N46*(1-Evasion!N15)</f>
        <v>81896369.939999998</v>
      </c>
      <c r="O77" s="142">
        <f>O46*(1-Evasion!O15)</f>
        <v>0</v>
      </c>
      <c r="P77" s="142">
        <f>P46*(1-Evasion!P15)</f>
        <v>0</v>
      </c>
      <c r="Q77" s="142">
        <f>Q46*(1-Evasion!Q15)</f>
        <v>0</v>
      </c>
      <c r="R77" s="142">
        <f>R46*(1-Evasion!R15)</f>
        <v>0</v>
      </c>
      <c r="S77" s="142">
        <f>S46*(1-Evasion!S15)</f>
        <v>0</v>
      </c>
      <c r="T77" s="142">
        <f>T46*(1-Evasion!T15)</f>
        <v>23039317.949004814</v>
      </c>
      <c r="U77" s="142">
        <f>U46*(1-Evasion!U15)</f>
        <v>0</v>
      </c>
      <c r="V77" s="142">
        <f>V46*(1-Evasion!V15)</f>
        <v>0</v>
      </c>
      <c r="W77" s="142">
        <f>W46*(1-Evasion!W15)</f>
        <v>0</v>
      </c>
      <c r="X77" s="142">
        <f>X46*(1-Evasion!X15)</f>
        <v>0</v>
      </c>
      <c r="Y77" s="142">
        <f>Y46*(1-Evasion!Y15)</f>
        <v>0</v>
      </c>
      <c r="Z77" s="142">
        <f>Z46*(1-Evasion!Z15)</f>
        <v>0</v>
      </c>
      <c r="AA77" s="142">
        <f>AA46*(1-Evasion!AA15)</f>
        <v>0</v>
      </c>
      <c r="AB77" s="142">
        <f>AB46*(1-Evasion!AB15)</f>
        <v>0</v>
      </c>
      <c r="AC77" s="142">
        <f>AC46*(1-Evasion!AC15)</f>
        <v>41169997.52090919</v>
      </c>
      <c r="AD77" s="154">
        <f t="shared" si="10"/>
        <v>1444361903.4201174</v>
      </c>
      <c r="AE77" s="164"/>
      <c r="AG77" s="154">
        <f t="shared" si="11"/>
        <v>93803611.951860905</v>
      </c>
      <c r="AH77" s="154">
        <f t="shared" si="12"/>
        <v>986384928.46630502</v>
      </c>
      <c r="AI77" s="154">
        <f t="shared" si="13"/>
        <v>457976974.95381242</v>
      </c>
    </row>
    <row r="78" spans="1:37">
      <c r="A78" s="143">
        <f>EconomicInputs!A48</f>
        <v>2022</v>
      </c>
      <c r="B78" s="142">
        <f>B47*(1-Evasion!B16)</f>
        <v>731294709.06640911</v>
      </c>
      <c r="C78" s="142">
        <f>C47*(1-Evasion!C16)</f>
        <v>193177949.36558077</v>
      </c>
      <c r="D78" s="142">
        <f>D47*(1-Evasion!D16)</f>
        <v>106247872.15106943</v>
      </c>
      <c r="E78" s="142">
        <f>E47*(1-Evasion!E16)</f>
        <v>0</v>
      </c>
      <c r="F78" s="142">
        <f>F47*(1-Evasion!F16)</f>
        <v>13392016.482085554</v>
      </c>
      <c r="G78" s="142">
        <f>G47*(1-Evasion!G16)</f>
        <v>148491524.4629963</v>
      </c>
      <c r="H78" s="142">
        <f>H47*(1-Evasion!H16)</f>
        <v>97776243.532790825</v>
      </c>
      <c r="I78" s="142">
        <f>I47*(1-Evasion!I16)</f>
        <v>0</v>
      </c>
      <c r="J78" s="142">
        <f>J47*(1-Evasion!J16)</f>
        <v>0</v>
      </c>
      <c r="K78" s="142">
        <f>K47*(1-Evasion!K16)</f>
        <v>0</v>
      </c>
      <c r="L78" s="142">
        <f>L47*(1-Evasion!L16)</f>
        <v>0</v>
      </c>
      <c r="M78" s="142">
        <f>M47*(1-Evasion!M16)</f>
        <v>0</v>
      </c>
      <c r="N78" s="142">
        <f>N47*(1-Evasion!N16)</f>
        <v>84764557.647</v>
      </c>
      <c r="O78" s="142">
        <f>O47*(1-Evasion!O16)</f>
        <v>0</v>
      </c>
      <c r="P78" s="142">
        <f>P47*(1-Evasion!P16)</f>
        <v>0</v>
      </c>
      <c r="Q78" s="142">
        <f>Q47*(1-Evasion!Q16)</f>
        <v>0</v>
      </c>
      <c r="R78" s="142">
        <f>R47*(1-Evasion!R16)</f>
        <v>0</v>
      </c>
      <c r="S78" s="142">
        <f>S47*(1-Evasion!S16)</f>
        <v>0</v>
      </c>
      <c r="T78" s="142">
        <f>T47*(1-Evasion!T16)</f>
        <v>23491157.311756063</v>
      </c>
      <c r="U78" s="142">
        <f>U47*(1-Evasion!U16)</f>
        <v>0</v>
      </c>
      <c r="V78" s="142">
        <f>V47*(1-Evasion!V16)</f>
        <v>0</v>
      </c>
      <c r="W78" s="142">
        <f>W47*(1-Evasion!W16)</f>
        <v>0</v>
      </c>
      <c r="X78" s="142">
        <f>X47*(1-Evasion!X16)</f>
        <v>0</v>
      </c>
      <c r="Y78" s="142">
        <f>Y47*(1-Evasion!Y16)</f>
        <v>0</v>
      </c>
      <c r="Z78" s="142">
        <f>Z47*(1-Evasion!Z16)</f>
        <v>0</v>
      </c>
      <c r="AA78" s="142">
        <f>AA47*(1-Evasion!AA16)</f>
        <v>0</v>
      </c>
      <c r="AB78" s="142">
        <f>AB47*(1-Evasion!AB16)</f>
        <v>0</v>
      </c>
      <c r="AC78" s="142">
        <f>AC47*(1-Evasion!AC16)</f>
        <v>41581697.496118285</v>
      </c>
      <c r="AD78" s="154">
        <f t="shared" si="10"/>
        <v>1440217727.5158067</v>
      </c>
      <c r="AE78" s="164"/>
      <c r="AG78" s="154">
        <f t="shared" si="11"/>
        <v>94872729.994343758</v>
      </c>
      <c r="AH78" s="154">
        <f t="shared" si="12"/>
        <v>977942807.65849125</v>
      </c>
      <c r="AI78" s="154">
        <f t="shared" si="13"/>
        <v>462274919.85731542</v>
      </c>
    </row>
    <row r="79" spans="1:37">
      <c r="A79" s="143">
        <f>EconomicInputs!A49</f>
        <v>2023</v>
      </c>
      <c r="B79" s="142">
        <f>B48*(1-Evasion!B17)</f>
        <v>717471233.67100477</v>
      </c>
      <c r="C79" s="142">
        <f>C48*(1-Evasion!C17)</f>
        <v>195442492.03345659</v>
      </c>
      <c r="D79" s="142">
        <f>D48*(1-Evasion!D17)</f>
        <v>107493370.61840114</v>
      </c>
      <c r="E79" s="142">
        <f>E48*(1-Evasion!E17)</f>
        <v>0</v>
      </c>
      <c r="F79" s="142">
        <f>F48*(1-Evasion!F17)</f>
        <v>13471288.15635675</v>
      </c>
      <c r="G79" s="142">
        <f>G48*(1-Evasion!G17)</f>
        <v>149966568.33715177</v>
      </c>
      <c r="H79" s="142">
        <f>H48*(1-Evasion!H17)</f>
        <v>98015742.216549546</v>
      </c>
      <c r="I79" s="142">
        <f>I48*(1-Evasion!I17)</f>
        <v>0</v>
      </c>
      <c r="J79" s="142">
        <f>J48*(1-Evasion!J17)</f>
        <v>0</v>
      </c>
      <c r="K79" s="142">
        <f>K48*(1-Evasion!K17)</f>
        <v>0</v>
      </c>
      <c r="L79" s="142">
        <f>L48*(1-Evasion!L17)</f>
        <v>0</v>
      </c>
      <c r="M79" s="142">
        <f>M48*(1-Evasion!M17)</f>
        <v>0</v>
      </c>
      <c r="N79" s="142">
        <f>N48*(1-Evasion!N17)</f>
        <v>87911676.467999995</v>
      </c>
      <c r="O79" s="142">
        <f>O48*(1-Evasion!O17)</f>
        <v>0</v>
      </c>
      <c r="P79" s="142">
        <f>P48*(1-Evasion!P17)</f>
        <v>0</v>
      </c>
      <c r="Q79" s="142">
        <f>Q48*(1-Evasion!Q17)</f>
        <v>0</v>
      </c>
      <c r="R79" s="142">
        <f>R48*(1-Evasion!R17)</f>
        <v>0</v>
      </c>
      <c r="S79" s="142">
        <f>S48*(1-Evasion!S17)</f>
        <v>0</v>
      </c>
      <c r="T79" s="142">
        <f>T48*(1-Evasion!T17)</f>
        <v>23907441.538944446</v>
      </c>
      <c r="U79" s="142">
        <f>U48*(1-Evasion!U17)</f>
        <v>0</v>
      </c>
      <c r="V79" s="142">
        <f>V48*(1-Evasion!V17)</f>
        <v>0</v>
      </c>
      <c r="W79" s="142">
        <f>W48*(1-Evasion!W17)</f>
        <v>0</v>
      </c>
      <c r="X79" s="142">
        <f>X48*(1-Evasion!X17)</f>
        <v>0</v>
      </c>
      <c r="Y79" s="142">
        <f>Y48*(1-Evasion!Y17)</f>
        <v>0</v>
      </c>
      <c r="Z79" s="142">
        <f>Z48*(1-Evasion!Z17)</f>
        <v>0</v>
      </c>
      <c r="AA79" s="142">
        <f>AA48*(1-Evasion!AA17)</f>
        <v>0</v>
      </c>
      <c r="AB79" s="142">
        <f>AB48*(1-Evasion!AB17)</f>
        <v>0</v>
      </c>
      <c r="AC79" s="142">
        <f>AC48*(1-Evasion!AC17)</f>
        <v>41997514.471079469</v>
      </c>
      <c r="AD79" s="154">
        <f t="shared" si="10"/>
        <v>1435677327.5109444</v>
      </c>
      <c r="AE79" s="164"/>
      <c r="AG79" s="154">
        <f t="shared" si="11"/>
        <v>95860282.282632828</v>
      </c>
      <c r="AH79" s="154">
        <f t="shared" si="12"/>
        <v>968820766.63251328</v>
      </c>
      <c r="AI79" s="154">
        <f t="shared" si="13"/>
        <v>466856560.87843114</v>
      </c>
    </row>
    <row r="80" spans="1:37">
      <c r="A80" s="143">
        <f>EconomicInputs!A50</f>
        <v>2024</v>
      </c>
      <c r="B80" s="142">
        <f>B49*(1-Evasion!B18)</f>
        <v>702674595.1907028</v>
      </c>
      <c r="C80" s="142">
        <f>C49*(1-Evasion!C18)</f>
        <v>197897342.60921237</v>
      </c>
      <c r="D80" s="142">
        <f>D49*(1-Evasion!D18)</f>
        <v>108843538.4350668</v>
      </c>
      <c r="E80" s="142">
        <f>E49*(1-Evasion!E18)</f>
        <v>0</v>
      </c>
      <c r="F80" s="142">
        <f>F49*(1-Evasion!F18)</f>
        <v>13551029.065291015</v>
      </c>
      <c r="G80" s="142">
        <f>G49*(1-Evasion!G18)</f>
        <v>151455016.37287459</v>
      </c>
      <c r="H80" s="142">
        <f>H49*(1-Evasion!H18)</f>
        <v>98237534.574385151</v>
      </c>
      <c r="I80" s="142">
        <f>I49*(1-Evasion!I18)</f>
        <v>0</v>
      </c>
      <c r="J80" s="142">
        <f>J49*(1-Evasion!J18)</f>
        <v>0</v>
      </c>
      <c r="K80" s="142">
        <f>K49*(1-Evasion!K18)</f>
        <v>0</v>
      </c>
      <c r="L80" s="142">
        <f>L49*(1-Evasion!L18)</f>
        <v>0</v>
      </c>
      <c r="M80" s="142">
        <f>M49*(1-Evasion!M18)</f>
        <v>0</v>
      </c>
      <c r="N80" s="142">
        <f>N49*(1-Evasion!N18)</f>
        <v>91214872.748999998</v>
      </c>
      <c r="O80" s="142">
        <f>O49*(1-Evasion!O18)</f>
        <v>0</v>
      </c>
      <c r="P80" s="142">
        <f>P49*(1-Evasion!P18)</f>
        <v>0</v>
      </c>
      <c r="Q80" s="142">
        <f>Q49*(1-Evasion!Q18)</f>
        <v>0</v>
      </c>
      <c r="R80" s="142">
        <f>R49*(1-Evasion!R18)</f>
        <v>0</v>
      </c>
      <c r="S80" s="142">
        <f>S49*(1-Evasion!S18)</f>
        <v>0</v>
      </c>
      <c r="T80" s="142">
        <f>T49*(1-Evasion!T18)</f>
        <v>24293331.060695171</v>
      </c>
      <c r="U80" s="142">
        <f>U49*(1-Evasion!U18)</f>
        <v>0</v>
      </c>
      <c r="V80" s="142">
        <f>V49*(1-Evasion!V18)</f>
        <v>0</v>
      </c>
      <c r="W80" s="142">
        <f>W49*(1-Evasion!W18)</f>
        <v>0</v>
      </c>
      <c r="X80" s="142">
        <f>X49*(1-Evasion!X18)</f>
        <v>0</v>
      </c>
      <c r="Y80" s="142">
        <f>Y49*(1-Evasion!Y18)</f>
        <v>0</v>
      </c>
      <c r="Z80" s="142">
        <f>Z49*(1-Evasion!Z18)</f>
        <v>0</v>
      </c>
      <c r="AA80" s="142">
        <f>AA49*(1-Evasion!AA18)</f>
        <v>0</v>
      </c>
      <c r="AB80" s="142">
        <f>AB49*(1-Evasion!AB18)</f>
        <v>0</v>
      </c>
      <c r="AC80" s="142">
        <f>AC49*(1-Evasion!AC18)</f>
        <v>42417489.615790263</v>
      </c>
      <c r="AD80" s="154">
        <f t="shared" si="10"/>
        <v>1430584749.6730185</v>
      </c>
      <c r="AE80" s="164"/>
      <c r="AG80" s="154">
        <f t="shared" si="11"/>
        <v>96774884.957995892</v>
      </c>
      <c r="AH80" s="154">
        <f t="shared" si="12"/>
        <v>958895513.37786865</v>
      </c>
      <c r="AI80" s="154">
        <f t="shared" si="13"/>
        <v>471689236.29514974</v>
      </c>
    </row>
    <row r="81" spans="1:35">
      <c r="A81" s="143">
        <f>EconomicInputs!A51</f>
        <v>2025</v>
      </c>
      <c r="B81" s="142">
        <f>B50*(1-Evasion!B19)</f>
        <v>687130951.44091761</v>
      </c>
      <c r="C81" s="142">
        <f>C50*(1-Evasion!C19)</f>
        <v>200497597.78484517</v>
      </c>
      <c r="D81" s="142">
        <f>D50*(1-Evasion!D19)</f>
        <v>110273678.78166485</v>
      </c>
      <c r="E81" s="142">
        <f>E50*(1-Evasion!E19)</f>
        <v>0</v>
      </c>
      <c r="F81" s="142">
        <f>F50*(1-Evasion!F19)</f>
        <v>13631241.986439997</v>
      </c>
      <c r="G81" s="142">
        <f>G50*(1-Evasion!G19)</f>
        <v>152956187.16140911</v>
      </c>
      <c r="H81" s="142">
        <f>H50*(1-Evasion!H19)</f>
        <v>98444058.459106848</v>
      </c>
      <c r="I81" s="142">
        <f>I50*(1-Evasion!I19)</f>
        <v>0</v>
      </c>
      <c r="J81" s="142">
        <f>J50*(1-Evasion!J19)</f>
        <v>0</v>
      </c>
      <c r="K81" s="142">
        <f>K50*(1-Evasion!K19)</f>
        <v>0</v>
      </c>
      <c r="L81" s="142">
        <f>L50*(1-Evasion!L19)</f>
        <v>0</v>
      </c>
      <c r="M81" s="142">
        <f>M50*(1-Evasion!M19)</f>
        <v>0</v>
      </c>
      <c r="N81" s="142">
        <f>N50*(1-Evasion!N19)</f>
        <v>94643737.649999991</v>
      </c>
      <c r="O81" s="142">
        <f>O50*(1-Evasion!O19)</f>
        <v>0</v>
      </c>
      <c r="P81" s="142">
        <f>P50*(1-Evasion!P19)</f>
        <v>0</v>
      </c>
      <c r="Q81" s="142">
        <f>Q50*(1-Evasion!Q19)</f>
        <v>0</v>
      </c>
      <c r="R81" s="142">
        <f>R50*(1-Evasion!R19)</f>
        <v>0</v>
      </c>
      <c r="S81" s="142">
        <f>S50*(1-Evasion!S19)</f>
        <v>0</v>
      </c>
      <c r="T81" s="142">
        <f>T50*(1-Evasion!T19)</f>
        <v>24652938.571276434</v>
      </c>
      <c r="U81" s="142">
        <f>U50*(1-Evasion!U19)</f>
        <v>0</v>
      </c>
      <c r="V81" s="142">
        <f>V50*(1-Evasion!V19)</f>
        <v>0</v>
      </c>
      <c r="W81" s="142">
        <f>W50*(1-Evasion!W19)</f>
        <v>0</v>
      </c>
      <c r="X81" s="142">
        <f>X50*(1-Evasion!X19)</f>
        <v>0</v>
      </c>
      <c r="Y81" s="142">
        <f>Y50*(1-Evasion!Y19)</f>
        <v>0</v>
      </c>
      <c r="Z81" s="142">
        <f>Z50*(1-Evasion!Z19)</f>
        <v>0</v>
      </c>
      <c r="AA81" s="142">
        <f>AA50*(1-Evasion!AA19)</f>
        <v>0</v>
      </c>
      <c r="AB81" s="142">
        <f>AB50*(1-Evasion!AB19)</f>
        <v>0</v>
      </c>
      <c r="AC81" s="142">
        <f>AC50*(1-Evasion!AC19)</f>
        <v>42841664.511948168</v>
      </c>
      <c r="AD81" s="154">
        <f t="shared" si="10"/>
        <v>1425072056.3476083</v>
      </c>
      <c r="AE81" s="164"/>
      <c r="AG81" s="154">
        <f t="shared" si="11"/>
        <v>97626743.730648518</v>
      </c>
      <c r="AH81" s="154">
        <f t="shared" si="12"/>
        <v>948362118.23876691</v>
      </c>
      <c r="AI81" s="154">
        <f t="shared" si="13"/>
        <v>476709938.10884148</v>
      </c>
    </row>
    <row r="82" spans="1:35">
      <c r="A82" s="143">
        <f>EconomicInputs!A52</f>
        <v>2026</v>
      </c>
      <c r="B82" s="142">
        <f>B51*(1-Evasion!B20)</f>
        <v>671765382.76589024</v>
      </c>
      <c r="C82" s="142">
        <f>C51*(1-Evasion!C20)</f>
        <v>203199796.37239173</v>
      </c>
      <c r="D82" s="142">
        <f>D51*(1-Evasion!D20)</f>
        <v>111759888.00481546</v>
      </c>
      <c r="E82" s="142">
        <f>E51*(1-Evasion!E20)</f>
        <v>0</v>
      </c>
      <c r="F82" s="142">
        <f>F51*(1-Evasion!F20)</f>
        <v>13709622.507300099</v>
      </c>
      <c r="G82" s="142">
        <f>G51*(1-Evasion!G20)</f>
        <v>154469770.85173181</v>
      </c>
      <c r="H82" s="142">
        <f>H51*(1-Evasion!H20)</f>
        <v>98637280.676199034</v>
      </c>
      <c r="I82" s="142">
        <f>I51*(1-Evasion!I20)</f>
        <v>0</v>
      </c>
      <c r="J82" s="142">
        <f>J51*(1-Evasion!J20)</f>
        <v>0</v>
      </c>
      <c r="K82" s="142">
        <f>K51*(1-Evasion!K20)</f>
        <v>0</v>
      </c>
      <c r="L82" s="142">
        <f>L51*(1-Evasion!L20)</f>
        <v>0</v>
      </c>
      <c r="M82" s="142">
        <f>M51*(1-Evasion!M20)</f>
        <v>0</v>
      </c>
      <c r="N82" s="142">
        <f>N51*(1-Evasion!N20)</f>
        <v>98265301.596000001</v>
      </c>
      <c r="O82" s="142">
        <f>O51*(1-Evasion!O20)</f>
        <v>0</v>
      </c>
      <c r="P82" s="142">
        <f>P51*(1-Evasion!P20)</f>
        <v>0</v>
      </c>
      <c r="Q82" s="142">
        <f>Q51*(1-Evasion!Q20)</f>
        <v>0</v>
      </c>
      <c r="R82" s="142">
        <f>R51*(1-Evasion!R20)</f>
        <v>0</v>
      </c>
      <c r="S82" s="142">
        <f>S51*(1-Evasion!S20)</f>
        <v>0</v>
      </c>
      <c r="T82" s="142">
        <f>T51*(1-Evasion!T20)</f>
        <v>24989599.522852581</v>
      </c>
      <c r="U82" s="142">
        <f>U51*(1-Evasion!U20)</f>
        <v>0</v>
      </c>
      <c r="V82" s="142">
        <f>V51*(1-Evasion!V20)</f>
        <v>0</v>
      </c>
      <c r="W82" s="142">
        <f>W51*(1-Evasion!W20)</f>
        <v>0</v>
      </c>
      <c r="X82" s="142">
        <f>X51*(1-Evasion!X20)</f>
        <v>0</v>
      </c>
      <c r="Y82" s="142">
        <f>Y51*(1-Evasion!Y20)</f>
        <v>0</v>
      </c>
      <c r="Z82" s="142">
        <f>Z51*(1-Evasion!Z20)</f>
        <v>0</v>
      </c>
      <c r="AA82" s="142">
        <f>AA51*(1-Evasion!AA20)</f>
        <v>0</v>
      </c>
      <c r="AB82" s="142">
        <f>AB51*(1-Evasion!AB20)</f>
        <v>0</v>
      </c>
      <c r="AC82" s="142">
        <f>AC51*(1-Evasion!AC20)</f>
        <v>43270081.157067649</v>
      </c>
      <c r="AD82" s="154">
        <f t="shared" si="10"/>
        <v>1420066723.4542484</v>
      </c>
      <c r="AE82" s="164"/>
      <c r="AG82" s="154">
        <f t="shared" si="11"/>
        <v>98439514.477223635</v>
      </c>
      <c r="AH82" s="154">
        <f t="shared" si="12"/>
        <v>938210077.72092199</v>
      </c>
      <c r="AI82" s="154">
        <f t="shared" si="13"/>
        <v>481856645.73332644</v>
      </c>
    </row>
    <row r="83" spans="1:35">
      <c r="A83" s="143">
        <f>EconomicInputs!A53</f>
        <v>2027</v>
      </c>
      <c r="B83" s="142">
        <f>B52*(1-Evasion!B21)</f>
        <v>656860960.13981402</v>
      </c>
      <c r="C83" s="142">
        <f>C52*(1-Evasion!C21)</f>
        <v>205995255.78050092</v>
      </c>
      <c r="D83" s="142">
        <f>D52*(1-Evasion!D21)</f>
        <v>113297390.67927551</v>
      </c>
      <c r="E83" s="142">
        <f>E52*(1-Evasion!E21)</f>
        <v>0</v>
      </c>
      <c r="F83" s="142">
        <f>F52*(1-Evasion!F21)</f>
        <v>13788453.721211968</v>
      </c>
      <c r="G83" s="142">
        <f>G52*(1-Evasion!G21)</f>
        <v>155996207.33707336</v>
      </c>
      <c r="H83" s="142">
        <f>H52*(1-Evasion!H21)</f>
        <v>98818810.996317029</v>
      </c>
      <c r="I83" s="142">
        <f>I52*(1-Evasion!I21)</f>
        <v>0</v>
      </c>
      <c r="J83" s="142">
        <f>J52*(1-Evasion!J21)</f>
        <v>0</v>
      </c>
      <c r="K83" s="142">
        <f>K52*(1-Evasion!K21)</f>
        <v>0</v>
      </c>
      <c r="L83" s="142">
        <f>L52*(1-Evasion!L21)</f>
        <v>0</v>
      </c>
      <c r="M83" s="142">
        <f>M52*(1-Evasion!M21)</f>
        <v>0</v>
      </c>
      <c r="N83" s="142">
        <f>N52*(1-Evasion!N21)</f>
        <v>102095802.27</v>
      </c>
      <c r="O83" s="142">
        <f>O52*(1-Evasion!O21)</f>
        <v>0</v>
      </c>
      <c r="P83" s="142">
        <f>P52*(1-Evasion!P21)</f>
        <v>0</v>
      </c>
      <c r="Q83" s="142">
        <f>Q52*(1-Evasion!Q21)</f>
        <v>0</v>
      </c>
      <c r="R83" s="142">
        <f>R52*(1-Evasion!R21)</f>
        <v>0</v>
      </c>
      <c r="S83" s="142">
        <f>S52*(1-Evasion!S21)</f>
        <v>0</v>
      </c>
      <c r="T83" s="142">
        <f>T52*(1-Evasion!T21)</f>
        <v>25306054.9442733</v>
      </c>
      <c r="U83" s="142">
        <f>U52*(1-Evasion!U21)</f>
        <v>0</v>
      </c>
      <c r="V83" s="142">
        <f>V52*(1-Evasion!V21)</f>
        <v>0</v>
      </c>
      <c r="W83" s="142">
        <f>W52*(1-Evasion!W21)</f>
        <v>0</v>
      </c>
      <c r="X83" s="142">
        <f>X52*(1-Evasion!X21)</f>
        <v>0</v>
      </c>
      <c r="Y83" s="142">
        <f>Y52*(1-Evasion!Y21)</f>
        <v>0</v>
      </c>
      <c r="Z83" s="142">
        <f>Z52*(1-Evasion!Z21)</f>
        <v>0</v>
      </c>
      <c r="AA83" s="142">
        <f>AA52*(1-Evasion!AA21)</f>
        <v>0</v>
      </c>
      <c r="AB83" s="142">
        <f>AB52*(1-Evasion!AB21)</f>
        <v>0</v>
      </c>
      <c r="AC83" s="142">
        <f>AC52*(1-Evasion!AC21)</f>
        <v>43702781.968638323</v>
      </c>
      <c r="AD83" s="154">
        <f t="shared" si="10"/>
        <v>1415861717.8371046</v>
      </c>
      <c r="AE83" s="164"/>
      <c r="AG83" s="154">
        <f t="shared" si="11"/>
        <v>99224968.905779839</v>
      </c>
      <c r="AH83" s="154">
        <f t="shared" si="12"/>
        <v>928741423.46809959</v>
      </c>
      <c r="AI83" s="154">
        <f t="shared" si="13"/>
        <v>487120294.36900502</v>
      </c>
    </row>
    <row r="84" spans="1:35">
      <c r="A84" s="143">
        <f>EconomicInputs!A54</f>
        <v>2028</v>
      </c>
      <c r="B84" s="142">
        <f>B53*(1-Evasion!B22)</f>
        <v>642430641.35828137</v>
      </c>
      <c r="C84" s="142">
        <f>C53*(1-Evasion!C22)</f>
        <v>208887645.81383696</v>
      </c>
      <c r="D84" s="142">
        <f>D53*(1-Evasion!D22)</f>
        <v>114888205.19761033</v>
      </c>
      <c r="E84" s="142">
        <f>E53*(1-Evasion!E22)</f>
        <v>0</v>
      </c>
      <c r="F84" s="142">
        <f>F53*(1-Evasion!F22)</f>
        <v>13867738.219689732</v>
      </c>
      <c r="G84" s="142">
        <f>G53*(1-Evasion!G22)</f>
        <v>157535273.82015976</v>
      </c>
      <c r="H84" s="142">
        <f>H53*(1-Evasion!H22)</f>
        <v>98989983.641414985</v>
      </c>
      <c r="I84" s="142">
        <f>I53*(1-Evasion!I22)</f>
        <v>0</v>
      </c>
      <c r="J84" s="142">
        <f>J53*(1-Evasion!J22)</f>
        <v>0</v>
      </c>
      <c r="K84" s="142">
        <f>K53*(1-Evasion!K22)</f>
        <v>0</v>
      </c>
      <c r="L84" s="142">
        <f>L53*(1-Evasion!L22)</f>
        <v>0</v>
      </c>
      <c r="M84" s="142">
        <f>M53*(1-Evasion!M22)</f>
        <v>0</v>
      </c>
      <c r="N84" s="142">
        <f>N53*(1-Evasion!N22)</f>
        <v>105980682.654</v>
      </c>
      <c r="O84" s="142">
        <f>O53*(1-Evasion!O22)</f>
        <v>0</v>
      </c>
      <c r="P84" s="142">
        <f>P53*(1-Evasion!P22)</f>
        <v>0</v>
      </c>
      <c r="Q84" s="142">
        <f>Q53*(1-Evasion!Q22)</f>
        <v>0</v>
      </c>
      <c r="R84" s="142">
        <f>R53*(1-Evasion!R22)</f>
        <v>0</v>
      </c>
      <c r="S84" s="142">
        <f>S53*(1-Evasion!S22)</f>
        <v>0</v>
      </c>
      <c r="T84" s="142">
        <f>T53*(1-Evasion!T22)</f>
        <v>25604584.253161915</v>
      </c>
      <c r="U84" s="142">
        <f>U53*(1-Evasion!U22)</f>
        <v>0</v>
      </c>
      <c r="V84" s="142">
        <f>V53*(1-Evasion!V22)</f>
        <v>0</v>
      </c>
      <c r="W84" s="142">
        <f>W53*(1-Evasion!W22)</f>
        <v>0</v>
      </c>
      <c r="X84" s="142">
        <f>X53*(1-Evasion!X22)</f>
        <v>0</v>
      </c>
      <c r="Y84" s="142">
        <f>Y53*(1-Evasion!Y22)</f>
        <v>0</v>
      </c>
      <c r="Z84" s="142">
        <f>Z53*(1-Evasion!Z22)</f>
        <v>0</v>
      </c>
      <c r="AA84" s="142">
        <f>AA53*(1-Evasion!AA22)</f>
        <v>0</v>
      </c>
      <c r="AB84" s="142">
        <f>AB53*(1-Evasion!AB22)</f>
        <v>0</v>
      </c>
      <c r="AC84" s="142">
        <f>AC53*(1-Evasion!AC22)</f>
        <v>44139809.788324706</v>
      </c>
      <c r="AD84" s="154">
        <f t="shared" si="10"/>
        <v>1412324564.7464795</v>
      </c>
      <c r="AE84" s="164"/>
      <c r="AG84" s="154">
        <f t="shared" si="11"/>
        <v>99987416.709272146</v>
      </c>
      <c r="AH84" s="154">
        <f t="shared" si="12"/>
        <v>919814336.05213058</v>
      </c>
      <c r="AI84" s="154">
        <f t="shared" si="13"/>
        <v>492510228.69434893</v>
      </c>
    </row>
    <row r="85" spans="1:35">
      <c r="A85" s="143">
        <f>EconomicInputs!A55</f>
        <v>2029</v>
      </c>
      <c r="B85" s="142">
        <f>B54*(1-Evasion!B23)</f>
        <v>628483205.9000299</v>
      </c>
      <c r="C85" s="142">
        <f>C54*(1-Evasion!C23)</f>
        <v>211864044.68332803</v>
      </c>
      <c r="D85" s="142">
        <f>D54*(1-Evasion!D23)</f>
        <v>116525224.57583041</v>
      </c>
      <c r="E85" s="142">
        <f>E54*(1-Evasion!E23)</f>
        <v>0</v>
      </c>
      <c r="F85" s="142">
        <f>F54*(1-Evasion!F23)</f>
        <v>13947478.609148895</v>
      </c>
      <c r="G85" s="142">
        <f>G54*(1-Evasion!G23)</f>
        <v>159087781.76124206</v>
      </c>
      <c r="H85" s="142">
        <f>H54*(1-Evasion!H23)</f>
        <v>99151916.778700233</v>
      </c>
      <c r="I85" s="142">
        <f>I54*(1-Evasion!I23)</f>
        <v>0</v>
      </c>
      <c r="J85" s="142">
        <f>J54*(1-Evasion!J23)</f>
        <v>0</v>
      </c>
      <c r="K85" s="142">
        <f>K54*(1-Evasion!K23)</f>
        <v>0</v>
      </c>
      <c r="L85" s="142">
        <f>L54*(1-Evasion!L23)</f>
        <v>0</v>
      </c>
      <c r="M85" s="142">
        <f>M54*(1-Evasion!M23)</f>
        <v>0</v>
      </c>
      <c r="N85" s="142">
        <f>N54*(1-Evasion!N23)</f>
        <v>110033120.043</v>
      </c>
      <c r="O85" s="142">
        <f>O54*(1-Evasion!O23)</f>
        <v>0</v>
      </c>
      <c r="P85" s="142">
        <f>P54*(1-Evasion!P23)</f>
        <v>0</v>
      </c>
      <c r="Q85" s="142">
        <f>Q54*(1-Evasion!Q23)</f>
        <v>0</v>
      </c>
      <c r="R85" s="142">
        <f>R54*(1-Evasion!R23)</f>
        <v>0</v>
      </c>
      <c r="S85" s="142">
        <f>S54*(1-Evasion!S23)</f>
        <v>0</v>
      </c>
      <c r="T85" s="142">
        <f>T54*(1-Evasion!T23)</f>
        <v>25887103.031602763</v>
      </c>
      <c r="U85" s="142">
        <f>U54*(1-Evasion!U23)</f>
        <v>0</v>
      </c>
      <c r="V85" s="142">
        <f>V54*(1-Evasion!V23)</f>
        <v>0</v>
      </c>
      <c r="W85" s="142">
        <f>W54*(1-Evasion!W23)</f>
        <v>0</v>
      </c>
      <c r="X85" s="142">
        <f>X54*(1-Evasion!X23)</f>
        <v>0</v>
      </c>
      <c r="Y85" s="142">
        <f>Y54*(1-Evasion!Y23)</f>
        <v>0</v>
      </c>
      <c r="Z85" s="142">
        <f>Z54*(1-Evasion!Z23)</f>
        <v>0</v>
      </c>
      <c r="AA85" s="142">
        <f>AA54*(1-Evasion!AA23)</f>
        <v>0</v>
      </c>
      <c r="AB85" s="142">
        <f>AB54*(1-Evasion!AB23)</f>
        <v>0</v>
      </c>
      <c r="AC85" s="142">
        <f>AC54*(1-Evasion!AC23)</f>
        <v>44581207.886207953</v>
      </c>
      <c r="AD85" s="154">
        <f t="shared" si="10"/>
        <v>1409561083.2690904</v>
      </c>
      <c r="AE85" s="164"/>
      <c r="AG85" s="154">
        <f t="shared" si="11"/>
        <v>100731638.65692854</v>
      </c>
      <c r="AH85" s="154">
        <f t="shared" si="12"/>
        <v>911551586.31342101</v>
      </c>
      <c r="AI85" s="154">
        <f t="shared" si="13"/>
        <v>498009496.95566934</v>
      </c>
    </row>
    <row r="86" spans="1:35">
      <c r="A86" s="143">
        <f>EconomicInputs!A56</f>
        <v>2030</v>
      </c>
      <c r="B86" s="142">
        <f>B55*(1-Evasion!B24)</f>
        <v>615015436.54625452</v>
      </c>
      <c r="C86" s="142">
        <f>C55*(1-Evasion!C24)</f>
        <v>214962053.50413013</v>
      </c>
      <c r="D86" s="142">
        <f>D55*(1-Evasion!D24)</f>
        <v>118229129.42727156</v>
      </c>
      <c r="E86" s="142">
        <f>E55*(1-Evasion!E24)</f>
        <v>0</v>
      </c>
      <c r="F86" s="142">
        <f>F55*(1-Evasion!F24)</f>
        <v>14027677.510991998</v>
      </c>
      <c r="G86" s="142">
        <f>G55*(1-Evasion!G24)</f>
        <v>160654490.31543413</v>
      </c>
      <c r="H86" s="142">
        <f>H55*(1-Evasion!H24)</f>
        <v>99305556.780168712</v>
      </c>
      <c r="I86" s="142">
        <f>I55*(1-Evasion!I24)</f>
        <v>0</v>
      </c>
      <c r="J86" s="142">
        <f>J55*(1-Evasion!J24)</f>
        <v>0</v>
      </c>
      <c r="K86" s="142">
        <f>K55*(1-Evasion!K24)</f>
        <v>0</v>
      </c>
      <c r="L86" s="142">
        <f>L55*(1-Evasion!L24)</f>
        <v>0</v>
      </c>
      <c r="M86" s="142">
        <f>M55*(1-Evasion!M24)</f>
        <v>0</v>
      </c>
      <c r="N86" s="142">
        <f>N55*(1-Evasion!N24)</f>
        <v>114318602.24399999</v>
      </c>
      <c r="O86" s="142">
        <f>O55*(1-Evasion!O24)</f>
        <v>0</v>
      </c>
      <c r="P86" s="142">
        <f>P55*(1-Evasion!P24)</f>
        <v>0</v>
      </c>
      <c r="Q86" s="142">
        <f>Q55*(1-Evasion!Q24)</f>
        <v>0</v>
      </c>
      <c r="R86" s="142">
        <f>R55*(1-Evasion!R24)</f>
        <v>0</v>
      </c>
      <c r="S86" s="142">
        <f>S55*(1-Evasion!S24)</f>
        <v>0</v>
      </c>
      <c r="T86" s="142">
        <f>T55*(1-Evasion!T24)</f>
        <v>26155236.304473642</v>
      </c>
      <c r="U86" s="142">
        <f>U55*(1-Evasion!U24)</f>
        <v>0</v>
      </c>
      <c r="V86" s="142">
        <f>V55*(1-Evasion!V24)</f>
        <v>0</v>
      </c>
      <c r="W86" s="142">
        <f>W55*(1-Evasion!W24)</f>
        <v>0</v>
      </c>
      <c r="X86" s="142">
        <f>X55*(1-Evasion!X24)</f>
        <v>0</v>
      </c>
      <c r="Y86" s="142">
        <f>Y55*(1-Evasion!Y24)</f>
        <v>0</v>
      </c>
      <c r="Z86" s="142">
        <f>Z55*(1-Evasion!Z24)</f>
        <v>0</v>
      </c>
      <c r="AA86" s="142">
        <f>AA55*(1-Evasion!AA24)</f>
        <v>0</v>
      </c>
      <c r="AB86" s="142">
        <f>AB55*(1-Evasion!AB24)</f>
        <v>0</v>
      </c>
      <c r="AC86" s="142">
        <f>AC55*(1-Evasion!AC24)</f>
        <v>45027019.965070032</v>
      </c>
      <c r="AD86" s="154">
        <f t="shared" si="10"/>
        <v>1407695202.5977948</v>
      </c>
      <c r="AE86" s="164"/>
      <c r="AG86" s="154">
        <f t="shared" si="11"/>
        <v>101465129.8618331</v>
      </c>
      <c r="AH86" s="154">
        <f t="shared" si="12"/>
        <v>904016206.61668074</v>
      </c>
      <c r="AI86" s="154">
        <f t="shared" si="13"/>
        <v>503678995.98111403</v>
      </c>
    </row>
    <row r="87" spans="1:35">
      <c r="A87" s="143">
        <f>EconomicInputs!A57</f>
        <v>2031</v>
      </c>
      <c r="B87" s="142">
        <f>B56*(1-Evasion!B25)</f>
        <v>602030712.29320157</v>
      </c>
      <c r="C87" s="142">
        <f>C56*(1-Evasion!C25)</f>
        <v>218158621.68723643</v>
      </c>
      <c r="D87" s="142">
        <f>D56*(1-Evasion!D25)</f>
        <v>119987241.92798005</v>
      </c>
      <c r="E87" s="142">
        <f>E56*(1-Evasion!E25)</f>
        <v>0</v>
      </c>
      <c r="F87" s="142">
        <f>F56*(1-Evasion!F25)</f>
        <v>14106908.760634653</v>
      </c>
      <c r="G87" s="142">
        <f>G56*(1-Evasion!G25)</f>
        <v>162234984.80579743</v>
      </c>
      <c r="H87" s="142">
        <f>H56*(1-Evasion!H25)</f>
        <v>99451711.700892329</v>
      </c>
      <c r="I87" s="142">
        <f>I56*(1-Evasion!I25)</f>
        <v>0</v>
      </c>
      <c r="J87" s="142">
        <f>J56*(1-Evasion!J25)</f>
        <v>0</v>
      </c>
      <c r="K87" s="142">
        <f>K56*(1-Evasion!K25)</f>
        <v>0</v>
      </c>
      <c r="L87" s="142">
        <f>L56*(1-Evasion!L25)</f>
        <v>0</v>
      </c>
      <c r="M87" s="142">
        <f>M56*(1-Evasion!M25)</f>
        <v>0</v>
      </c>
      <c r="N87" s="142">
        <f>N56*(1-Evasion!N25)</f>
        <v>118694816.163</v>
      </c>
      <c r="O87" s="142">
        <f>O56*(1-Evasion!O25)</f>
        <v>0</v>
      </c>
      <c r="P87" s="142">
        <f>P56*(1-Evasion!P25)</f>
        <v>0</v>
      </c>
      <c r="Q87" s="142">
        <f>Q56*(1-Evasion!Q25)</f>
        <v>0</v>
      </c>
      <c r="R87" s="142">
        <f>R56*(1-Evasion!R25)</f>
        <v>0</v>
      </c>
      <c r="S87" s="142">
        <f>S56*(1-Evasion!S25)</f>
        <v>0</v>
      </c>
      <c r="T87" s="142">
        <f>T56*(1-Evasion!T25)</f>
        <v>26410374.308230944</v>
      </c>
      <c r="U87" s="142">
        <f>U56*(1-Evasion!U25)</f>
        <v>0</v>
      </c>
      <c r="V87" s="142">
        <f>V56*(1-Evasion!V25)</f>
        <v>0</v>
      </c>
      <c r="W87" s="142">
        <f>W56*(1-Evasion!W25)</f>
        <v>0</v>
      </c>
      <c r="X87" s="142">
        <f>X56*(1-Evasion!X25)</f>
        <v>0</v>
      </c>
      <c r="Y87" s="142">
        <f>Y56*(1-Evasion!Y25)</f>
        <v>0</v>
      </c>
      <c r="Z87" s="142">
        <f>Z56*(1-Evasion!Z25)</f>
        <v>0</v>
      </c>
      <c r="AA87" s="142">
        <f>AA56*(1-Evasion!AA25)</f>
        <v>0</v>
      </c>
      <c r="AB87" s="142">
        <f>AB56*(1-Evasion!AB25)</f>
        <v>0</v>
      </c>
      <c r="AC87" s="142">
        <f>AC56*(1-Evasion!AC25)</f>
        <v>45477290.164720729</v>
      </c>
      <c r="AD87" s="154">
        <f t="shared" si="10"/>
        <v>1406552661.8116944</v>
      </c>
      <c r="AE87" s="164"/>
      <c r="AG87" s="154">
        <f t="shared" si="11"/>
        <v>102187788.33297396</v>
      </c>
      <c r="AH87" s="154">
        <f t="shared" si="12"/>
        <v>897067422.02263391</v>
      </c>
      <c r="AI87" s="154">
        <f t="shared" si="13"/>
        <v>509485239.78906047</v>
      </c>
    </row>
    <row r="88" spans="1:35">
      <c r="A88" s="143">
        <f>EconomicInputs!A58</f>
        <v>2032</v>
      </c>
      <c r="B88" s="142">
        <f>B57*(1-Evasion!B26)</f>
        <v>589525071.13709366</v>
      </c>
      <c r="C88" s="142">
        <f>C57*(1-Evasion!C26)</f>
        <v>221452501.44528979</v>
      </c>
      <c r="D88" s="142">
        <f>D57*(1-Evasion!D26)</f>
        <v>121798875.79490939</v>
      </c>
      <c r="E88" s="142">
        <f>E57*(1-Evasion!E26)</f>
        <v>0</v>
      </c>
      <c r="F88" s="142">
        <f>F57*(1-Evasion!F26)</f>
        <v>14186587.524907941</v>
      </c>
      <c r="G88" s="142">
        <f>G57*(1-Evasion!G26)</f>
        <v>163830501.47616214</v>
      </c>
      <c r="H88" s="142">
        <f>H57*(1-Evasion!H26)</f>
        <v>99591076.981121451</v>
      </c>
      <c r="I88" s="142">
        <f>I57*(1-Evasion!I26)</f>
        <v>0</v>
      </c>
      <c r="J88" s="142">
        <f>J57*(1-Evasion!J26)</f>
        <v>0</v>
      </c>
      <c r="K88" s="142">
        <f>K57*(1-Evasion!K26)</f>
        <v>0</v>
      </c>
      <c r="L88" s="142">
        <f>L57*(1-Evasion!L26)</f>
        <v>0</v>
      </c>
      <c r="M88" s="142">
        <f>M57*(1-Evasion!M26)</f>
        <v>0</v>
      </c>
      <c r="N88" s="142">
        <f>N57*(1-Evasion!N26)</f>
        <v>123310718.685</v>
      </c>
      <c r="O88" s="142">
        <f>O57*(1-Evasion!O26)</f>
        <v>0</v>
      </c>
      <c r="P88" s="142">
        <f>P57*(1-Evasion!P26)</f>
        <v>0</v>
      </c>
      <c r="Q88" s="142">
        <f>Q57*(1-Evasion!Q26)</f>
        <v>0</v>
      </c>
      <c r="R88" s="142">
        <f>R57*(1-Evasion!R26)</f>
        <v>0</v>
      </c>
      <c r="S88" s="142">
        <f>S57*(1-Evasion!S26)</f>
        <v>0</v>
      </c>
      <c r="T88" s="142">
        <f>T57*(1-Evasion!T26)</f>
        <v>26653715.527926363</v>
      </c>
      <c r="U88" s="142">
        <f>U57*(1-Evasion!U26)</f>
        <v>0</v>
      </c>
      <c r="V88" s="142">
        <f>V57*(1-Evasion!V26)</f>
        <v>0</v>
      </c>
      <c r="W88" s="142">
        <f>W57*(1-Evasion!W26)</f>
        <v>0</v>
      </c>
      <c r="X88" s="142">
        <f>X57*(1-Evasion!X26)</f>
        <v>0</v>
      </c>
      <c r="Y88" s="142">
        <f>Y57*(1-Evasion!Y26)</f>
        <v>0</v>
      </c>
      <c r="Z88" s="142">
        <f>Z57*(1-Evasion!Z26)</f>
        <v>0</v>
      </c>
      <c r="AA88" s="142">
        <f>AA57*(1-Evasion!AA26)</f>
        <v>0</v>
      </c>
      <c r="AB88" s="142">
        <f>AB57*(1-Evasion!AB26)</f>
        <v>0</v>
      </c>
      <c r="AC88" s="142">
        <f>AC57*(1-Evasion!AC26)</f>
        <v>45932063.066367939</v>
      </c>
      <c r="AD88" s="154">
        <f t="shared" si="10"/>
        <v>1406281111.6387787</v>
      </c>
      <c r="AE88" s="164"/>
      <c r="AG88" s="154">
        <f t="shared" si="11"/>
        <v>102903872.04800296</v>
      </c>
      <c r="AH88" s="154">
        <f t="shared" si="12"/>
        <v>890852878.82316375</v>
      </c>
      <c r="AI88" s="154">
        <f t="shared" si="13"/>
        <v>515428232.81561494</v>
      </c>
    </row>
    <row r="89" spans="1:35">
      <c r="A89" s="143">
        <f>EconomicInputs!A59</f>
        <v>2033</v>
      </c>
      <c r="B89" s="142">
        <f>B58*(1-Evasion!B27)</f>
        <v>577372145.66746771</v>
      </c>
      <c r="C89" s="142">
        <f>C58*(1-Evasion!C27)</f>
        <v>224818956.04902869</v>
      </c>
      <c r="D89" s="142">
        <f>D58*(1-Evasion!D27)</f>
        <v>123650425.82696578</v>
      </c>
      <c r="E89" s="142">
        <f>E58*(1-Evasion!E27)</f>
        <v>0</v>
      </c>
      <c r="F89" s="142">
        <f>F58*(1-Evasion!F27)</f>
        <v>14266716.331467869</v>
      </c>
      <c r="G89" s="142">
        <f>G58*(1-Evasion!G27)</f>
        <v>165440964.80402231</v>
      </c>
      <c r="H89" s="142">
        <f>H58*(1-Evasion!H27)</f>
        <v>99789618.720984086</v>
      </c>
      <c r="I89" s="142">
        <f>I58*(1-Evasion!I27)</f>
        <v>0</v>
      </c>
      <c r="J89" s="142">
        <f>J58*(1-Evasion!J27)</f>
        <v>0</v>
      </c>
      <c r="K89" s="142">
        <f>K58*(1-Evasion!K27)</f>
        <v>0</v>
      </c>
      <c r="L89" s="142">
        <f>L58*(1-Evasion!L27)</f>
        <v>0</v>
      </c>
      <c r="M89" s="142">
        <f>M58*(1-Evasion!M27)</f>
        <v>0</v>
      </c>
      <c r="N89" s="142">
        <f>N58*(1-Evasion!N27)</f>
        <v>127107383.43841</v>
      </c>
      <c r="O89" s="142">
        <f>O58*(1-Evasion!O27)</f>
        <v>0</v>
      </c>
      <c r="P89" s="142">
        <f>P58*(1-Evasion!P27)</f>
        <v>0</v>
      </c>
      <c r="Q89" s="142">
        <f>Q58*(1-Evasion!Q27)</f>
        <v>0</v>
      </c>
      <c r="R89" s="142">
        <f>R58*(1-Evasion!R27)</f>
        <v>0</v>
      </c>
      <c r="S89" s="142">
        <f>S58*(1-Evasion!S27)</f>
        <v>0</v>
      </c>
      <c r="T89" s="142">
        <f>T58*(1-Evasion!T27)</f>
        <v>27210474.905778829</v>
      </c>
      <c r="U89" s="142">
        <f>U58*(1-Evasion!U27)</f>
        <v>0</v>
      </c>
      <c r="V89" s="142">
        <f>V58*(1-Evasion!V27)</f>
        <v>0</v>
      </c>
      <c r="W89" s="142">
        <f>W58*(1-Evasion!W27)</f>
        <v>0</v>
      </c>
      <c r="X89" s="142">
        <f>X58*(1-Evasion!X27)</f>
        <v>0</v>
      </c>
      <c r="Y89" s="142">
        <f>Y58*(1-Evasion!Y27)</f>
        <v>0</v>
      </c>
      <c r="Z89" s="142">
        <f>Z58*(1-Evasion!Z27)</f>
        <v>0</v>
      </c>
      <c r="AA89" s="142">
        <f>AA58*(1-Evasion!AA27)</f>
        <v>0</v>
      </c>
      <c r="AB89" s="142">
        <f>AB58*(1-Evasion!AB27)</f>
        <v>0</v>
      </c>
      <c r="AC89" s="142">
        <f>AC58*(1-Evasion!AC27)</f>
        <v>46391383.697031617</v>
      </c>
      <c r="AD89" s="154">
        <f t="shared" si="10"/>
        <v>1406048069.4411569</v>
      </c>
      <c r="AE89" s="164"/>
      <c r="AG89" s="154">
        <f t="shared" si="11"/>
        <v>104356918.88120794</v>
      </c>
      <c r="AH89" s="154">
        <f t="shared" si="12"/>
        <v>884187210.24136782</v>
      </c>
      <c r="AI89" s="154">
        <f t="shared" si="13"/>
        <v>521860859.19978899</v>
      </c>
    </row>
    <row r="90" spans="1:35">
      <c r="A90" s="143">
        <f>EconomicInputs!A60</f>
        <v>2034</v>
      </c>
      <c r="B90" s="142">
        <f>B59*(1-Evasion!B28)</f>
        <v>565554317.7976768</v>
      </c>
      <c r="C90" s="142">
        <f>C59*(1-Evasion!C28)</f>
        <v>228294981.20340574</v>
      </c>
      <c r="D90" s="142">
        <f>D59*(1-Evasion!D28)</f>
        <v>125562239.66187315</v>
      </c>
      <c r="E90" s="142">
        <f>E59*(1-Evasion!E28)</f>
        <v>0</v>
      </c>
      <c r="F90" s="142">
        <f>F59*(1-Evasion!F28)</f>
        <v>14347297.722247185</v>
      </c>
      <c r="G90" s="142">
        <f>G59*(1-Evasion!G28)</f>
        <v>167067784.77398181</v>
      </c>
      <c r="H90" s="142">
        <f>H59*(1-Evasion!H28)</f>
        <v>99988556.267616391</v>
      </c>
      <c r="I90" s="142">
        <f>I59*(1-Evasion!I28)</f>
        <v>0</v>
      </c>
      <c r="J90" s="142">
        <f>J59*(1-Evasion!J28)</f>
        <v>0</v>
      </c>
      <c r="K90" s="142">
        <f>K59*(1-Evasion!K28)</f>
        <v>0</v>
      </c>
      <c r="L90" s="142">
        <f>L59*(1-Evasion!L28)</f>
        <v>0</v>
      </c>
      <c r="M90" s="142">
        <f>M59*(1-Evasion!M28)</f>
        <v>0</v>
      </c>
      <c r="N90" s="142">
        <f>N59*(1-Evasion!N28)</f>
        <v>131020945.27427568</v>
      </c>
      <c r="O90" s="142">
        <f>O59*(1-Evasion!O28)</f>
        <v>0</v>
      </c>
      <c r="P90" s="142">
        <f>P59*(1-Evasion!P28)</f>
        <v>0</v>
      </c>
      <c r="Q90" s="142">
        <f>Q59*(1-Evasion!Q28)</f>
        <v>0</v>
      </c>
      <c r="R90" s="142">
        <f>R59*(1-Evasion!R28)</f>
        <v>0</v>
      </c>
      <c r="S90" s="142">
        <f>S59*(1-Evasion!S28)</f>
        <v>0</v>
      </c>
      <c r="T90" s="142">
        <f>T59*(1-Evasion!T28)</f>
        <v>27778864.219596576</v>
      </c>
      <c r="U90" s="142">
        <f>U59*(1-Evasion!U28)</f>
        <v>0</v>
      </c>
      <c r="V90" s="142">
        <f>V59*(1-Evasion!V28)</f>
        <v>0</v>
      </c>
      <c r="W90" s="142">
        <f>W59*(1-Evasion!W28)</f>
        <v>0</v>
      </c>
      <c r="X90" s="142">
        <f>X59*(1-Evasion!X28)</f>
        <v>0</v>
      </c>
      <c r="Y90" s="142">
        <f>Y59*(1-Evasion!Y28)</f>
        <v>0</v>
      </c>
      <c r="Z90" s="142">
        <f>Z59*(1-Evasion!Z28)</f>
        <v>0</v>
      </c>
      <c r="AA90" s="142">
        <f>AA59*(1-Evasion!AA28)</f>
        <v>0</v>
      </c>
      <c r="AB90" s="142">
        <f>AB59*(1-Evasion!AB28)</f>
        <v>0</v>
      </c>
      <c r="AC90" s="142">
        <f>AC59*(1-Evasion!AC28)</f>
        <v>46855297.534001932</v>
      </c>
      <c r="AD90" s="154">
        <f t="shared" si="10"/>
        <v>1406470284.4546754</v>
      </c>
      <c r="AE90" s="164"/>
      <c r="AG90" s="154">
        <f t="shared" si="11"/>
        <v>105854945.08310914</v>
      </c>
      <c r="AH90" s="154">
        <f t="shared" si="12"/>
        <v>877990345.56818163</v>
      </c>
      <c r="AI90" s="154">
        <f t="shared" si="13"/>
        <v>528479938.8864938</v>
      </c>
    </row>
    <row r="91" spans="1:35">
      <c r="A91" s="143">
        <f>EconomicInputs!A61</f>
        <v>2035</v>
      </c>
      <c r="B91" s="142">
        <f>B60*(1-Evasion!B29)</f>
        <v>554071532.61784112</v>
      </c>
      <c r="C91" s="142">
        <f>C60*(1-Evasion!C29)</f>
        <v>231873054.38521063</v>
      </c>
      <c r="D91" s="142">
        <f>D60*(1-Evasion!D29)</f>
        <v>127530179.91186585</v>
      </c>
      <c r="E91" s="142">
        <f>E60*(1-Evasion!E29)</f>
        <v>0</v>
      </c>
      <c r="F91" s="142">
        <f>F60*(1-Evasion!F29)</f>
        <v>14428334.253535997</v>
      </c>
      <c r="G91" s="142">
        <f>G60*(1-Evasion!G29)</f>
        <v>168711360.04567355</v>
      </c>
      <c r="H91" s="142">
        <f>H60*(1-Evasion!H29)</f>
        <v>100187890.41008669</v>
      </c>
      <c r="I91" s="142">
        <f>I60*(1-Evasion!I29)</f>
        <v>0</v>
      </c>
      <c r="J91" s="142">
        <f>J60*(1-Evasion!J29)</f>
        <v>0</v>
      </c>
      <c r="K91" s="142">
        <f>K60*(1-Evasion!K29)</f>
        <v>0</v>
      </c>
      <c r="L91" s="142">
        <f>L60*(1-Evasion!L29)</f>
        <v>0</v>
      </c>
      <c r="M91" s="142">
        <f>M60*(1-Evasion!M29)</f>
        <v>0</v>
      </c>
      <c r="N91" s="142">
        <f>N60*(1-Evasion!N29)</f>
        <v>135055003.38525006</v>
      </c>
      <c r="O91" s="142">
        <f>O60*(1-Evasion!O29)</f>
        <v>0</v>
      </c>
      <c r="P91" s="142">
        <f>P60*(1-Evasion!P29)</f>
        <v>0</v>
      </c>
      <c r="Q91" s="142">
        <f>Q60*(1-Evasion!Q29)</f>
        <v>0</v>
      </c>
      <c r="R91" s="142">
        <f>R60*(1-Evasion!R29)</f>
        <v>0</v>
      </c>
      <c r="S91" s="142">
        <f>S60*(1-Evasion!S29)</f>
        <v>0</v>
      </c>
      <c r="T91" s="142">
        <f>T60*(1-Evasion!T29)</f>
        <v>28359126.402711201</v>
      </c>
      <c r="U91" s="142">
        <f>U60*(1-Evasion!U29)</f>
        <v>0</v>
      </c>
      <c r="V91" s="142">
        <f>V60*(1-Evasion!V29)</f>
        <v>0</v>
      </c>
      <c r="W91" s="142">
        <f>W60*(1-Evasion!W29)</f>
        <v>0</v>
      </c>
      <c r="X91" s="142">
        <f>X60*(1-Evasion!X29)</f>
        <v>0</v>
      </c>
      <c r="Y91" s="142">
        <f>Y60*(1-Evasion!Y29)</f>
        <v>0</v>
      </c>
      <c r="Z91" s="142">
        <f>Z60*(1-Evasion!Z29)</f>
        <v>0</v>
      </c>
      <c r="AA91" s="142">
        <f>AA60*(1-Evasion!AA29)</f>
        <v>0</v>
      </c>
      <c r="AB91" s="142">
        <f>AB60*(1-Evasion!AB29)</f>
        <v>0</v>
      </c>
      <c r="AC91" s="142">
        <f>AC60*(1-Evasion!AC29)</f>
        <v>47323850.509341948</v>
      </c>
      <c r="AD91" s="154">
        <f t="shared" si="10"/>
        <v>1407540331.9215169</v>
      </c>
      <c r="AE91" s="164"/>
      <c r="AG91" s="154">
        <f t="shared" si="11"/>
        <v>107397960.17012119</v>
      </c>
      <c r="AH91" s="154">
        <f t="shared" si="12"/>
        <v>872266230.30230057</v>
      </c>
      <c r="AI91" s="154">
        <f t="shared" si="13"/>
        <v>535274101.61921632</v>
      </c>
    </row>
    <row r="95" spans="1:35">
      <c r="A95" s="272" t="s">
        <v>94</v>
      </c>
      <c r="B95" s="273"/>
      <c r="C95" s="273"/>
      <c r="D95" s="273"/>
      <c r="E95" s="273"/>
      <c r="F95" s="273"/>
      <c r="G95" s="273"/>
      <c r="H95" s="273"/>
      <c r="I95" s="273"/>
      <c r="J95" s="273"/>
      <c r="K95" s="273"/>
      <c r="L95" s="273"/>
      <c r="M95" s="273"/>
      <c r="N95" s="273"/>
      <c r="O95" s="273"/>
      <c r="P95" s="273"/>
      <c r="Q95" s="273"/>
      <c r="R95" s="273"/>
      <c r="S95" s="273"/>
      <c r="T95" s="273"/>
      <c r="U95" s="273"/>
      <c r="V95" s="273"/>
      <c r="W95" s="273"/>
      <c r="X95" s="273"/>
      <c r="Y95" s="273"/>
      <c r="Z95" s="273"/>
      <c r="AA95" s="273"/>
      <c r="AB95" s="273"/>
      <c r="AC95" s="274"/>
      <c r="AD95" s="266" t="s">
        <v>141</v>
      </c>
      <c r="AE95" s="266" t="s">
        <v>142</v>
      </c>
    </row>
    <row r="96" spans="1:35" ht="31.5">
      <c r="A96" s="170" t="s">
        <v>91</v>
      </c>
      <c r="B96" s="270" t="s">
        <v>44</v>
      </c>
      <c r="C96" s="270"/>
      <c r="D96" s="270"/>
      <c r="E96" s="171" t="s">
        <v>1</v>
      </c>
      <c r="F96" s="171" t="s">
        <v>31</v>
      </c>
      <c r="G96" s="171" t="s">
        <v>11</v>
      </c>
      <c r="H96" s="171" t="s">
        <v>11</v>
      </c>
      <c r="I96" s="171" t="s">
        <v>23</v>
      </c>
      <c r="J96" s="171" t="s">
        <v>34</v>
      </c>
      <c r="K96" s="171" t="s">
        <v>29</v>
      </c>
      <c r="L96" s="171" t="s">
        <v>32</v>
      </c>
      <c r="M96" s="171" t="s">
        <v>36</v>
      </c>
      <c r="N96" s="171" t="s">
        <v>15</v>
      </c>
      <c r="O96" s="171" t="s">
        <v>17</v>
      </c>
      <c r="P96" s="171" t="s">
        <v>59</v>
      </c>
      <c r="Q96" s="171" t="s">
        <v>3</v>
      </c>
      <c r="R96" s="171" t="s">
        <v>4</v>
      </c>
      <c r="S96" s="171" t="s">
        <v>58</v>
      </c>
      <c r="T96" s="171" t="s">
        <v>21</v>
      </c>
      <c r="U96" s="171" t="s">
        <v>5</v>
      </c>
      <c r="V96" s="171" t="s">
        <v>7</v>
      </c>
      <c r="W96" s="171" t="s">
        <v>9</v>
      </c>
      <c r="X96" s="171" t="s">
        <v>13</v>
      </c>
      <c r="Y96" s="171" t="s">
        <v>19</v>
      </c>
      <c r="Z96" s="171" t="s">
        <v>25</v>
      </c>
      <c r="AA96" s="171" t="s">
        <v>25</v>
      </c>
      <c r="AB96" s="171" t="s">
        <v>25</v>
      </c>
      <c r="AC96" s="171" t="s">
        <v>62</v>
      </c>
      <c r="AD96" s="267"/>
      <c r="AE96" s="267"/>
    </row>
    <row r="97" spans="1:31" ht="63">
      <c r="A97" s="170" t="s">
        <v>86</v>
      </c>
      <c r="B97" s="170" t="s">
        <v>40</v>
      </c>
      <c r="C97" s="170" t="s">
        <v>41</v>
      </c>
      <c r="D97" s="170" t="s">
        <v>42</v>
      </c>
      <c r="E97" s="170" t="s">
        <v>2</v>
      </c>
      <c r="F97" s="171" t="s">
        <v>53</v>
      </c>
      <c r="G97" s="172" t="s">
        <v>12</v>
      </c>
      <c r="H97" s="172" t="s">
        <v>157</v>
      </c>
      <c r="I97" s="171" t="s">
        <v>24</v>
      </c>
      <c r="J97" s="171" t="s">
        <v>35</v>
      </c>
      <c r="K97" s="171" t="s">
        <v>30</v>
      </c>
      <c r="L97" s="171" t="s">
        <v>33</v>
      </c>
      <c r="M97" s="171" t="s">
        <v>37</v>
      </c>
      <c r="N97" s="171" t="s">
        <v>16</v>
      </c>
      <c r="O97" s="171" t="s">
        <v>18</v>
      </c>
      <c r="P97" s="170" t="s">
        <v>46</v>
      </c>
      <c r="Q97" s="170" t="s">
        <v>49</v>
      </c>
      <c r="R97" s="170" t="s">
        <v>50</v>
      </c>
      <c r="S97" s="171" t="s">
        <v>51</v>
      </c>
      <c r="T97" s="171" t="s">
        <v>22</v>
      </c>
      <c r="U97" s="171" t="s">
        <v>6</v>
      </c>
      <c r="V97" s="171" t="s">
        <v>8</v>
      </c>
      <c r="W97" s="171" t="s">
        <v>10</v>
      </c>
      <c r="X97" s="171" t="s">
        <v>14</v>
      </c>
      <c r="Y97" s="171" t="s">
        <v>20</v>
      </c>
      <c r="Z97" s="171" t="s">
        <v>26</v>
      </c>
      <c r="AA97" s="171" t="s">
        <v>27</v>
      </c>
      <c r="AB97" s="171" t="s">
        <v>28</v>
      </c>
      <c r="AC97" s="171" t="s">
        <v>371</v>
      </c>
      <c r="AD97" s="268"/>
      <c r="AE97" s="269"/>
    </row>
    <row r="98" spans="1:31">
      <c r="A98" s="143">
        <f>EconomicInputs!A36</f>
        <v>2010</v>
      </c>
      <c r="B98" s="142">
        <f>IF(B4&gt;0,CollectionCosts!F18,0)</f>
        <v>18982742.765159436</v>
      </c>
      <c r="C98" s="142">
        <f>IF(C4&gt;0,CollectionCosts!M18,0)</f>
        <v>5480341.4605057277</v>
      </c>
      <c r="D98" s="142">
        <f>IF(D4&gt;0,CollectionCosts!T18,0)</f>
        <v>1459176.3824121584</v>
      </c>
      <c r="E98" s="142">
        <f>IF(E4&gt;0,CollectionCosts!AA18,0)</f>
        <v>0</v>
      </c>
      <c r="F98" s="142">
        <f>IF(F4&gt;0,CollectionCosts!AH18,0)</f>
        <v>3503661.2740208483</v>
      </c>
      <c r="G98" s="142">
        <f>IF(G4&gt;0,CollectionCosts!AO18,0)</f>
        <v>6619240.6611636151</v>
      </c>
      <c r="H98" s="142">
        <f>IF(H4&gt;-1,CollectionCosts!F48,0)</f>
        <v>1244654.2370432406</v>
      </c>
      <c r="I98" s="142">
        <f>IF(I4&gt;0,CollectionCosts!M48,0)</f>
        <v>0</v>
      </c>
      <c r="J98" s="142">
        <f>IF(J4&gt;0,CollectionCosts!T48,0)</f>
        <v>0</v>
      </c>
      <c r="K98" s="142">
        <f>IF(K4&gt;0,CollectionCosts!AA48,0)</f>
        <v>0</v>
      </c>
      <c r="L98" s="142">
        <f>IF(L4&gt;0,CollectionCosts!AH48,0)</f>
        <v>0</v>
      </c>
      <c r="M98" s="142">
        <f>IF(M4&gt;0,CollectionCosts!AO48,0)</f>
        <v>0</v>
      </c>
      <c r="N98" s="142">
        <f>IF(N4&gt;0,CollectionCosts!F109,0)</f>
        <v>387339.10948193993</v>
      </c>
      <c r="O98" s="142">
        <f>IF(O4&gt;0,CollectionCosts!M109,0)</f>
        <v>0</v>
      </c>
      <c r="P98" s="142">
        <f>IF(P4&gt;0,CollectionCosts!F78,0)</f>
        <v>0</v>
      </c>
      <c r="Q98" s="142">
        <f>IF(Q4="None",0,CollectionCosts!M78)</f>
        <v>0</v>
      </c>
      <c r="R98" s="142">
        <f>IF(R4="None",0,CollectionCosts!T78)</f>
        <v>0</v>
      </c>
      <c r="S98" s="142">
        <f>IF(S4="None",0,CollectionCosts!AA78)</f>
        <v>0</v>
      </c>
      <c r="T98" s="142">
        <f>IF(T4&gt;-1,CollectionCosts!AH78,0)</f>
        <v>185821.41252249453</v>
      </c>
      <c r="U98" s="142"/>
      <c r="V98" s="142"/>
      <c r="W98" s="142"/>
      <c r="X98" s="142">
        <f>IF(X4&gt;0,CollectionCosts!AO78,0)</f>
        <v>0</v>
      </c>
      <c r="Y98" s="142"/>
      <c r="Z98" s="142"/>
      <c r="AA98" s="142"/>
      <c r="AB98" s="142"/>
      <c r="AC98" s="142"/>
      <c r="AD98" s="157">
        <f>SUM(B98:AC98)</f>
        <v>37862977.302309453</v>
      </c>
      <c r="AE98" s="50"/>
    </row>
    <row r="99" spans="1:31">
      <c r="A99" s="143">
        <f>EconomicInputs!A37</f>
        <v>2011</v>
      </c>
      <c r="B99" s="142">
        <f>IF(B5&gt;0,CollectionCosts!F19,0)</f>
        <v>18427665.373744339</v>
      </c>
      <c r="C99" s="142">
        <f>IF(C5&gt;0,CollectionCosts!M19,0)</f>
        <v>5421183.1735353302</v>
      </c>
      <c r="D99" s="142">
        <f>IF(D5&gt;0,CollectionCosts!T19,0)</f>
        <v>1429901.1955720324</v>
      </c>
      <c r="E99" s="142">
        <f>IF(E5&gt;0,CollectionCosts!AA19,0)</f>
        <v>0</v>
      </c>
      <c r="F99" s="142">
        <f>IF(F5&gt;0,CollectionCosts!AH19,0)</f>
        <v>3477926.0012935759</v>
      </c>
      <c r="G99" s="142">
        <f>IF(G5&gt;0,CollectionCosts!AO19,0)</f>
        <v>6668395.3470183965</v>
      </c>
      <c r="H99" s="142">
        <f>IF(H5&gt;-1,CollectionCosts!F49,0)</f>
        <v>1313657.3131760287</v>
      </c>
      <c r="I99" s="142">
        <f>IF(I5&gt;0,CollectionCosts!M49,0)</f>
        <v>0</v>
      </c>
      <c r="J99" s="142">
        <f>IF(J5&gt;0,CollectionCosts!T49,0)</f>
        <v>0</v>
      </c>
      <c r="K99" s="142">
        <f>IF(K5&gt;0,CollectionCosts!AA49,0)</f>
        <v>0</v>
      </c>
      <c r="L99" s="142">
        <f>IF(L5&gt;0,CollectionCosts!AH49,0)</f>
        <v>0</v>
      </c>
      <c r="M99" s="142">
        <f>IF(M5&gt;0,CollectionCosts!AO49,0)</f>
        <v>0</v>
      </c>
      <c r="N99" s="142">
        <f>IF(N5&gt;0,CollectionCosts!F110,0)</f>
        <v>416337.24297857995</v>
      </c>
      <c r="O99" s="142">
        <f>IF(O5&gt;0,CollectionCosts!M110,0)</f>
        <v>0</v>
      </c>
      <c r="P99" s="142">
        <f>IF(P5&gt;0,CollectionCosts!F79,0)</f>
        <v>0</v>
      </c>
      <c r="Q99" s="142">
        <f>IF(Q5="None",0,CollectionCosts!M79)</f>
        <v>0</v>
      </c>
      <c r="R99" s="142">
        <f>IF(R5="None",0,CollectionCosts!T79)</f>
        <v>0</v>
      </c>
      <c r="S99" s="142">
        <f>IF(S5="None",0,CollectionCosts!AA79)</f>
        <v>0</v>
      </c>
      <c r="T99" s="142">
        <f>IF(T5&gt;-1,CollectionCosts!AH79,0)</f>
        <v>199321.13566642694</v>
      </c>
      <c r="U99" s="142"/>
      <c r="V99" s="142"/>
      <c r="W99" s="142"/>
      <c r="X99" s="142">
        <f>IF(X5&gt;0,CollectionCosts!AO79,0)</f>
        <v>0</v>
      </c>
      <c r="Y99" s="142"/>
      <c r="Z99" s="142"/>
      <c r="AA99" s="142"/>
      <c r="AB99" s="142"/>
      <c r="AC99" s="142"/>
      <c r="AD99" s="157">
        <f t="shared" ref="AD99:AD123" si="14">SUM(B99:AC99)</f>
        <v>37354386.782984719</v>
      </c>
      <c r="AE99" s="50"/>
    </row>
    <row r="100" spans="1:31">
      <c r="A100" s="143">
        <f>EconomicInputs!A38</f>
        <v>2012</v>
      </c>
      <c r="B100" s="142">
        <f>IF(B6&gt;0,CollectionCosts!F20,0)</f>
        <v>16029741.631531749</v>
      </c>
      <c r="C100" s="142">
        <f>IF(C6&gt;0,CollectionCosts!M20,0)</f>
        <v>4768192.4585536812</v>
      </c>
      <c r="D100" s="142">
        <f>IF(D6&gt;0,CollectionCosts!T20,0)</f>
        <v>1073416.3410721971</v>
      </c>
      <c r="E100" s="142">
        <f>IF(E6&gt;0,CollectionCosts!AA20,0)</f>
        <v>0</v>
      </c>
      <c r="F100" s="142">
        <f>IF(F6&gt;0,CollectionCosts!AH20,0)</f>
        <v>3410448.9103844846</v>
      </c>
      <c r="G100" s="142">
        <f>IF(G6&gt;0,CollectionCosts!AO20,0)</f>
        <v>6715046.7334966473</v>
      </c>
      <c r="H100" s="142">
        <f>IF(H6&gt;-1,CollectionCosts!F50,0)</f>
        <v>1007802.7868862404</v>
      </c>
      <c r="I100" s="142">
        <f>IF(I6&gt;0,CollectionCosts!M50,0)</f>
        <v>0</v>
      </c>
      <c r="J100" s="142">
        <f>IF(J6&gt;0,CollectionCosts!T50,0)</f>
        <v>0</v>
      </c>
      <c r="K100" s="142">
        <f>IF(K6&gt;0,CollectionCosts!AA50,0)</f>
        <v>0</v>
      </c>
      <c r="L100" s="142">
        <f>IF(L6&gt;0,CollectionCosts!AH50,0)</f>
        <v>0</v>
      </c>
      <c r="M100" s="142">
        <f>IF(M6&gt;0,CollectionCosts!AO50,0)</f>
        <v>0</v>
      </c>
      <c r="N100" s="142">
        <f>IF(N6&gt;0,CollectionCosts!F111,0)</f>
        <v>442560.93841344002</v>
      </c>
      <c r="O100" s="142">
        <f>IF(O6&gt;0,CollectionCosts!M111,0)</f>
        <v>0</v>
      </c>
      <c r="P100" s="142">
        <f>IF(P6&gt;0,CollectionCosts!F80,0)</f>
        <v>0</v>
      </c>
      <c r="Q100" s="142">
        <f>IF(Q6="None",0,CollectionCosts!M80)</f>
        <v>0</v>
      </c>
      <c r="R100" s="142">
        <f>IF(R6="None",0,CollectionCosts!T80)</f>
        <v>0</v>
      </c>
      <c r="S100" s="142">
        <f>IF(S6="None",0,CollectionCosts!AA80)</f>
        <v>0</v>
      </c>
      <c r="T100" s="142">
        <f>IF(T6&gt;-1,CollectionCosts!AH80,0)</f>
        <v>178409.7973648409</v>
      </c>
      <c r="U100" s="142"/>
      <c r="V100" s="142"/>
      <c r="W100" s="142"/>
      <c r="X100" s="142">
        <f>IF(X6&gt;0,CollectionCosts!AO80,0)</f>
        <v>0</v>
      </c>
      <c r="Y100" s="142"/>
      <c r="Z100" s="142"/>
      <c r="AA100" s="142"/>
      <c r="AB100" s="142"/>
      <c r="AC100" s="142"/>
      <c r="AD100" s="157">
        <f t="shared" si="14"/>
        <v>33625619.597703286</v>
      </c>
      <c r="AE100" s="50"/>
    </row>
    <row r="101" spans="1:31">
      <c r="A101" s="143">
        <f>EconomicInputs!A39</f>
        <v>2013</v>
      </c>
      <c r="B101" s="142">
        <f>IF(B7&gt;0,CollectionCosts!F21,0)</f>
        <v>15984646.642138267</v>
      </c>
      <c r="C101" s="142">
        <f>IF(C7&gt;0,CollectionCosts!M21,0)</f>
        <v>4822306.3014107319</v>
      </c>
      <c r="D101" s="142">
        <f>IF(D7&gt;0,CollectionCosts!T21,0)</f>
        <v>1073701.9698351426</v>
      </c>
      <c r="E101" s="142">
        <f>IF(E7&gt;0,CollectionCosts!AA21,0)</f>
        <v>0</v>
      </c>
      <c r="F101" s="142">
        <f>IF(F7&gt;0,CollectionCosts!AH21,0)</f>
        <v>3370195.8194753937</v>
      </c>
      <c r="G101" s="142">
        <f>IF(G7&gt;0,CollectionCosts!AO21,0)</f>
        <v>6774558.2931465004</v>
      </c>
      <c r="H101" s="142">
        <f>IF(H7&gt;-1,CollectionCosts!F51,0)</f>
        <v>1009924.3135533062</v>
      </c>
      <c r="I101" s="142">
        <f>IF(I7&gt;0,CollectionCosts!M51,0)</f>
        <v>0</v>
      </c>
      <c r="J101" s="142">
        <f>IF(J7&gt;0,CollectionCosts!T51,0)</f>
        <v>0</v>
      </c>
      <c r="K101" s="142">
        <f>IF(K7&gt;0,CollectionCosts!AA51,0)</f>
        <v>0</v>
      </c>
      <c r="L101" s="142">
        <f>IF(L7&gt;0,CollectionCosts!AH51,0)</f>
        <v>0</v>
      </c>
      <c r="M101" s="142">
        <f>IF(M7&gt;0,CollectionCosts!AO51,0)</f>
        <v>0</v>
      </c>
      <c r="N101" s="142">
        <f>IF(N7&gt;0,CollectionCosts!F112,0)</f>
        <v>460521.24020363996</v>
      </c>
      <c r="O101" s="142">
        <f>IF(O7&gt;0,CollectionCosts!M112,0)</f>
        <v>0</v>
      </c>
      <c r="P101" s="142">
        <f>IF(P7&gt;0,CollectionCosts!F81,0)</f>
        <v>0</v>
      </c>
      <c r="Q101" s="142">
        <f>IF(Q7="None",0,CollectionCosts!M81)</f>
        <v>0</v>
      </c>
      <c r="R101" s="142">
        <f>IF(R7="None",0,CollectionCosts!T81)</f>
        <v>0</v>
      </c>
      <c r="S101" s="142">
        <f>IF(S7="None",0,CollectionCosts!AA81)</f>
        <v>0</v>
      </c>
      <c r="T101" s="142">
        <f>IF(T7&gt;-1,CollectionCosts!AH81,0)</f>
        <v>175483.3169112918</v>
      </c>
      <c r="U101" s="142"/>
      <c r="V101" s="142"/>
      <c r="W101" s="142"/>
      <c r="X101" s="142">
        <f>IF(X7&gt;0,CollectionCosts!AO81,0)</f>
        <v>0</v>
      </c>
      <c r="Y101" s="142"/>
      <c r="Z101" s="142"/>
      <c r="AA101" s="142"/>
      <c r="AB101" s="142"/>
      <c r="AC101" s="142"/>
      <c r="AD101" s="157">
        <f t="shared" si="14"/>
        <v>33671337.896674275</v>
      </c>
      <c r="AE101" s="50"/>
    </row>
    <row r="102" spans="1:31">
      <c r="A102" s="143">
        <f>EconomicInputs!A40</f>
        <v>2014</v>
      </c>
      <c r="B102" s="142">
        <f>IF(B8&gt;0,CollectionCosts!F22,0)</f>
        <v>18239553.420707501</v>
      </c>
      <c r="C102" s="142">
        <f>IF(C8&gt;0,CollectionCosts!M22,0)</f>
        <v>5173152.8954585409</v>
      </c>
      <c r="D102" s="142">
        <f>IF(D8&gt;0,CollectionCosts!T22,0)</f>
        <v>1251167.2722266826</v>
      </c>
      <c r="E102" s="142">
        <f>IF(E8&gt;0,CollectionCosts!AA22,0)</f>
        <v>0</v>
      </c>
      <c r="F102" s="142">
        <f>IF(F8&gt;0,CollectionCosts!AH22,0)</f>
        <v>3358408.1831117575</v>
      </c>
      <c r="G102" s="142">
        <f>IF(G8&gt;0,CollectionCosts!AO22,0)</f>
        <v>6825148.8484176081</v>
      </c>
      <c r="H102" s="142">
        <f>IF(H8&gt;-1,CollectionCosts!F52,0)</f>
        <v>1206847.0237924173</v>
      </c>
      <c r="I102" s="142">
        <f>IF(I8&gt;0,CollectionCosts!M52,0)</f>
        <v>0</v>
      </c>
      <c r="J102" s="142">
        <f>IF(J8&gt;0,CollectionCosts!T52,0)</f>
        <v>0</v>
      </c>
      <c r="K102" s="142">
        <f>IF(K8&gt;0,CollectionCosts!AA52,0)</f>
        <v>0</v>
      </c>
      <c r="L102" s="142">
        <f>IF(L8&gt;0,CollectionCosts!AH52,0)</f>
        <v>0</v>
      </c>
      <c r="M102" s="142">
        <f>IF(M8&gt;0,CollectionCosts!AO52,0)</f>
        <v>0</v>
      </c>
      <c r="N102" s="142">
        <f>IF(N8&gt;0,CollectionCosts!F113,0)</f>
        <v>471855.72324198001</v>
      </c>
      <c r="O102" s="142">
        <f>IF(O8&gt;0,CollectionCosts!M113,0)</f>
        <v>0</v>
      </c>
      <c r="P102" s="142">
        <f>IF(P8&gt;0,CollectionCosts!F82,0)</f>
        <v>0</v>
      </c>
      <c r="Q102" s="142">
        <f>IF(Q8="None",0,CollectionCosts!M82)</f>
        <v>0</v>
      </c>
      <c r="R102" s="142">
        <f>IF(R8="None",0,CollectionCosts!T82)</f>
        <v>0</v>
      </c>
      <c r="S102" s="142">
        <f>IF(S8="None",0,CollectionCosts!AA82)</f>
        <v>0</v>
      </c>
      <c r="T102" s="142">
        <f>IF(T8&gt;-1,CollectionCosts!AH82,0)</f>
        <v>230715.11811420412</v>
      </c>
      <c r="U102" s="142"/>
      <c r="V102" s="142"/>
      <c r="W102" s="142"/>
      <c r="X102" s="142">
        <f>IF(X8&gt;0,CollectionCosts!AO82,0)</f>
        <v>0</v>
      </c>
      <c r="Y102" s="142"/>
      <c r="Z102" s="142"/>
      <c r="AA102" s="142"/>
      <c r="AB102" s="142"/>
      <c r="AC102" s="142"/>
      <c r="AD102" s="157">
        <f t="shared" si="14"/>
        <v>36756848.485070691</v>
      </c>
      <c r="AE102" s="50"/>
    </row>
    <row r="103" spans="1:31">
      <c r="A103" s="143">
        <f>EconomicInputs!A41</f>
        <v>2015</v>
      </c>
      <c r="B103" s="142">
        <f>IF(B9&gt;0,CollectionCosts!F23,0)</f>
        <v>18159850.598878577</v>
      </c>
      <c r="C103" s="142">
        <f>IF(C9&gt;0,CollectionCosts!M23,0)</f>
        <v>5261458.0900071943</v>
      </c>
      <c r="D103" s="142">
        <f>IF(D9&gt;0,CollectionCosts!T23,0)</f>
        <v>1286952.0135997422</v>
      </c>
      <c r="E103" s="142">
        <f>IF(E9&gt;0,CollectionCosts!AA23,0)</f>
        <v>0</v>
      </c>
      <c r="F103" s="142">
        <f>IF(F9&gt;0,CollectionCosts!AH23,0)</f>
        <v>3490747.5736531871</v>
      </c>
      <c r="G103" s="142">
        <f>IF(G9&gt;0,CollectionCosts!AO23,0)</f>
        <v>7048651.857579248</v>
      </c>
      <c r="H103" s="142">
        <f>IF(H9&gt;-1,CollectionCosts!F53,0)</f>
        <v>1214168.9239184542</v>
      </c>
      <c r="I103" s="142">
        <f>IF(I9&gt;0,CollectionCosts!M53,0)</f>
        <v>0</v>
      </c>
      <c r="J103" s="142">
        <f>IF(J9&gt;0,CollectionCosts!T53,0)</f>
        <v>0</v>
      </c>
      <c r="K103" s="142">
        <f>IF(K9&gt;0,CollectionCosts!AA53,0)</f>
        <v>0</v>
      </c>
      <c r="L103" s="142">
        <f>IF(L9&gt;0,CollectionCosts!AH53,0)</f>
        <v>0</v>
      </c>
      <c r="M103" s="142">
        <f>IF(M9&gt;0,CollectionCosts!AO53,0)</f>
        <v>0</v>
      </c>
      <c r="N103" s="142">
        <f>IF(N9&gt;0,CollectionCosts!F114,0)</f>
        <v>488672.31468132004</v>
      </c>
      <c r="O103" s="142">
        <f>IF(O9&gt;0,CollectionCosts!M114,0)</f>
        <v>0</v>
      </c>
      <c r="P103" s="142">
        <f>IF(P9&gt;0,CollectionCosts!F83,0)</f>
        <v>0</v>
      </c>
      <c r="Q103" s="142">
        <f>IF(Q9="None",0,CollectionCosts!M83)</f>
        <v>0</v>
      </c>
      <c r="R103" s="142">
        <f>IF(R9="None",0,CollectionCosts!T83)</f>
        <v>0</v>
      </c>
      <c r="S103" s="142">
        <f>IF(S9="None",0,CollectionCosts!AA83)</f>
        <v>0</v>
      </c>
      <c r="T103" s="142">
        <f>IF(T9&gt;-1,CollectionCosts!AH83,0)</f>
        <v>246634.78548227073</v>
      </c>
      <c r="U103" s="142"/>
      <c r="V103" s="142"/>
      <c r="W103" s="142"/>
      <c r="X103" s="142">
        <f>IF(X9&gt;0,CollectionCosts!AO83,0)</f>
        <v>0</v>
      </c>
      <c r="Y103" s="142"/>
      <c r="Z103" s="142"/>
      <c r="AA103" s="142"/>
      <c r="AB103" s="142"/>
      <c r="AC103" s="142"/>
      <c r="AD103" s="157">
        <f t="shared" si="14"/>
        <v>37197136.157799996</v>
      </c>
      <c r="AE103" s="50"/>
    </row>
    <row r="104" spans="1:31">
      <c r="A104" s="143">
        <f>EconomicInputs!A42</f>
        <v>2016</v>
      </c>
      <c r="B104" s="142">
        <f>IF(B10&gt;0,CollectionCosts!F24,0)</f>
        <v>18347929.821161404</v>
      </c>
      <c r="C104" s="142">
        <f>IF(C10&gt;0,CollectionCosts!M24,0)</f>
        <v>5341756.6606225017</v>
      </c>
      <c r="D104" s="142">
        <f>IF(D10&gt;0,CollectionCosts!T24,0)</f>
        <v>1317859.7561598981</v>
      </c>
      <c r="E104" s="142">
        <f>IF(E10&gt;0,CollectionCosts!AA24,0)</f>
        <v>0</v>
      </c>
      <c r="F104" s="142">
        <f>IF(F10&gt;0,CollectionCosts!AH24,0)</f>
        <v>3599590.9300373918</v>
      </c>
      <c r="G104" s="142">
        <f>IF(G10&gt;0,CollectionCosts!AO24,0)</f>
        <v>7279209.2888512425</v>
      </c>
      <c r="H104" s="142">
        <f>IF(H10&gt;-1,CollectionCosts!F54,0)</f>
        <v>1241860.7652703249</v>
      </c>
      <c r="I104" s="142">
        <f>IF(I10&gt;0,CollectionCosts!M54,0)</f>
        <v>0</v>
      </c>
      <c r="J104" s="142">
        <f>IF(J10&gt;0,CollectionCosts!T54,0)</f>
        <v>0</v>
      </c>
      <c r="K104" s="142">
        <f>IF(K10&gt;0,CollectionCosts!AA54,0)</f>
        <v>0</v>
      </c>
      <c r="L104" s="142">
        <f>IF(L10&gt;0,CollectionCosts!AH54,0)</f>
        <v>0</v>
      </c>
      <c r="M104" s="142">
        <f>IF(M10&gt;0,CollectionCosts!AO54,0)</f>
        <v>0</v>
      </c>
      <c r="N104" s="142">
        <f>IF(N10&gt;0,CollectionCosts!F115,0)</f>
        <v>508120.49780183996</v>
      </c>
      <c r="O104" s="142">
        <f>IF(O10&gt;0,CollectionCosts!M115,0)</f>
        <v>0</v>
      </c>
      <c r="P104" s="142">
        <f>IF(P10&gt;0,CollectionCosts!F84,0)</f>
        <v>0</v>
      </c>
      <c r="Q104" s="142">
        <f>IF(Q10="None",0,CollectionCosts!M84)</f>
        <v>0</v>
      </c>
      <c r="R104" s="142">
        <f>IF(R10="None",0,CollectionCosts!T84)</f>
        <v>0</v>
      </c>
      <c r="S104" s="142">
        <f>IF(S10="None",0,CollectionCosts!AA84)</f>
        <v>0</v>
      </c>
      <c r="T104" s="142">
        <f>IF(T10&gt;-1,CollectionCosts!AH84,0)</f>
        <v>259031.01788132539</v>
      </c>
      <c r="U104" s="142"/>
      <c r="V104" s="142"/>
      <c r="W104" s="142"/>
      <c r="X104" s="142">
        <f>IF(X10&gt;0,CollectionCosts!AO84,0)</f>
        <v>0</v>
      </c>
      <c r="Y104" s="142"/>
      <c r="Z104" s="142"/>
      <c r="AA104" s="142"/>
      <c r="AB104" s="142"/>
      <c r="AC104" s="142"/>
      <c r="AD104" s="157">
        <f t="shared" si="14"/>
        <v>37895358.737785928</v>
      </c>
      <c r="AE104" s="50"/>
    </row>
    <row r="105" spans="1:31">
      <c r="A105" s="143">
        <f>EconomicInputs!A43</f>
        <v>2017</v>
      </c>
      <c r="B105" s="142">
        <f>IF(B11&gt;0,CollectionCosts!F25,0)</f>
        <v>22999191.174924746</v>
      </c>
      <c r="C105" s="142">
        <f>IF(C11&gt;0,CollectionCosts!M25,0)</f>
        <v>5410168.7706267657</v>
      </c>
      <c r="D105" s="142">
        <f>IF(D11&gt;0,CollectionCosts!T25,0)</f>
        <v>1347618.7564646541</v>
      </c>
      <c r="E105" s="142">
        <f>IF(E11&gt;0,CollectionCosts!AA25,0)</f>
        <v>0</v>
      </c>
      <c r="F105" s="142">
        <f>IF(F11&gt;0,CollectionCosts!AH25,0)</f>
        <v>3711829.6523982156</v>
      </c>
      <c r="G105" s="142">
        <f>IF(G11&gt;0,CollectionCosts!AO25,0)</f>
        <v>7517446.1809078865</v>
      </c>
      <c r="H105" s="142">
        <f>IF(H11&gt;-1,CollectionCosts!F55,0)</f>
        <v>1273676.5951820808</v>
      </c>
      <c r="I105" s="142">
        <f>IF(I11&gt;0,CollectionCosts!M55,0)</f>
        <v>0</v>
      </c>
      <c r="J105" s="142">
        <f>IF(J11&gt;0,CollectionCosts!T55,0)</f>
        <v>0</v>
      </c>
      <c r="K105" s="142">
        <f>IF(K11&gt;0,CollectionCosts!AA55,0)</f>
        <v>0</v>
      </c>
      <c r="L105" s="142">
        <f>IF(L11&gt;0,CollectionCosts!AH55,0)</f>
        <v>0</v>
      </c>
      <c r="M105" s="142">
        <f>IF(M11&gt;0,CollectionCosts!AO55,0)</f>
        <v>0</v>
      </c>
      <c r="N105" s="142">
        <f>IF(N11&gt;0,CollectionCosts!F116,0)</f>
        <v>526315.59531012003</v>
      </c>
      <c r="O105" s="142">
        <f>IF(O11&gt;0,CollectionCosts!M116,0)</f>
        <v>0</v>
      </c>
      <c r="P105" s="142">
        <f>IF(P11&gt;0,CollectionCosts!F85,0)</f>
        <v>0</v>
      </c>
      <c r="Q105" s="142">
        <f>IF(Q11="None",0,CollectionCosts!M85)</f>
        <v>0</v>
      </c>
      <c r="R105" s="142">
        <f>IF(R11="None",0,CollectionCosts!T85)</f>
        <v>0</v>
      </c>
      <c r="S105" s="142">
        <f>IF(S11="None",0,CollectionCosts!AA85)</f>
        <v>0</v>
      </c>
      <c r="T105" s="142">
        <f>IF(T11&gt;-1,CollectionCosts!AH85,0)</f>
        <v>273720.4190553138</v>
      </c>
      <c r="U105" s="142"/>
      <c r="V105" s="142"/>
      <c r="W105" s="142"/>
      <c r="X105" s="142">
        <f>IF(X11&gt;0,CollectionCosts!AO85,0)</f>
        <v>0</v>
      </c>
      <c r="Y105" s="142"/>
      <c r="Z105" s="142"/>
      <c r="AA105" s="142"/>
      <c r="AB105" s="142"/>
      <c r="AC105" s="142"/>
      <c r="AD105" s="157">
        <f t="shared" si="14"/>
        <v>43059967.144869782</v>
      </c>
      <c r="AE105" s="50"/>
    </row>
    <row r="106" spans="1:31">
      <c r="A106" s="143">
        <f>EconomicInputs!A44</f>
        <v>2018</v>
      </c>
      <c r="B106" s="142">
        <f>IF(B12&gt;0,CollectionCosts!F26,0)</f>
        <v>23107462.477724135</v>
      </c>
      <c r="C106" s="142">
        <f>IF(C12&gt;0,CollectionCosts!M26,0)</f>
        <v>5486244.0074692778</v>
      </c>
      <c r="D106" s="142">
        <f>IF(D12&gt;0,CollectionCosts!T26,0)</f>
        <v>1379814.3703810906</v>
      </c>
      <c r="E106" s="142">
        <f>IF(E12&gt;0,CollectionCosts!AA26,0)</f>
        <v>0</v>
      </c>
      <c r="F106" s="142">
        <f>IF(F12&gt;0,CollectionCosts!AH26,0)</f>
        <v>3827569.6985037299</v>
      </c>
      <c r="G106" s="142">
        <f>IF(G12&gt;0,CollectionCosts!AO26,0)</f>
        <v>7763622.0425251387</v>
      </c>
      <c r="H106" s="142">
        <f>IF(H12&gt;-1,CollectionCosts!F56,0)</f>
        <v>1301798.0663394504</v>
      </c>
      <c r="I106" s="142">
        <f>IF(I12&gt;0,CollectionCosts!M56,0)</f>
        <v>0</v>
      </c>
      <c r="J106" s="142">
        <f>IF(J12&gt;0,CollectionCosts!T56,0)</f>
        <v>0</v>
      </c>
      <c r="K106" s="142">
        <f>IF(K12&gt;0,CollectionCosts!AA56,0)</f>
        <v>0</v>
      </c>
      <c r="L106" s="142">
        <f>IF(L12&gt;0,CollectionCosts!AH56,0)</f>
        <v>0</v>
      </c>
      <c r="M106" s="142">
        <f>IF(M12&gt;0,CollectionCosts!AO56,0)</f>
        <v>0</v>
      </c>
      <c r="N106" s="142">
        <f>IF(N12&gt;0,CollectionCosts!F117,0)</f>
        <v>545268.12253451999</v>
      </c>
      <c r="O106" s="142">
        <f>IF(O12&gt;0,CollectionCosts!M117,0)</f>
        <v>0</v>
      </c>
      <c r="P106" s="142">
        <f>IF(P12&gt;0,CollectionCosts!F86,0)</f>
        <v>0</v>
      </c>
      <c r="Q106" s="142">
        <f>IF(Q12="None",0,CollectionCosts!M86)</f>
        <v>0</v>
      </c>
      <c r="R106" s="142">
        <f>IF(R12="None",0,CollectionCosts!T86)</f>
        <v>0</v>
      </c>
      <c r="S106" s="142">
        <f>IF(S12="None",0,CollectionCosts!AA86)</f>
        <v>0</v>
      </c>
      <c r="T106" s="142">
        <f>IF(T12&gt;-1,CollectionCosts!AH86,0)</f>
        <v>288496.64642211306</v>
      </c>
      <c r="U106" s="142"/>
      <c r="V106" s="142"/>
      <c r="W106" s="142"/>
      <c r="X106" s="142">
        <f>IF(X12&gt;0,CollectionCosts!AO86,0)</f>
        <v>0</v>
      </c>
      <c r="Y106" s="142"/>
      <c r="Z106" s="142"/>
      <c r="AA106" s="142"/>
      <c r="AB106" s="142"/>
      <c r="AC106" s="142"/>
      <c r="AD106" s="157">
        <f t="shared" si="14"/>
        <v>43700275.431899458</v>
      </c>
      <c r="AE106" s="50"/>
    </row>
    <row r="107" spans="1:31">
      <c r="A107" s="143">
        <f>EconomicInputs!A45</f>
        <v>2019</v>
      </c>
      <c r="B107" s="142">
        <f>IF(B13&gt;0,CollectionCosts!F27,0)</f>
        <v>23216528.623326033</v>
      </c>
      <c r="C107" s="142">
        <f>IF(C13&gt;0,CollectionCosts!M27,0)</f>
        <v>5573146.866590309</v>
      </c>
      <c r="D107" s="142">
        <f>IF(D13&gt;0,CollectionCosts!T27,0)</f>
        <v>1414326.7751373842</v>
      </c>
      <c r="E107" s="142">
        <f>IF(E13&gt;0,CollectionCosts!AA27,0)</f>
        <v>0</v>
      </c>
      <c r="F107" s="142">
        <f>IF(F13&gt;0,CollectionCosts!AH27,0)</f>
        <v>3946920.3336888016</v>
      </c>
      <c r="G107" s="142">
        <f>IF(G13&gt;0,CollectionCosts!AO27,0)</f>
        <v>8018005.2503579091</v>
      </c>
      <c r="H107" s="142">
        <f>IF(H13&gt;-1,CollectionCosts!F57,0)</f>
        <v>1328445.0227843546</v>
      </c>
      <c r="I107" s="142">
        <f>IF(I13&gt;0,CollectionCosts!M57,0)</f>
        <v>0</v>
      </c>
      <c r="J107" s="142">
        <f>IF(J13&gt;0,CollectionCosts!T57,0)</f>
        <v>0</v>
      </c>
      <c r="K107" s="142">
        <f>IF(K13&gt;0,CollectionCosts!AA57,0)</f>
        <v>0</v>
      </c>
      <c r="L107" s="142">
        <f>IF(L13&gt;0,CollectionCosts!AH57,0)</f>
        <v>0</v>
      </c>
      <c r="M107" s="142">
        <f>IF(M13&gt;0,CollectionCosts!AO57,0)</f>
        <v>0</v>
      </c>
      <c r="N107" s="142">
        <f>IF(N13&gt;0,CollectionCosts!F118,0)</f>
        <v>565981.40719890001</v>
      </c>
      <c r="O107" s="142">
        <f>IF(O13&gt;0,CollectionCosts!M118,0)</f>
        <v>0</v>
      </c>
      <c r="P107" s="142">
        <f>IF(P13&gt;0,CollectionCosts!F87,0)</f>
        <v>0</v>
      </c>
      <c r="Q107" s="142">
        <f>IF(Q13="None",0,CollectionCosts!M87)</f>
        <v>0</v>
      </c>
      <c r="R107" s="142">
        <f>IF(R13="None",0,CollectionCosts!T87)</f>
        <v>0</v>
      </c>
      <c r="S107" s="142">
        <f>IF(S13="None",0,CollectionCosts!AA87)</f>
        <v>0</v>
      </c>
      <c r="T107" s="142">
        <f>IF(T13&gt;-1,CollectionCosts!AH87,0)</f>
        <v>301559.02048717771</v>
      </c>
      <c r="U107" s="142"/>
      <c r="V107" s="142"/>
      <c r="W107" s="142"/>
      <c r="X107" s="142">
        <f>IF(X13&gt;0,CollectionCosts!AO87,0)</f>
        <v>0</v>
      </c>
      <c r="Y107" s="142"/>
      <c r="Z107" s="142"/>
      <c r="AA107" s="142"/>
      <c r="AB107" s="142"/>
      <c r="AC107" s="142"/>
      <c r="AD107" s="157">
        <f t="shared" si="14"/>
        <v>44364913.299570866</v>
      </c>
      <c r="AE107" s="50"/>
    </row>
    <row r="108" spans="1:31">
      <c r="A108" s="143">
        <f>EconomicInputs!A46</f>
        <v>2020</v>
      </c>
      <c r="B108" s="142">
        <f>IF(B14&gt;0,CollectionCosts!F28,0)</f>
        <v>23323198.115970843</v>
      </c>
      <c r="C108" s="142">
        <f>IF(C14&gt;0,CollectionCosts!M28,0)</f>
        <v>5665597.3487253953</v>
      </c>
      <c r="D108" s="142">
        <f>IF(D14&gt;0,CollectionCosts!T28,0)</f>
        <v>1450400.4000492275</v>
      </c>
      <c r="E108" s="142">
        <f>IF(E14&gt;0,CollectionCosts!AA28,0)</f>
        <v>0</v>
      </c>
      <c r="F108" s="142">
        <f>IF(F14&gt;0,CollectionCosts!AH28,0)</f>
        <v>4069994.2341284682</v>
      </c>
      <c r="G108" s="142">
        <f>IF(G14&gt;0,CollectionCosts!AO28,0)</f>
        <v>8280873.3545376258</v>
      </c>
      <c r="H108" s="142">
        <f>IF(H14&gt;-1,CollectionCosts!F58,0)</f>
        <v>1354632.1848705579</v>
      </c>
      <c r="I108" s="142">
        <f>IF(I14&gt;0,CollectionCosts!M58,0)</f>
        <v>0</v>
      </c>
      <c r="J108" s="142">
        <f>IF(J14&gt;0,CollectionCosts!T58,0)</f>
        <v>0</v>
      </c>
      <c r="K108" s="142">
        <f>IF(K14&gt;0,CollectionCosts!AA58,0)</f>
        <v>0</v>
      </c>
      <c r="L108" s="142">
        <f>IF(L14&gt;0,CollectionCosts!AH58,0)</f>
        <v>0</v>
      </c>
      <c r="M108" s="142">
        <f>IF(M14&gt;0,CollectionCosts!AO58,0)</f>
        <v>0</v>
      </c>
      <c r="N108" s="142">
        <f>IF(N14&gt;0,CollectionCosts!F119,0)</f>
        <v>586574.34776555991</v>
      </c>
      <c r="O108" s="142">
        <f>IF(O14&gt;0,CollectionCosts!M119,0)</f>
        <v>0</v>
      </c>
      <c r="P108" s="142">
        <f>IF(P14&gt;0,CollectionCosts!F88,0)</f>
        <v>0</v>
      </c>
      <c r="Q108" s="142">
        <f>IF(Q14="None",0,CollectionCosts!M88)</f>
        <v>0</v>
      </c>
      <c r="R108" s="142">
        <f>IF(R14="None",0,CollectionCosts!T88)</f>
        <v>0</v>
      </c>
      <c r="S108" s="142">
        <f>IF(S14="None",0,CollectionCosts!AA88)</f>
        <v>0</v>
      </c>
      <c r="T108" s="142">
        <f>IF(T14&gt;-1,CollectionCosts!AH88,0)</f>
        <v>314105.67570679326</v>
      </c>
      <c r="U108" s="142"/>
      <c r="V108" s="142"/>
      <c r="W108" s="142"/>
      <c r="X108" s="142">
        <f>IF(X14&gt;0,CollectionCosts!AO88,0)</f>
        <v>0</v>
      </c>
      <c r="Y108" s="142"/>
      <c r="Z108" s="142"/>
      <c r="AA108" s="142"/>
      <c r="AB108" s="142"/>
      <c r="AC108" s="142"/>
      <c r="AD108" s="157">
        <f t="shared" si="14"/>
        <v>45045375.661754474</v>
      </c>
      <c r="AE108" s="50"/>
    </row>
    <row r="109" spans="1:31">
      <c r="A109" s="143">
        <f>EconomicInputs!A47</f>
        <v>2021</v>
      </c>
      <c r="B109" s="142">
        <f>IF(B15&gt;0,CollectionCosts!F29,0)</f>
        <v>23416263.877124157</v>
      </c>
      <c r="C109" s="142">
        <f>IF(C15&gt;0,CollectionCosts!M29,0)</f>
        <v>5763635.6997092431</v>
      </c>
      <c r="D109" s="142">
        <f>IF(D15&gt;0,CollectionCosts!T29,0)</f>
        <v>1488054.5372158473</v>
      </c>
      <c r="E109" s="142">
        <f>IF(E15&gt;0,CollectionCosts!AA29,0)</f>
        <v>0</v>
      </c>
      <c r="F109" s="142">
        <f>IF(F15&gt;0,CollectionCosts!AH29,0)</f>
        <v>4196158.6910346011</v>
      </c>
      <c r="G109" s="142">
        <f>IF(G15&gt;0,CollectionCosts!AO29,0)</f>
        <v>8552513.3948672954</v>
      </c>
      <c r="H109" s="142">
        <f>IF(H15&gt;-1,CollectionCosts!F59,0)</f>
        <v>1380392.9851357874</v>
      </c>
      <c r="I109" s="142">
        <f>IF(I15&gt;0,CollectionCosts!M59,0)</f>
        <v>0</v>
      </c>
      <c r="J109" s="142">
        <f>IF(J15&gt;0,CollectionCosts!T59,0)</f>
        <v>0</v>
      </c>
      <c r="K109" s="142">
        <f>IF(K15&gt;0,CollectionCosts!AA59,0)</f>
        <v>0</v>
      </c>
      <c r="L109" s="142">
        <f>IF(L15&gt;0,CollectionCosts!AH59,0)</f>
        <v>0</v>
      </c>
      <c r="M109" s="142">
        <f>IF(M15&gt;0,CollectionCosts!AO59,0)</f>
        <v>0</v>
      </c>
      <c r="N109" s="142">
        <f>IF(N15&gt;0,CollectionCosts!F120,0)</f>
        <v>606579.11335560004</v>
      </c>
      <c r="O109" s="142">
        <f>IF(O15&gt;0,CollectionCosts!M120,0)</f>
        <v>0</v>
      </c>
      <c r="P109" s="142">
        <f>IF(P15&gt;0,CollectionCosts!F89,0)</f>
        <v>0</v>
      </c>
      <c r="Q109" s="142">
        <f>IF(Q15="None",0,CollectionCosts!M89)</f>
        <v>0</v>
      </c>
      <c r="R109" s="142">
        <f>IF(R15="None",0,CollectionCosts!T89)</f>
        <v>0</v>
      </c>
      <c r="S109" s="142">
        <f>IF(S15="None",0,CollectionCosts!AA89)</f>
        <v>0</v>
      </c>
      <c r="T109" s="142">
        <f>IF(T15&gt;-1,CollectionCosts!AH89,0)</f>
        <v>326134.4181262636</v>
      </c>
      <c r="U109" s="142"/>
      <c r="V109" s="142"/>
      <c r="W109" s="142"/>
      <c r="X109" s="142">
        <f>IF(X15&gt;0,CollectionCosts!AO89,0)</f>
        <v>0</v>
      </c>
      <c r="Y109" s="142"/>
      <c r="Z109" s="142"/>
      <c r="AA109" s="142"/>
      <c r="AB109" s="142"/>
      <c r="AC109" s="142"/>
      <c r="AD109" s="157">
        <f t="shared" si="14"/>
        <v>45729732.71656879</v>
      </c>
      <c r="AE109" s="50"/>
    </row>
    <row r="110" spans="1:31">
      <c r="A110" s="143">
        <f>EconomicInputs!A48</f>
        <v>2022</v>
      </c>
      <c r="B110" s="142">
        <f>IF(B16&gt;0,CollectionCosts!F30,0)</f>
        <v>23498410.692613482</v>
      </c>
      <c r="C110" s="142">
        <f>IF(C16&gt;0,CollectionCosts!M30,0)</f>
        <v>5867860.0945191495</v>
      </c>
      <c r="D110" s="142">
        <f>IF(D16&gt;0,CollectionCosts!T30,0)</f>
        <v>1527357.0975684219</v>
      </c>
      <c r="E110" s="142">
        <f>IF(E16&gt;0,CollectionCosts!AA30,0)</f>
        <v>0</v>
      </c>
      <c r="F110" s="142">
        <f>IF(F16&gt;0,CollectionCosts!AH30,0)</f>
        <v>4326235.7552527767</v>
      </c>
      <c r="G110" s="142">
        <f>IF(G16&gt;0,CollectionCosts!AO30,0)</f>
        <v>8833222.2279831395</v>
      </c>
      <c r="H110" s="142">
        <f>IF(H16&gt;-1,CollectionCosts!F60,0)</f>
        <v>1405573.9330106047</v>
      </c>
      <c r="I110" s="142">
        <f>IF(I16&gt;0,CollectionCosts!M60,0)</f>
        <v>0</v>
      </c>
      <c r="J110" s="142">
        <f>IF(J16&gt;0,CollectionCosts!T60,0)</f>
        <v>0</v>
      </c>
      <c r="K110" s="142">
        <f>IF(K16&gt;0,CollectionCosts!AA60,0)</f>
        <v>0</v>
      </c>
      <c r="L110" s="142">
        <f>IF(L16&gt;0,CollectionCosts!AH60,0)</f>
        <v>0</v>
      </c>
      <c r="M110" s="142">
        <f>IF(M16&gt;0,CollectionCosts!AO60,0)</f>
        <v>0</v>
      </c>
      <c r="N110" s="142">
        <f>IF(N16&gt;0,CollectionCosts!F121,0)</f>
        <v>627822.82363878004</v>
      </c>
      <c r="O110" s="142">
        <f>IF(O16&gt;0,CollectionCosts!M121,0)</f>
        <v>0</v>
      </c>
      <c r="P110" s="142">
        <f>IF(P16&gt;0,CollectionCosts!F90,0)</f>
        <v>0</v>
      </c>
      <c r="Q110" s="142">
        <f>IF(Q16="None",0,CollectionCosts!M90)</f>
        <v>0</v>
      </c>
      <c r="R110" s="142">
        <f>IF(R16="None",0,CollectionCosts!T90)</f>
        <v>0</v>
      </c>
      <c r="S110" s="142">
        <f>IF(S16="None",0,CollectionCosts!AA90)</f>
        <v>0</v>
      </c>
      <c r="T110" s="142">
        <f>IF(T16&gt;-1,CollectionCosts!AH90,0)</f>
        <v>337695.10037049535</v>
      </c>
      <c r="U110" s="142"/>
      <c r="V110" s="142"/>
      <c r="W110" s="142"/>
      <c r="X110" s="142">
        <f>IF(X16&gt;0,CollectionCosts!AO90,0)</f>
        <v>0</v>
      </c>
      <c r="Y110" s="142"/>
      <c r="Z110" s="142"/>
      <c r="AA110" s="142"/>
      <c r="AB110" s="142"/>
      <c r="AC110" s="142"/>
      <c r="AD110" s="157">
        <f t="shared" si="14"/>
        <v>46424177.724956855</v>
      </c>
      <c r="AE110" s="50"/>
    </row>
    <row r="111" spans="1:31">
      <c r="A111" s="143">
        <f>EconomicInputs!A49</f>
        <v>2023</v>
      </c>
      <c r="B111" s="142">
        <f>IF(B17&gt;0,CollectionCosts!F31,0)</f>
        <v>23572177.469975784</v>
      </c>
      <c r="C111" s="142">
        <f>IF(C17&gt;0,CollectionCosts!M31,0)</f>
        <v>5978648.634895321</v>
      </c>
      <c r="D111" s="142">
        <f>IF(D17&gt;0,CollectionCosts!T31,0)</f>
        <v>1568362.8192980087</v>
      </c>
      <c r="E111" s="142">
        <f>IF(E17&gt;0,CollectionCosts!AA31,0)</f>
        <v>0</v>
      </c>
      <c r="F111" s="142">
        <f>IF(F17&gt;0,CollectionCosts!AH31,0)</f>
        <v>4460346.806389926</v>
      </c>
      <c r="G111" s="142">
        <f>IF(G17&gt;0,CollectionCosts!AO31,0)</f>
        <v>9123306.8658649847</v>
      </c>
      <c r="H111" s="142">
        <f>IF(H17&gt;-1,CollectionCosts!F61,0)</f>
        <v>1430081.1753689614</v>
      </c>
      <c r="I111" s="142">
        <f>IF(I17&gt;0,CollectionCosts!M61,0)</f>
        <v>0</v>
      </c>
      <c r="J111" s="142">
        <f>IF(J17&gt;0,CollectionCosts!T61,0)</f>
        <v>0</v>
      </c>
      <c r="K111" s="142">
        <f>IF(K17&gt;0,CollectionCosts!AA61,0)</f>
        <v>0</v>
      </c>
      <c r="L111" s="142">
        <f>IF(L17&gt;0,CollectionCosts!AH61,0)</f>
        <v>0</v>
      </c>
      <c r="M111" s="142">
        <f>IF(M17&gt;0,CollectionCosts!AO61,0)</f>
        <v>0</v>
      </c>
      <c r="N111" s="142">
        <f>IF(N17&gt;0,CollectionCosts!F122,0)</f>
        <v>651132.48370631994</v>
      </c>
      <c r="O111" s="142">
        <f>IF(O17&gt;0,CollectionCosts!M122,0)</f>
        <v>0</v>
      </c>
      <c r="P111" s="142">
        <f>IF(P17&gt;0,CollectionCosts!F91,0)</f>
        <v>0</v>
      </c>
      <c r="Q111" s="142">
        <f>IF(Q17="None",0,CollectionCosts!M91)</f>
        <v>0</v>
      </c>
      <c r="R111" s="142">
        <f>IF(R17="None",0,CollectionCosts!T91)</f>
        <v>0</v>
      </c>
      <c r="S111" s="142">
        <f>IF(S17="None",0,CollectionCosts!AA91)</f>
        <v>0</v>
      </c>
      <c r="T111" s="142">
        <f>IF(T17&gt;-1,CollectionCosts!AH91,0)</f>
        <v>348817.25448287878</v>
      </c>
      <c r="U111" s="142"/>
      <c r="V111" s="142"/>
      <c r="W111" s="142"/>
      <c r="X111" s="142">
        <f>IF(X17&gt;0,CollectionCosts!AO91,0)</f>
        <v>0</v>
      </c>
      <c r="Y111" s="142"/>
      <c r="Z111" s="142"/>
      <c r="AA111" s="142"/>
      <c r="AB111" s="142"/>
      <c r="AC111" s="142"/>
      <c r="AD111" s="157">
        <f t="shared" si="14"/>
        <v>47132873.509982191</v>
      </c>
      <c r="AE111" s="50"/>
    </row>
    <row r="112" spans="1:31">
      <c r="A112" s="143">
        <f>EconomicInputs!A50</f>
        <v>2024</v>
      </c>
      <c r="B112" s="142">
        <f>IF(B18&gt;0,CollectionCosts!F32,0)</f>
        <v>23637747.197571948</v>
      </c>
      <c r="C112" s="142">
        <f>IF(C18&gt;0,CollectionCosts!M32,0)</f>
        <v>6095505.0344451517</v>
      </c>
      <c r="D112" s="142">
        <f>IF(D18&gt;0,CollectionCosts!T32,0)</f>
        <v>1611031.1539837646</v>
      </c>
      <c r="E112" s="142">
        <f>IF(E18&gt;0,CollectionCosts!AA32,0)</f>
        <v>0</v>
      </c>
      <c r="F112" s="142">
        <f>IF(F18&gt;0,CollectionCosts!AH32,0)</f>
        <v>4598616.9906263398</v>
      </c>
      <c r="G112" s="142">
        <f>IF(G18&gt;0,CollectionCosts!AO32,0)</f>
        <v>9423084.8260908052</v>
      </c>
      <c r="H112" s="142">
        <f>IF(H18&gt;-1,CollectionCosts!F62,0)</f>
        <v>1454047.9937107859</v>
      </c>
      <c r="I112" s="142">
        <f>IF(I18&gt;0,CollectionCosts!M62,0)</f>
        <v>0</v>
      </c>
      <c r="J112" s="142">
        <f>IF(J18&gt;0,CollectionCosts!T62,0)</f>
        <v>0</v>
      </c>
      <c r="K112" s="142">
        <f>IF(K18&gt;0,CollectionCosts!AA62,0)</f>
        <v>0</v>
      </c>
      <c r="L112" s="142">
        <f>IF(L18&gt;0,CollectionCosts!AH62,0)</f>
        <v>0</v>
      </c>
      <c r="M112" s="142">
        <f>IF(M18&gt;0,CollectionCosts!AO62,0)</f>
        <v>0</v>
      </c>
      <c r="N112" s="142">
        <f>IF(N18&gt;0,CollectionCosts!F123,0)</f>
        <v>675598.15749426</v>
      </c>
      <c r="O112" s="142">
        <f>IF(O18&gt;0,CollectionCosts!M123,0)</f>
        <v>0</v>
      </c>
      <c r="P112" s="142">
        <f>IF(P18&gt;0,CollectionCosts!F92,0)</f>
        <v>0</v>
      </c>
      <c r="Q112" s="142">
        <f>IF(Q18="None",0,CollectionCosts!M92)</f>
        <v>0</v>
      </c>
      <c r="R112" s="142">
        <f>IF(R18="None",0,CollectionCosts!T92)</f>
        <v>0</v>
      </c>
      <c r="S112" s="142">
        <f>IF(S18="None",0,CollectionCosts!AA92)</f>
        <v>0</v>
      </c>
      <c r="T112" s="142">
        <f>IF(T18&gt;-1,CollectionCosts!AH92,0)</f>
        <v>359574.06140530494</v>
      </c>
      <c r="U112" s="142"/>
      <c r="V112" s="142"/>
      <c r="W112" s="142"/>
      <c r="X112" s="142">
        <f>IF(X18&gt;0,CollectionCosts!AO92,0)</f>
        <v>0</v>
      </c>
      <c r="Y112" s="142"/>
      <c r="Z112" s="142"/>
      <c r="AA112" s="142"/>
      <c r="AB112" s="142"/>
      <c r="AC112" s="142"/>
      <c r="AD112" s="157">
        <f t="shared" si="14"/>
        <v>47855205.415328369</v>
      </c>
      <c r="AE112" s="50"/>
    </row>
    <row r="113" spans="1:68">
      <c r="A113" s="143">
        <f>EconomicInputs!A51</f>
        <v>2025</v>
      </c>
      <c r="B113" s="142">
        <f>IF(B19&gt;0,CollectionCosts!F33,0)</f>
        <v>23698922.7394384</v>
      </c>
      <c r="C113" s="142">
        <f>IF(C19&gt;0,CollectionCosts!M33,0)</f>
        <v>6217561.2835167572</v>
      </c>
      <c r="D113" s="142">
        <f>IF(D19&gt;0,CollectionCosts!T33,0)</f>
        <v>1655279.8454275792</v>
      </c>
      <c r="E113" s="142">
        <f>IF(E19&gt;0,CollectionCosts!AA33,0)</f>
        <v>0</v>
      </c>
      <c r="F113" s="142">
        <f>IF(F19&gt;0,CollectionCosts!AH33,0)</f>
        <v>4741175.3376238523</v>
      </c>
      <c r="G113" s="142">
        <f>IF(G19&gt;0,CollectionCosts!AO33,0)</f>
        <v>9732884.4942446854</v>
      </c>
      <c r="H113" s="142">
        <f>IF(H19&gt;-1,CollectionCosts!F63,0)</f>
        <v>1477709.5284187435</v>
      </c>
      <c r="I113" s="142">
        <f>IF(I19&gt;0,CollectionCosts!M63,0)</f>
        <v>0</v>
      </c>
      <c r="J113" s="142">
        <f>IF(J19&gt;0,CollectionCosts!T63,0)</f>
        <v>0</v>
      </c>
      <c r="K113" s="142">
        <f>IF(K19&gt;0,CollectionCosts!AA63,0)</f>
        <v>0</v>
      </c>
      <c r="L113" s="142">
        <f>IF(L19&gt;0,CollectionCosts!AH63,0)</f>
        <v>0</v>
      </c>
      <c r="M113" s="142">
        <f>IF(M19&gt;0,CollectionCosts!AO63,0)</f>
        <v>0</v>
      </c>
      <c r="N113" s="142">
        <f>IF(N19&gt;0,CollectionCosts!F124,0)</f>
        <v>700994.61686099996</v>
      </c>
      <c r="O113" s="142">
        <f>IF(O19&gt;0,CollectionCosts!M124,0)</f>
        <v>0</v>
      </c>
      <c r="P113" s="142">
        <f>IF(P19&gt;0,CollectionCosts!F93,0)</f>
        <v>0</v>
      </c>
      <c r="Q113" s="142">
        <f>IF(Q19="None",0,CollectionCosts!M93)</f>
        <v>0</v>
      </c>
      <c r="R113" s="142">
        <f>IF(R19="None",0,CollectionCosts!T93)</f>
        <v>0</v>
      </c>
      <c r="S113" s="142">
        <f>IF(S19="None",0,CollectionCosts!AA93)</f>
        <v>0</v>
      </c>
      <c r="T113" s="142">
        <f>IF(T19&gt;-1,CollectionCosts!AH93,0)</f>
        <v>370056.68803699245</v>
      </c>
      <c r="U113" s="142"/>
      <c r="V113" s="142"/>
      <c r="W113" s="142"/>
      <c r="X113" s="142">
        <f>IF(X19&gt;0,CollectionCosts!AO93,0)</f>
        <v>0</v>
      </c>
      <c r="Y113" s="142"/>
      <c r="Z113" s="142"/>
      <c r="AA113" s="142"/>
      <c r="AB113" s="142"/>
      <c r="AC113" s="142"/>
      <c r="AD113" s="157">
        <f t="shared" si="14"/>
        <v>48594584.53356801</v>
      </c>
      <c r="AE113" s="50"/>
    </row>
    <row r="114" spans="1:68">
      <c r="A114" s="143">
        <f>EconomicInputs!A52</f>
        <v>2026</v>
      </c>
      <c r="B114" s="142">
        <f>IF(B20&gt;0,CollectionCosts!F34,0)</f>
        <v>23770694.328547552</v>
      </c>
      <c r="C114" s="142">
        <f>IF(C20&gt;0,CollectionCosts!M34,0)</f>
        <v>6343978.4491135683</v>
      </c>
      <c r="D114" s="142">
        <f>IF(D20&gt;0,CollectionCosts!T34,0)</f>
        <v>1701029.9389354156</v>
      </c>
      <c r="E114" s="142">
        <f>IF(E20&gt;0,CollectionCosts!AA34,0)</f>
        <v>0</v>
      </c>
      <c r="F114" s="142">
        <f>IF(F20&gt;0,CollectionCosts!AH34,0)</f>
        <v>4887341.3695650315</v>
      </c>
      <c r="G114" s="142">
        <f>IF(G20&gt;0,CollectionCosts!AO34,0)</f>
        <v>10053045.498901844</v>
      </c>
      <c r="H114" s="142">
        <f>IF(H20&gt;-1,CollectionCosts!F64,0)</f>
        <v>1501298.6369327863</v>
      </c>
      <c r="I114" s="142">
        <f>IF(I20&gt;0,CollectionCosts!M64,0)</f>
        <v>0</v>
      </c>
      <c r="J114" s="142">
        <f>IF(J20&gt;0,CollectionCosts!T64,0)</f>
        <v>0</v>
      </c>
      <c r="K114" s="142">
        <f>IF(K20&gt;0,CollectionCosts!AA64,0)</f>
        <v>0</v>
      </c>
      <c r="L114" s="142">
        <f>IF(L20&gt;0,CollectionCosts!AH64,0)</f>
        <v>0</v>
      </c>
      <c r="M114" s="142">
        <f>IF(M20&gt;0,CollectionCosts!AO64,0)</f>
        <v>0</v>
      </c>
      <c r="N114" s="142">
        <f>IF(N20&gt;0,CollectionCosts!F125,0)</f>
        <v>727818.33382104</v>
      </c>
      <c r="O114" s="142">
        <f>IF(O20&gt;0,CollectionCosts!M125,0)</f>
        <v>0</v>
      </c>
      <c r="P114" s="142">
        <f>IF(P20&gt;0,CollectionCosts!F94,0)</f>
        <v>0</v>
      </c>
      <c r="Q114" s="142">
        <f>IF(Q20="None",0,CollectionCosts!M94)</f>
        <v>0</v>
      </c>
      <c r="R114" s="142">
        <f>IF(R20="None",0,CollectionCosts!T94)</f>
        <v>0</v>
      </c>
      <c r="S114" s="142">
        <f>IF(S20="None",0,CollectionCosts!AA94)</f>
        <v>0</v>
      </c>
      <c r="T114" s="142">
        <f>IF(T20&gt;-1,CollectionCosts!AH94,0)</f>
        <v>380351.64234011085</v>
      </c>
      <c r="U114" s="142"/>
      <c r="V114" s="142"/>
      <c r="W114" s="142"/>
      <c r="X114" s="142">
        <f>IF(X20&gt;0,CollectionCosts!AO94,0)</f>
        <v>0</v>
      </c>
      <c r="Y114" s="142"/>
      <c r="Z114" s="142"/>
      <c r="AA114" s="142"/>
      <c r="AB114" s="142"/>
      <c r="AC114" s="142"/>
      <c r="AD114" s="157">
        <f t="shared" si="14"/>
        <v>49365558.198157348</v>
      </c>
      <c r="AE114" s="50"/>
    </row>
    <row r="115" spans="1:68">
      <c r="A115" s="143">
        <f>EconomicInputs!A53</f>
        <v>2027</v>
      </c>
      <c r="B115" s="142">
        <f>IF(B21&gt;0,CollectionCosts!F35,0)</f>
        <v>23857784.771637663</v>
      </c>
      <c r="C115" s="142">
        <f>IF(C21&gt;0,CollectionCosts!M35,0)</f>
        <v>6474624.266749138</v>
      </c>
      <c r="D115" s="142">
        <f>IF(D21&gt;0,CollectionCosts!T35,0)</f>
        <v>1748285.0958436178</v>
      </c>
      <c r="E115" s="142">
        <f>IF(E21&gt;0,CollectionCosts!AA35,0)</f>
        <v>0</v>
      </c>
      <c r="F115" s="142">
        <f>IF(F21&gt;0,CollectionCosts!AH35,0)</f>
        <v>5038015.3538419465</v>
      </c>
      <c r="G115" s="142">
        <f>IF(G21&gt;0,CollectionCosts!AO35,0)</f>
        <v>10383919.099629045</v>
      </c>
      <c r="H115" s="142">
        <f>IF(H21&gt;-1,CollectionCosts!F65,0)</f>
        <v>1524867.0196025139</v>
      </c>
      <c r="I115" s="142">
        <f>IF(I21&gt;0,CollectionCosts!M65,0)</f>
        <v>0</v>
      </c>
      <c r="J115" s="142">
        <f>IF(J21&gt;0,CollectionCosts!T65,0)</f>
        <v>0</v>
      </c>
      <c r="K115" s="142">
        <f>IF(K21&gt;0,CollectionCosts!AA65,0)</f>
        <v>0</v>
      </c>
      <c r="L115" s="142">
        <f>IF(L21&gt;0,CollectionCosts!AH65,0)</f>
        <v>0</v>
      </c>
      <c r="M115" s="142">
        <f>IF(M21&gt;0,CollectionCosts!AO65,0)</f>
        <v>0</v>
      </c>
      <c r="N115" s="142">
        <f>IF(N21&gt;0,CollectionCosts!F126,0)</f>
        <v>756189.57547979988</v>
      </c>
      <c r="O115" s="142">
        <f>IF(O21&gt;0,CollectionCosts!M126,0)</f>
        <v>0</v>
      </c>
      <c r="P115" s="142">
        <f>IF(P21&gt;0,CollectionCosts!F95,0)</f>
        <v>0</v>
      </c>
      <c r="Q115" s="142">
        <f>IF(Q21="None",0,CollectionCosts!M95)</f>
        <v>0</v>
      </c>
      <c r="R115" s="142">
        <f>IF(R21="None",0,CollectionCosts!T95)</f>
        <v>0</v>
      </c>
      <c r="S115" s="142">
        <f>IF(S21="None",0,CollectionCosts!AA95)</f>
        <v>0</v>
      </c>
      <c r="T115" s="142">
        <f>IF(T21&gt;-1,CollectionCosts!AH95,0)</f>
        <v>390496.18379044929</v>
      </c>
      <c r="U115" s="142"/>
      <c r="V115" s="142"/>
      <c r="W115" s="142"/>
      <c r="X115" s="142">
        <f>IF(X21&gt;0,CollectionCosts!AO95,0)</f>
        <v>0</v>
      </c>
      <c r="Y115" s="142"/>
      <c r="Z115" s="142"/>
      <c r="AA115" s="142"/>
      <c r="AB115" s="142"/>
      <c r="AC115" s="142"/>
      <c r="AD115" s="157">
        <f t="shared" si="14"/>
        <v>50174181.366574176</v>
      </c>
      <c r="AE115" s="50"/>
    </row>
    <row r="116" spans="1:68">
      <c r="A116" s="143">
        <f>EconomicInputs!A54</f>
        <v>2028</v>
      </c>
      <c r="B116" s="142">
        <f>IF(B22&gt;0,CollectionCosts!F36,0)</f>
        <v>23960599.906368159</v>
      </c>
      <c r="C116" s="142">
        <f>IF(C22&gt;0,CollectionCosts!M36,0)</f>
        <v>6609621.5344329942</v>
      </c>
      <c r="D116" s="142">
        <f>IF(D22&gt;0,CollectionCosts!T36,0)</f>
        <v>1797080.5607763811</v>
      </c>
      <c r="E116" s="142">
        <f>IF(E22&gt;0,CollectionCosts!AA36,0)</f>
        <v>0</v>
      </c>
      <c r="F116" s="142">
        <f>IF(F22&gt;0,CollectionCosts!AH36,0)</f>
        <v>5193336.3664506916</v>
      </c>
      <c r="G116" s="142">
        <f>IF(G22&gt;0,CollectionCosts!AO36,0)</f>
        <v>10725868.588454152</v>
      </c>
      <c r="H116" s="142">
        <f>IF(H22&gt;-1,CollectionCosts!F66,0)</f>
        <v>1548400.6822769914</v>
      </c>
      <c r="I116" s="142">
        <f>IF(I22&gt;0,CollectionCosts!M66,0)</f>
        <v>0</v>
      </c>
      <c r="J116" s="142">
        <f>IF(J22&gt;0,CollectionCosts!T66,0)</f>
        <v>0</v>
      </c>
      <c r="K116" s="142">
        <f>IF(K22&gt;0,CollectionCosts!AA66,0)</f>
        <v>0</v>
      </c>
      <c r="L116" s="142">
        <f>IF(L22&gt;0,CollectionCosts!AH66,0)</f>
        <v>0</v>
      </c>
      <c r="M116" s="142">
        <f>IF(M22&gt;0,CollectionCosts!AO66,0)</f>
        <v>0</v>
      </c>
      <c r="N116" s="142">
        <f>IF(N22&gt;0,CollectionCosts!F127,0)</f>
        <v>784963.58952396002</v>
      </c>
      <c r="O116" s="142">
        <f>IF(O22&gt;0,CollectionCosts!M127,0)</f>
        <v>0</v>
      </c>
      <c r="P116" s="142">
        <f>IF(P22&gt;0,CollectionCosts!F96,0)</f>
        <v>0</v>
      </c>
      <c r="Q116" s="142">
        <f>IF(Q22="None",0,CollectionCosts!M96)</f>
        <v>0</v>
      </c>
      <c r="R116" s="142">
        <f>IF(R22="None",0,CollectionCosts!T96)</f>
        <v>0</v>
      </c>
      <c r="S116" s="142">
        <f>IF(S22="None",0,CollectionCosts!AA96)</f>
        <v>0</v>
      </c>
      <c r="T116" s="142">
        <f>IF(T22&gt;-1,CollectionCosts!AH96,0)</f>
        <v>400506.74087017059</v>
      </c>
      <c r="U116" s="142"/>
      <c r="V116" s="142"/>
      <c r="W116" s="142"/>
      <c r="X116" s="142">
        <f>IF(X22&gt;0,CollectionCosts!AO96,0)</f>
        <v>0</v>
      </c>
      <c r="Y116" s="142"/>
      <c r="Z116" s="142"/>
      <c r="AA116" s="142"/>
      <c r="AB116" s="142"/>
      <c r="AC116" s="142"/>
      <c r="AD116" s="157">
        <f t="shared" si="14"/>
        <v>51020377.969153501</v>
      </c>
      <c r="AE116" s="50"/>
    </row>
    <row r="117" spans="1:68">
      <c r="A117" s="143">
        <f>EconomicInputs!A55</f>
        <v>2029</v>
      </c>
      <c r="B117" s="142">
        <f>IF(B23&gt;0,CollectionCosts!F37,0)</f>
        <v>24079483.680152021</v>
      </c>
      <c r="C117" s="142">
        <f>IF(C23&gt;0,CollectionCosts!M37,0)</f>
        <v>6748759.4579644855</v>
      </c>
      <c r="D117" s="142">
        <f>IF(D23&gt;0,CollectionCosts!T37,0)</f>
        <v>1847414.1086671802</v>
      </c>
      <c r="E117" s="142">
        <f>IF(E23&gt;0,CollectionCosts!AA37,0)</f>
        <v>0</v>
      </c>
      <c r="F117" s="142">
        <f>IF(F23&gt;0,CollectionCosts!AH37,0)</f>
        <v>5353447.775179253</v>
      </c>
      <c r="G117" s="142">
        <f>IF(G23&gt;0,CollectionCosts!AO37,0)</f>
        <v>11079269.705274425</v>
      </c>
      <c r="H117" s="142">
        <f>IF(H23&gt;-1,CollectionCosts!F67,0)</f>
        <v>1571974.2281136857</v>
      </c>
      <c r="I117" s="142">
        <f>IF(I23&gt;0,CollectionCosts!M67,0)</f>
        <v>0</v>
      </c>
      <c r="J117" s="142">
        <f>IF(J23&gt;0,CollectionCosts!T67,0)</f>
        <v>0</v>
      </c>
      <c r="K117" s="142">
        <f>IF(K23&gt;0,CollectionCosts!AA67,0)</f>
        <v>0</v>
      </c>
      <c r="L117" s="142">
        <f>IF(L23&gt;0,CollectionCosts!AH67,0)</f>
        <v>0</v>
      </c>
      <c r="M117" s="142">
        <f>IF(M23&gt;0,CollectionCosts!AO67,0)</f>
        <v>0</v>
      </c>
      <c r="N117" s="142">
        <f>IF(N23&gt;0,CollectionCosts!F128,0)</f>
        <v>814978.64245181996</v>
      </c>
      <c r="O117" s="142">
        <f>IF(O23&gt;0,CollectionCosts!M128,0)</f>
        <v>0</v>
      </c>
      <c r="P117" s="142">
        <f>IF(P23&gt;0,CollectionCosts!F97,0)</f>
        <v>0</v>
      </c>
      <c r="Q117" s="142">
        <f>IF(Q23="None",0,CollectionCosts!M97)</f>
        <v>0</v>
      </c>
      <c r="R117" s="142">
        <f>IF(R23="None",0,CollectionCosts!T97)</f>
        <v>0</v>
      </c>
      <c r="S117" s="142">
        <f>IF(S23="None",0,CollectionCosts!AA97)</f>
        <v>0</v>
      </c>
      <c r="T117" s="142">
        <f>IF(T23&gt;-1,CollectionCosts!AH97,0)</f>
        <v>410419.28515642224</v>
      </c>
      <c r="U117" s="142"/>
      <c r="V117" s="142"/>
      <c r="W117" s="142"/>
      <c r="X117" s="142">
        <f>IF(X23&gt;0,CollectionCosts!AO97,0)</f>
        <v>0</v>
      </c>
      <c r="Y117" s="142"/>
      <c r="Z117" s="142"/>
      <c r="AA117" s="142"/>
      <c r="AB117" s="142"/>
      <c r="AC117" s="142"/>
      <c r="AD117" s="157">
        <f t="shared" si="14"/>
        <v>51905746.882959299</v>
      </c>
      <c r="AE117" s="50"/>
    </row>
    <row r="118" spans="1:68">
      <c r="A118" s="143">
        <f>EconomicInputs!A56</f>
        <v>2030</v>
      </c>
      <c r="B118" s="142">
        <f>IF(B24&gt;0,CollectionCosts!F38,0)</f>
        <v>24214593.180135407</v>
      </c>
      <c r="C118" s="142">
        <f>IF(C24&gt;0,CollectionCosts!M38,0)</f>
        <v>6892859.9165732143</v>
      </c>
      <c r="D118" s="142">
        <f>IF(D24&gt;0,CollectionCosts!T38,0)</f>
        <v>1899406.8832789224</v>
      </c>
      <c r="E118" s="142">
        <f>IF(E24&gt;0,CollectionCosts!AA38,0)</f>
        <v>0</v>
      </c>
      <c r="F118" s="142">
        <f>IF(F24&gt;0,CollectionCosts!AH38,0)</f>
        <v>5518497.3720774185</v>
      </c>
      <c r="G118" s="142">
        <f>IF(G24&gt;0,CollectionCosts!AO38,0)</f>
        <v>11444511.067689542</v>
      </c>
      <c r="H118" s="142">
        <f>IF(H24&gt;-1,CollectionCosts!F68,0)</f>
        <v>1595390.7383892951</v>
      </c>
      <c r="I118" s="142">
        <f>IF(I24&gt;0,CollectionCosts!M68,0)</f>
        <v>0</v>
      </c>
      <c r="J118" s="142">
        <f>IF(J24&gt;0,CollectionCosts!T68,0)</f>
        <v>0</v>
      </c>
      <c r="K118" s="142">
        <f>IF(K24&gt;0,CollectionCosts!AA68,0)</f>
        <v>0</v>
      </c>
      <c r="L118" s="142">
        <f>IF(L24&gt;0,CollectionCosts!AH68,0)</f>
        <v>0</v>
      </c>
      <c r="M118" s="142">
        <f>IF(M24&gt;0,CollectionCosts!AO68,0)</f>
        <v>0</v>
      </c>
      <c r="N118" s="142">
        <f>IF(N24&gt;0,CollectionCosts!F129,0)</f>
        <v>846719.78062055982</v>
      </c>
      <c r="O118" s="142">
        <f>IF(O24&gt;0,CollectionCosts!M129,0)</f>
        <v>0</v>
      </c>
      <c r="P118" s="142">
        <f>IF(P24&gt;0,CollectionCosts!F98,0)</f>
        <v>0</v>
      </c>
      <c r="Q118" s="142">
        <f>IF(Q24="None",0,CollectionCosts!M98)</f>
        <v>0</v>
      </c>
      <c r="R118" s="142">
        <f>IF(R24="None",0,CollectionCosts!T98)</f>
        <v>0</v>
      </c>
      <c r="S118" s="142">
        <f>IF(S24="None",0,CollectionCosts!AA98)</f>
        <v>0</v>
      </c>
      <c r="T118" s="142">
        <f>IF(T24&gt;-1,CollectionCosts!AH98,0)</f>
        <v>420196.24191738828</v>
      </c>
      <c r="U118" s="142"/>
      <c r="V118" s="142"/>
      <c r="W118" s="142"/>
      <c r="X118" s="142">
        <f>IF(X24&gt;0,CollectionCosts!AO98,0)</f>
        <v>0</v>
      </c>
      <c r="Y118" s="142"/>
      <c r="Z118" s="142"/>
      <c r="AA118" s="142"/>
      <c r="AB118" s="142"/>
      <c r="AC118" s="142"/>
      <c r="AD118" s="157">
        <f t="shared" si="14"/>
        <v>52832175.18068175</v>
      </c>
      <c r="AE118" s="50"/>
    </row>
    <row r="119" spans="1:68">
      <c r="A119" s="143">
        <f>EconomicInputs!A57</f>
        <v>2031</v>
      </c>
      <c r="B119" s="142">
        <f>IF(B25&gt;0,CollectionCosts!F39,0)</f>
        <v>24366196.246971443</v>
      </c>
      <c r="C119" s="142">
        <f>IF(C25&gt;0,CollectionCosts!M39,0)</f>
        <v>7041512.9086730573</v>
      </c>
      <c r="D119" s="142">
        <f>IF(D25&gt;0,CollectionCosts!T39,0)</f>
        <v>1953036.2289225003</v>
      </c>
      <c r="E119" s="142">
        <f>IF(E25&gt;0,CollectionCosts!AA39,0)</f>
        <v>0</v>
      </c>
      <c r="F119" s="142">
        <f>IF(F25&gt;0,CollectionCosts!AH39,0)</f>
        <v>5688067.5185933253</v>
      </c>
      <c r="G119" s="142">
        <f>IF(G25&gt;0,CollectionCosts!AO39,0)</f>
        <v>11821994.615762396</v>
      </c>
      <c r="H119" s="142">
        <f>IF(H25&gt;-1,CollectionCosts!F69,0)</f>
        <v>1618778.7372992777</v>
      </c>
      <c r="I119" s="142">
        <f>IF(I25&gt;0,CollectionCosts!M69,0)</f>
        <v>0</v>
      </c>
      <c r="J119" s="142">
        <f>IF(J25&gt;0,CollectionCosts!T69,0)</f>
        <v>0</v>
      </c>
      <c r="K119" s="142">
        <f>IF(K25&gt;0,CollectionCosts!AA69,0)</f>
        <v>0</v>
      </c>
      <c r="L119" s="142">
        <f>IF(L25&gt;0,CollectionCosts!AH69,0)</f>
        <v>0</v>
      </c>
      <c r="M119" s="142">
        <f>IF(M25&gt;0,CollectionCosts!AO69,0)</f>
        <v>0</v>
      </c>
      <c r="N119" s="142">
        <f>IF(N25&gt;0,CollectionCosts!F130,0)</f>
        <v>879132.93838061998</v>
      </c>
      <c r="O119" s="142">
        <f>IF(O25&gt;0,CollectionCosts!M130,0)</f>
        <v>0</v>
      </c>
      <c r="P119" s="142">
        <f>IF(P25&gt;0,CollectionCosts!F99,0)</f>
        <v>0</v>
      </c>
      <c r="Q119" s="142">
        <f>IF(Q25="None",0,CollectionCosts!M99)</f>
        <v>0</v>
      </c>
      <c r="R119" s="142">
        <f>IF(R25="None",0,CollectionCosts!T99)</f>
        <v>0</v>
      </c>
      <c r="S119" s="142">
        <f>IF(S25="None",0,CollectionCosts!AA99)</f>
        <v>0</v>
      </c>
      <c r="T119" s="142">
        <f>IF(T25&gt;-1,CollectionCosts!AH99,0)</f>
        <v>429882.51929600292</v>
      </c>
      <c r="U119" s="142"/>
      <c r="V119" s="142"/>
      <c r="W119" s="142"/>
      <c r="X119" s="142">
        <f>IF(X25&gt;0,CollectionCosts!AO99,0)</f>
        <v>0</v>
      </c>
      <c r="Y119" s="142"/>
      <c r="Z119" s="142"/>
      <c r="AA119" s="142"/>
      <c r="AB119" s="142"/>
      <c r="AC119" s="142"/>
      <c r="AD119" s="157">
        <f t="shared" si="14"/>
        <v>53798601.713898629</v>
      </c>
      <c r="AE119" s="50"/>
    </row>
    <row r="120" spans="1:68">
      <c r="A120" s="143">
        <f>EconomicInputs!A58</f>
        <v>2032</v>
      </c>
      <c r="B120" s="142">
        <f>IF(B26&gt;0,CollectionCosts!F40,0)</f>
        <v>24534448.609730721</v>
      </c>
      <c r="C120" s="142">
        <f>IF(C26&gt;0,CollectionCosts!M40,0)</f>
        <v>7194754.7140636444</v>
      </c>
      <c r="D120" s="142">
        <f>IF(D26&gt;0,CollectionCosts!T40,0)</f>
        <v>2008333.0800164544</v>
      </c>
      <c r="E120" s="142">
        <f>IF(E26&gt;0,CollectionCosts!AA40,0)</f>
        <v>0</v>
      </c>
      <c r="F120" s="142">
        <f>IF(F26&gt;0,CollectionCosts!AH40,0)</f>
        <v>5862850.1017052811</v>
      </c>
      <c r="G120" s="142">
        <f>IF(G26&gt;0,CollectionCosts!AO40,0)</f>
        <v>12212136.07222824</v>
      </c>
      <c r="H120" s="142">
        <f>IF(H26&gt;-1,CollectionCosts!F70,0)</f>
        <v>1642150.2503228441</v>
      </c>
      <c r="I120" s="142">
        <f>IF(I26&gt;0,CollectionCosts!M70,0)</f>
        <v>0</v>
      </c>
      <c r="J120" s="142">
        <f>IF(J26&gt;0,CollectionCosts!T70,0)</f>
        <v>0</v>
      </c>
      <c r="K120" s="142">
        <f>IF(K26&gt;0,CollectionCosts!AA70,0)</f>
        <v>0</v>
      </c>
      <c r="L120" s="142">
        <f>IF(L26&gt;0,CollectionCosts!AH70,0)</f>
        <v>0</v>
      </c>
      <c r="M120" s="142">
        <f>IF(M26&gt;0,CollectionCosts!AO70,0)</f>
        <v>0</v>
      </c>
      <c r="N120" s="142">
        <f>IF(N26&gt;0,CollectionCosts!F131,0)</f>
        <v>913321.38972690003</v>
      </c>
      <c r="O120" s="142">
        <f>IF(O26&gt;0,CollectionCosts!M131,0)</f>
        <v>0</v>
      </c>
      <c r="P120" s="142">
        <f>IF(P26&gt;0,CollectionCosts!F100,0)</f>
        <v>0</v>
      </c>
      <c r="Q120" s="142">
        <f>IF(Q26="None",0,CollectionCosts!M100)</f>
        <v>0</v>
      </c>
      <c r="R120" s="142">
        <f>IF(R26="None",0,CollectionCosts!T100)</f>
        <v>0</v>
      </c>
      <c r="S120" s="142">
        <f>IF(S26="None",0,CollectionCosts!AA100)</f>
        <v>0</v>
      </c>
      <c r="T120" s="142">
        <f>IF(T26&gt;-1,CollectionCosts!AH100,0)</f>
        <v>439491.23709662375</v>
      </c>
      <c r="U120" s="142"/>
      <c r="V120" s="142"/>
      <c r="W120" s="142"/>
      <c r="X120" s="142">
        <f>IF(X26&gt;0,CollectionCosts!AO100,0)</f>
        <v>0</v>
      </c>
      <c r="Y120" s="142"/>
      <c r="Z120" s="142"/>
      <c r="AA120" s="142"/>
      <c r="AB120" s="142"/>
      <c r="AC120" s="142"/>
      <c r="AD120" s="157">
        <f t="shared" si="14"/>
        <v>54807485.454890706</v>
      </c>
      <c r="AE120" s="50"/>
    </row>
    <row r="121" spans="1:68">
      <c r="A121" s="143">
        <f>EconomicInputs!A59</f>
        <v>2033</v>
      </c>
      <c r="B121" s="142">
        <f>IF(B27&gt;0,CollectionCosts!F41,0)</f>
        <v>24717552.989005134</v>
      </c>
      <c r="C121" s="142">
        <f>IF(C27&gt;0,CollectionCosts!M41,0)</f>
        <v>7349067.3314464297</v>
      </c>
      <c r="D121" s="142">
        <f>IF(D27&gt;0,CollectionCosts!T41,0)</f>
        <v>2063580.2190640846</v>
      </c>
      <c r="E121" s="142">
        <f>IF(E27&gt;0,CollectionCosts!AA41,0)</f>
        <v>0</v>
      </c>
      <c r="F121" s="142">
        <f>IF(F27&gt;0,CollectionCosts!AH41,0)</f>
        <v>6043005.3960602945</v>
      </c>
      <c r="G121" s="142">
        <f>IF(G27&gt;0,CollectionCosts!AO41,0)</f>
        <v>12615365.418691009</v>
      </c>
      <c r="H121" s="142">
        <f>IF(H27&gt;-1,CollectionCosts!F71,0)</f>
        <v>1665371.403966987</v>
      </c>
      <c r="I121" s="142">
        <f>IF(I27&gt;0,CollectionCosts!M71,0)</f>
        <v>0</v>
      </c>
      <c r="J121" s="142">
        <f>IF(J27&gt;0,CollectionCosts!T71,0)</f>
        <v>0</v>
      </c>
      <c r="K121" s="142">
        <f>IF(K27&gt;0,CollectionCosts!AA71,0)</f>
        <v>0</v>
      </c>
      <c r="L121" s="142">
        <f>IF(L27&gt;0,CollectionCosts!AH71,0)</f>
        <v>0</v>
      </c>
      <c r="M121" s="142">
        <f>IF(M27&gt;0,CollectionCosts!AO71,0)</f>
        <v>0</v>
      </c>
      <c r="N121" s="142">
        <f>IF(N27&gt;0,CollectionCosts!F132,0)</f>
        <v>941442.02000049001</v>
      </c>
      <c r="O121" s="142">
        <f>IF(O27&gt;0,CollectionCosts!M132,0)</f>
        <v>0</v>
      </c>
      <c r="P121" s="142">
        <f>IF(P27&gt;0,CollectionCosts!F101,0)</f>
        <v>0</v>
      </c>
      <c r="Q121" s="142">
        <f>IF(Q27="None",0,CollectionCosts!M101)</f>
        <v>0</v>
      </c>
      <c r="R121" s="142">
        <f>IF(R27="None",0,CollectionCosts!T101)</f>
        <v>0</v>
      </c>
      <c r="S121" s="142">
        <f>IF(S27="None",0,CollectionCosts!AA101)</f>
        <v>0</v>
      </c>
      <c r="T121" s="142">
        <f>IF(T27&gt;-1,CollectionCosts!AH101,0)</f>
        <v>454110.83214126213</v>
      </c>
      <c r="U121" s="142"/>
      <c r="V121" s="142"/>
      <c r="W121" s="142"/>
      <c r="X121" s="142">
        <f>IF(X27&gt;0,CollectionCosts!AO101,0)</f>
        <v>0</v>
      </c>
      <c r="Y121" s="142"/>
      <c r="Z121" s="142"/>
      <c r="AA121" s="142"/>
      <c r="AB121" s="142"/>
      <c r="AC121" s="142"/>
      <c r="AD121" s="157">
        <f t="shared" si="14"/>
        <v>55849495.610375695</v>
      </c>
      <c r="AE121" s="50"/>
    </row>
    <row r="122" spans="1:68">
      <c r="A122" s="143">
        <f>EconomicInputs!A60</f>
        <v>2034</v>
      </c>
      <c r="B122" s="142">
        <f>IF(B28&gt;0,CollectionCosts!F42,0)</f>
        <v>24915457.709546618</v>
      </c>
      <c r="C122" s="142">
        <f>IF(C28&gt;0,CollectionCosts!M42,0)</f>
        <v>7508035.0880489629</v>
      </c>
      <c r="D122" s="142">
        <f>IF(D28&gt;0,CollectionCosts!T42,0)</f>
        <v>2120423.4638369591</v>
      </c>
      <c r="E122" s="142">
        <f>IF(E28&gt;0,CollectionCosts!AA42,0)</f>
        <v>0</v>
      </c>
      <c r="F122" s="142">
        <f>IF(F28&gt;0,CollectionCosts!AH42,0)</f>
        <v>6228698.6057373015</v>
      </c>
      <c r="G122" s="142">
        <f>IF(G28&gt;0,CollectionCosts!AO42,0)</f>
        <v>13032127.388364507</v>
      </c>
      <c r="H122" s="142">
        <f>IF(H28&gt;-1,CollectionCosts!F72,0)</f>
        <v>1688549.6897473305</v>
      </c>
      <c r="I122" s="142">
        <f>IF(I28&gt;0,CollectionCosts!M72,0)</f>
        <v>0</v>
      </c>
      <c r="J122" s="142">
        <f>IF(J28&gt;0,CollectionCosts!T72,0)</f>
        <v>0</v>
      </c>
      <c r="K122" s="142">
        <f>IF(K28&gt;0,CollectionCosts!AA72,0)</f>
        <v>0</v>
      </c>
      <c r="L122" s="142">
        <f>IF(L28&gt;0,CollectionCosts!AH72,0)</f>
        <v>0</v>
      </c>
      <c r="M122" s="142">
        <f>IF(M28&gt;0,CollectionCosts!AO72,0)</f>
        <v>0</v>
      </c>
      <c r="N122" s="142">
        <f>IF(N28&gt;0,CollectionCosts!F133,0)</f>
        <v>970428.46799813514</v>
      </c>
      <c r="O122" s="142">
        <f>IF(O28&gt;0,CollectionCosts!M133,0)</f>
        <v>0</v>
      </c>
      <c r="P122" s="142">
        <f>IF(P28&gt;0,CollectionCosts!F102,0)</f>
        <v>0</v>
      </c>
      <c r="Q122" s="142">
        <f>IF(Q28="None",0,CollectionCosts!M102)</f>
        <v>0</v>
      </c>
      <c r="R122" s="142">
        <f>IF(R28="None",0,CollectionCosts!T102)</f>
        <v>0</v>
      </c>
      <c r="S122" s="142">
        <f>IF(S28="None",0,CollectionCosts!AA102)</f>
        <v>0</v>
      </c>
      <c r="T122" s="142">
        <f>IF(T28&gt;-1,CollectionCosts!AH102,0)</f>
        <v>469113.60970139952</v>
      </c>
      <c r="U122" s="142"/>
      <c r="V122" s="142"/>
      <c r="W122" s="142"/>
      <c r="X122" s="142">
        <f>IF(X28&gt;0,CollectionCosts!AO102,0)</f>
        <v>0</v>
      </c>
      <c r="Y122" s="142"/>
      <c r="Z122" s="142"/>
      <c r="AA122" s="142"/>
      <c r="AB122" s="142"/>
      <c r="AC122" s="142"/>
      <c r="AD122" s="157">
        <f t="shared" si="14"/>
        <v>56932834.022981219</v>
      </c>
      <c r="AE122" s="50"/>
    </row>
    <row r="123" spans="1:68">
      <c r="A123" s="143">
        <f>EconomicInputs!A61</f>
        <v>2035</v>
      </c>
      <c r="B123" s="142">
        <f>IF(B29&gt;0,CollectionCosts!F43,0)</f>
        <v>25128397.86228884</v>
      </c>
      <c r="C123" s="142">
        <f>IF(C29&gt;0,CollectionCosts!M43,0)</f>
        <v>7671570.9292623121</v>
      </c>
      <c r="D123" s="142">
        <f>IF(D29&gt;0,CollectionCosts!T43,0)</f>
        <v>2178881.132504418</v>
      </c>
      <c r="E123" s="142">
        <f>IF(E29&gt;0,CollectionCosts!AA43,0)</f>
        <v>0</v>
      </c>
      <c r="F123" s="142">
        <f>IF(F29&gt;0,CollectionCosts!AH43,0)</f>
        <v>6420100.0158882197</v>
      </c>
      <c r="G123" s="142">
        <f>IF(G29&gt;0,CollectionCosts!AO43,0)</f>
        <v>13462881.975935614</v>
      </c>
      <c r="H123" s="142">
        <f>IF(H29&gt;-1,CollectionCosts!F73,0)</f>
        <v>1711732.111338824</v>
      </c>
      <c r="I123" s="142">
        <f>IF(I29&gt;0,CollectionCosts!M73,0)</f>
        <v>0</v>
      </c>
      <c r="J123" s="142">
        <f>IF(J29&gt;0,CollectionCosts!T73,0)</f>
        <v>0</v>
      </c>
      <c r="K123" s="142">
        <f>IF(K29&gt;0,CollectionCosts!AA73,0)</f>
        <v>0</v>
      </c>
      <c r="L123" s="142">
        <f>IF(L29&gt;0,CollectionCosts!AH73,0)</f>
        <v>0</v>
      </c>
      <c r="M123" s="142">
        <f>IF(M29&gt;0,CollectionCosts!AO73,0)</f>
        <v>0</v>
      </c>
      <c r="N123" s="142">
        <f>IF(N29&gt;0,CollectionCosts!F134,0)</f>
        <v>1000307.3917400856</v>
      </c>
      <c r="O123" s="142">
        <f>IF(O29&gt;0,CollectionCosts!M134,0)</f>
        <v>0</v>
      </c>
      <c r="P123" s="142">
        <f>IF(P29&gt;0,CollectionCosts!F103,0)</f>
        <v>0</v>
      </c>
      <c r="Q123" s="142">
        <f>IF(Q29="None",0,CollectionCosts!M103)</f>
        <v>0</v>
      </c>
      <c r="R123" s="142">
        <f>IF(R29="None",0,CollectionCosts!T103)</f>
        <v>0</v>
      </c>
      <c r="S123" s="142">
        <f>IF(S29="None",0,CollectionCosts!AA103)</f>
        <v>0</v>
      </c>
      <c r="T123" s="142">
        <f>IF(T29&gt;-1,CollectionCosts!AH103,0)</f>
        <v>484521.90293998056</v>
      </c>
      <c r="U123" s="142"/>
      <c r="V123" s="142"/>
      <c r="W123" s="142"/>
      <c r="X123" s="142">
        <f>IF(X29&gt;0,CollectionCosts!AO103,0)</f>
        <v>0</v>
      </c>
      <c r="Y123" s="142"/>
      <c r="Z123" s="142"/>
      <c r="AA123" s="142"/>
      <c r="AB123" s="142"/>
      <c r="AC123" s="142"/>
      <c r="AD123" s="157">
        <f t="shared" si="14"/>
        <v>58058393.321898296</v>
      </c>
      <c r="AE123" s="50"/>
    </row>
    <row r="127" spans="1:68">
      <c r="A127" s="279" t="s">
        <v>347</v>
      </c>
      <c r="B127" s="280"/>
      <c r="C127" s="280"/>
      <c r="D127" s="280"/>
      <c r="E127" s="280"/>
      <c r="F127" s="280"/>
      <c r="G127" s="280"/>
      <c r="H127" s="280"/>
      <c r="I127" s="280"/>
      <c r="J127" s="280"/>
      <c r="K127" s="280"/>
      <c r="L127" s="280"/>
      <c r="M127" s="280"/>
      <c r="N127" s="280"/>
      <c r="O127" s="280"/>
      <c r="P127" s="280"/>
      <c r="Q127" s="280"/>
      <c r="R127" s="280"/>
      <c r="S127" s="280"/>
      <c r="T127" s="280"/>
      <c r="U127" s="280"/>
      <c r="V127" s="280"/>
      <c r="W127" s="280"/>
      <c r="X127" s="280"/>
      <c r="Y127" s="280"/>
      <c r="Z127" s="280"/>
      <c r="AA127" s="280"/>
      <c r="AB127" s="280"/>
      <c r="AC127" s="281"/>
      <c r="AD127" s="266" t="s">
        <v>141</v>
      </c>
      <c r="AE127" s="266" t="s">
        <v>142</v>
      </c>
      <c r="AG127" s="266" t="s">
        <v>189</v>
      </c>
      <c r="AH127" s="266" t="s">
        <v>364</v>
      </c>
      <c r="AI127" s="266" t="s">
        <v>365</v>
      </c>
      <c r="AJ127" s="266" t="s">
        <v>366</v>
      </c>
      <c r="AO127" s="230" t="s">
        <v>380</v>
      </c>
      <c r="AP127" s="230"/>
      <c r="AQ127" s="230"/>
      <c r="AR127" s="230"/>
      <c r="AS127" s="230"/>
    </row>
    <row r="128" spans="1:68" ht="30" customHeight="1">
      <c r="A128" s="170" t="s">
        <v>91</v>
      </c>
      <c r="B128" s="270" t="s">
        <v>44</v>
      </c>
      <c r="C128" s="270"/>
      <c r="D128" s="270"/>
      <c r="E128" s="171" t="s">
        <v>1</v>
      </c>
      <c r="F128" s="171" t="s">
        <v>31</v>
      </c>
      <c r="G128" s="171" t="s">
        <v>11</v>
      </c>
      <c r="H128" s="171" t="s">
        <v>11</v>
      </c>
      <c r="I128" s="171" t="s">
        <v>23</v>
      </c>
      <c r="J128" s="171" t="s">
        <v>34</v>
      </c>
      <c r="K128" s="171" t="s">
        <v>29</v>
      </c>
      <c r="L128" s="171" t="s">
        <v>32</v>
      </c>
      <c r="M128" s="171" t="s">
        <v>36</v>
      </c>
      <c r="N128" s="171" t="s">
        <v>15</v>
      </c>
      <c r="O128" s="171" t="s">
        <v>17</v>
      </c>
      <c r="P128" s="171" t="s">
        <v>59</v>
      </c>
      <c r="Q128" s="171" t="s">
        <v>3</v>
      </c>
      <c r="R128" s="171" t="s">
        <v>4</v>
      </c>
      <c r="S128" s="171" t="s">
        <v>58</v>
      </c>
      <c r="T128" s="171" t="s">
        <v>21</v>
      </c>
      <c r="U128" s="171" t="s">
        <v>5</v>
      </c>
      <c r="V128" s="171" t="s">
        <v>7</v>
      </c>
      <c r="W128" s="171" t="s">
        <v>9</v>
      </c>
      <c r="X128" s="171" t="s">
        <v>13</v>
      </c>
      <c r="Y128" s="171" t="s">
        <v>19</v>
      </c>
      <c r="Z128" s="171" t="s">
        <v>25</v>
      </c>
      <c r="AA128" s="171" t="s">
        <v>25</v>
      </c>
      <c r="AB128" s="171" t="s">
        <v>25</v>
      </c>
      <c r="AC128" s="171" t="s">
        <v>62</v>
      </c>
      <c r="AD128" s="267"/>
      <c r="AE128" s="267"/>
      <c r="AG128" s="267"/>
      <c r="AH128" s="267"/>
      <c r="AI128" s="267"/>
      <c r="AJ128" s="267"/>
      <c r="AO128" s="223" t="s">
        <v>381</v>
      </c>
      <c r="AP128" s="233" t="s">
        <v>52</v>
      </c>
      <c r="AQ128" s="233" t="s">
        <v>56</v>
      </c>
      <c r="AR128" s="233" t="s">
        <v>382</v>
      </c>
      <c r="AS128" s="223" t="s">
        <v>60</v>
      </c>
      <c r="AT128" s="26"/>
      <c r="AU128" s="26"/>
      <c r="AV128" s="26"/>
      <c r="AW128" s="26"/>
      <c r="AX128" s="26"/>
      <c r="AY128" s="26"/>
      <c r="AZ128" s="26"/>
      <c r="BA128" s="1"/>
      <c r="BB128" s="26"/>
      <c r="BC128" s="1"/>
      <c r="BD128" s="26"/>
      <c r="BE128" s="26"/>
      <c r="BF128" s="26"/>
      <c r="BG128" s="26"/>
      <c r="BH128" s="1"/>
      <c r="BI128" s="118"/>
      <c r="BJ128" s="118"/>
      <c r="BK128" s="271"/>
      <c r="BL128" s="271"/>
      <c r="BM128" s="271"/>
      <c r="BN128" s="271"/>
      <c r="BO128" s="271"/>
      <c r="BP128" s="271"/>
    </row>
    <row r="129" spans="1:45" ht="63">
      <c r="A129" s="170" t="s">
        <v>86</v>
      </c>
      <c r="B129" s="170" t="s">
        <v>40</v>
      </c>
      <c r="C129" s="170" t="s">
        <v>41</v>
      </c>
      <c r="D129" s="170" t="s">
        <v>42</v>
      </c>
      <c r="E129" s="170" t="s">
        <v>2</v>
      </c>
      <c r="F129" s="171" t="s">
        <v>53</v>
      </c>
      <c r="G129" s="172" t="s">
        <v>12</v>
      </c>
      <c r="H129" s="172" t="s">
        <v>157</v>
      </c>
      <c r="I129" s="171" t="s">
        <v>24</v>
      </c>
      <c r="J129" s="171" t="s">
        <v>35</v>
      </c>
      <c r="K129" s="171" t="s">
        <v>30</v>
      </c>
      <c r="L129" s="171" t="s">
        <v>33</v>
      </c>
      <c r="M129" s="171" t="s">
        <v>37</v>
      </c>
      <c r="N129" s="171" t="s">
        <v>16</v>
      </c>
      <c r="O129" s="171" t="s">
        <v>18</v>
      </c>
      <c r="P129" s="170" t="s">
        <v>46</v>
      </c>
      <c r="Q129" s="170" t="s">
        <v>49</v>
      </c>
      <c r="R129" s="170" t="s">
        <v>50</v>
      </c>
      <c r="S129" s="171" t="s">
        <v>51</v>
      </c>
      <c r="T129" s="171" t="s">
        <v>22</v>
      </c>
      <c r="U129" s="171" t="s">
        <v>6</v>
      </c>
      <c r="V129" s="171" t="s">
        <v>8</v>
      </c>
      <c r="W129" s="171" t="s">
        <v>10</v>
      </c>
      <c r="X129" s="171" t="s">
        <v>14</v>
      </c>
      <c r="Y129" s="171" t="s">
        <v>20</v>
      </c>
      <c r="Z129" s="171" t="s">
        <v>26</v>
      </c>
      <c r="AA129" s="171" t="s">
        <v>27</v>
      </c>
      <c r="AB129" s="171" t="s">
        <v>28</v>
      </c>
      <c r="AC129" s="171" t="s">
        <v>371</v>
      </c>
      <c r="AD129" s="267"/>
      <c r="AE129" s="269"/>
      <c r="AG129" s="268"/>
      <c r="AH129" s="268"/>
      <c r="AI129" s="268"/>
      <c r="AJ129" s="268"/>
      <c r="AO129" s="223"/>
      <c r="AP129" s="233"/>
      <c r="AQ129" s="233"/>
      <c r="AR129" s="233"/>
      <c r="AS129" s="223"/>
    </row>
    <row r="130" spans="1:45">
      <c r="A130" s="170" t="s">
        <v>370</v>
      </c>
      <c r="B130" s="173">
        <f t="array" ref="B130:AC130">TRANSPOSE(PolicyInputs!F6:F33)</f>
        <v>0.56999999999999995</v>
      </c>
      <c r="C130" s="173">
        <v>0.52</v>
      </c>
      <c r="D130" s="173">
        <v>0.78</v>
      </c>
      <c r="E130" s="173">
        <v>1</v>
      </c>
      <c r="F130" s="174">
        <v>0.66</v>
      </c>
      <c r="G130" s="175">
        <v>0.66</v>
      </c>
      <c r="H130" s="175">
        <v>0.53</v>
      </c>
      <c r="I130" s="174">
        <v>1</v>
      </c>
      <c r="J130" s="174">
        <v>1</v>
      </c>
      <c r="K130" s="174">
        <v>0.53</v>
      </c>
      <c r="L130" s="174">
        <v>1</v>
      </c>
      <c r="M130" s="174">
        <v>1</v>
      </c>
      <c r="N130" s="174">
        <v>0.53</v>
      </c>
      <c r="O130" s="174">
        <v>0.53</v>
      </c>
      <c r="P130" s="173">
        <v>0.56999999999999995</v>
      </c>
      <c r="Q130" s="173">
        <v>0.65</v>
      </c>
      <c r="R130" s="173">
        <v>0.65</v>
      </c>
      <c r="S130" s="174">
        <v>0.65</v>
      </c>
      <c r="T130" s="174">
        <v>1</v>
      </c>
      <c r="U130" s="174">
        <v>1</v>
      </c>
      <c r="V130" s="174">
        <v>1</v>
      </c>
      <c r="W130" s="174">
        <v>1</v>
      </c>
      <c r="X130" s="174">
        <v>0.53</v>
      </c>
      <c r="Y130" s="174">
        <v>1</v>
      </c>
      <c r="Z130" s="174">
        <v>1</v>
      </c>
      <c r="AA130" s="174">
        <v>1</v>
      </c>
      <c r="AB130" s="174">
        <v>1</v>
      </c>
      <c r="AC130" s="174">
        <v>1</v>
      </c>
      <c r="AD130" s="115"/>
      <c r="AE130" s="114"/>
      <c r="AG130" s="110"/>
      <c r="AH130" s="110"/>
      <c r="AI130" s="110"/>
      <c r="AJ130" s="110"/>
      <c r="AO130" s="223"/>
      <c r="AP130" s="233"/>
      <c r="AQ130" s="233"/>
      <c r="AR130" s="233"/>
      <c r="AS130" s="223"/>
    </row>
    <row r="131" spans="1:45">
      <c r="A131" s="143">
        <f>EconomicInputs!A36</f>
        <v>2010</v>
      </c>
      <c r="B131" s="154">
        <f>IF(B4=0,0,B66-B98)*B$130</f>
        <v>323316963.25766391</v>
      </c>
      <c r="C131" s="154">
        <f t="shared" ref="C131:AB140" si="15">IF(C4=0,0,C66-C98)*C$130</f>
        <v>89037260.946254745</v>
      </c>
      <c r="D131" s="154">
        <f t="shared" si="15"/>
        <v>74668649.188935623</v>
      </c>
      <c r="E131" s="154">
        <f t="shared" si="15"/>
        <v>0</v>
      </c>
      <c r="F131" s="154">
        <f t="shared" si="15"/>
        <v>6397835.6866462389</v>
      </c>
      <c r="G131" s="154">
        <f t="shared" si="15"/>
        <v>82551092.771324039</v>
      </c>
      <c r="H131" s="154">
        <f>IF(H4=-1,0,H66-H98)*H$130</f>
        <v>43277333.254367083</v>
      </c>
      <c r="I131" s="154">
        <f t="shared" si="15"/>
        <v>0</v>
      </c>
      <c r="J131" s="154">
        <f t="shared" si="15"/>
        <v>0</v>
      </c>
      <c r="K131" s="154">
        <f t="shared" si="15"/>
        <v>0</v>
      </c>
      <c r="L131" s="154">
        <f t="shared" si="15"/>
        <v>0</v>
      </c>
      <c r="M131" s="154">
        <f t="shared" si="15"/>
        <v>0</v>
      </c>
      <c r="N131" s="154">
        <f t="shared" si="15"/>
        <v>27511595.243904572</v>
      </c>
      <c r="O131" s="154">
        <f t="shared" si="15"/>
        <v>0</v>
      </c>
      <c r="P131" s="154">
        <f t="shared" si="15"/>
        <v>0</v>
      </c>
      <c r="Q131" s="154">
        <f t="shared" si="15"/>
        <v>0</v>
      </c>
      <c r="R131" s="154">
        <f t="shared" si="15"/>
        <v>0</v>
      </c>
      <c r="S131" s="154">
        <f t="shared" si="15"/>
        <v>0</v>
      </c>
      <c r="T131" s="154">
        <f>IF(T4=-10,0,T66-T98)*T$130</f>
        <v>12190784.587477507</v>
      </c>
      <c r="U131" s="154">
        <f t="shared" si="15"/>
        <v>0</v>
      </c>
      <c r="V131" s="154">
        <f t="shared" si="15"/>
        <v>0</v>
      </c>
      <c r="W131" s="154">
        <f t="shared" si="15"/>
        <v>0</v>
      </c>
      <c r="X131" s="154">
        <f t="shared" si="15"/>
        <v>0</v>
      </c>
      <c r="Y131" s="154">
        <f t="shared" si="15"/>
        <v>0</v>
      </c>
      <c r="Z131" s="154">
        <f t="shared" si="15"/>
        <v>0</v>
      </c>
      <c r="AA131" s="154">
        <f t="shared" si="15"/>
        <v>0</v>
      </c>
      <c r="AB131" s="154">
        <f t="shared" si="15"/>
        <v>0</v>
      </c>
      <c r="AC131" s="154">
        <f>(AC66-AC98)*AC$130</f>
        <v>38400000</v>
      </c>
      <c r="AD131" s="156">
        <f>SUM(B131:AC131)</f>
        <v>697351514.93657386</v>
      </c>
      <c r="AE131" s="158"/>
      <c r="AG131" s="155">
        <v>700857272.73869848</v>
      </c>
      <c r="AH131" s="136">
        <v>698700000</v>
      </c>
      <c r="AI131" s="155">
        <f>AD131+AH131</f>
        <v>1396051514.936574</v>
      </c>
      <c r="AJ131" s="155">
        <f>AI131+AD163</f>
        <v>1871803186.1448882</v>
      </c>
      <c r="AO131" s="154">
        <f>SUM(B131:E131)</f>
        <v>487022873.39285427</v>
      </c>
      <c r="AP131" s="154">
        <f>SUM(F131:M131)</f>
        <v>132226261.71233736</v>
      </c>
      <c r="AQ131" s="154">
        <f>SUM(N131:O131)</f>
        <v>27511595.243904572</v>
      </c>
      <c r="AR131" s="154">
        <f>SUM(P131:T131)</f>
        <v>12190784.587477507</v>
      </c>
      <c r="AS131" s="154">
        <f>SUM(U131:AC131)</f>
        <v>38400000</v>
      </c>
    </row>
    <row r="132" spans="1:45">
      <c r="A132" s="143">
        <f>EconomicInputs!A37</f>
        <v>2011</v>
      </c>
      <c r="B132" s="154">
        <f t="shared" ref="B132:Q156" si="16">IF(B5=0,0,B67-B99)*B$130</f>
        <v>303858725.30160767</v>
      </c>
      <c r="C132" s="154">
        <f t="shared" si="16"/>
        <v>88875276.333130732</v>
      </c>
      <c r="D132" s="154">
        <f t="shared" si="16"/>
        <v>74532467.623733327</v>
      </c>
      <c r="E132" s="154">
        <f t="shared" si="16"/>
        <v>0</v>
      </c>
      <c r="F132" s="154">
        <f t="shared" si="16"/>
        <v>6350108.8191462401</v>
      </c>
      <c r="G132" s="154">
        <f t="shared" si="16"/>
        <v>83387848.5947368</v>
      </c>
      <c r="H132" s="154">
        <f t="shared" ref="H132:H156" si="17">IF(H5=-1,0,H67-H99)*H$130</f>
        <v>46526761.624016702</v>
      </c>
      <c r="I132" s="154">
        <f t="shared" si="16"/>
        <v>0</v>
      </c>
      <c r="J132" s="154">
        <f t="shared" si="16"/>
        <v>0</v>
      </c>
      <c r="K132" s="154">
        <f t="shared" si="16"/>
        <v>0</v>
      </c>
      <c r="L132" s="154">
        <f t="shared" si="16"/>
        <v>0</v>
      </c>
      <c r="M132" s="154">
        <f t="shared" si="16"/>
        <v>0</v>
      </c>
      <c r="N132" s="154">
        <f t="shared" si="16"/>
        <v>29571250.187231351</v>
      </c>
      <c r="O132" s="154">
        <f t="shared" si="16"/>
        <v>0</v>
      </c>
      <c r="P132" s="154">
        <f t="shared" si="16"/>
        <v>0</v>
      </c>
      <c r="Q132" s="154">
        <f t="shared" si="16"/>
        <v>0</v>
      </c>
      <c r="R132" s="154">
        <f t="shared" si="15"/>
        <v>0</v>
      </c>
      <c r="S132" s="154">
        <f t="shared" si="15"/>
        <v>0</v>
      </c>
      <c r="T132" s="154">
        <f t="shared" ref="T132:T156" si="18">IF(T5=-10,0,T67-T99)*T$130</f>
        <v>13319815.864333576</v>
      </c>
      <c r="U132" s="154">
        <f t="shared" si="15"/>
        <v>0</v>
      </c>
      <c r="V132" s="154">
        <f t="shared" si="15"/>
        <v>0</v>
      </c>
      <c r="W132" s="154">
        <f t="shared" si="15"/>
        <v>0</v>
      </c>
      <c r="X132" s="154">
        <f t="shared" si="15"/>
        <v>0</v>
      </c>
      <c r="Y132" s="154">
        <f t="shared" si="15"/>
        <v>0</v>
      </c>
      <c r="Z132" s="154">
        <f t="shared" si="15"/>
        <v>0</v>
      </c>
      <c r="AA132" s="154">
        <f t="shared" si="15"/>
        <v>0</v>
      </c>
      <c r="AB132" s="154">
        <f t="shared" si="15"/>
        <v>0</v>
      </c>
      <c r="AC132" s="154">
        <f t="shared" ref="AC132:AC156" si="19">(AC67-AC99)*AC$130</f>
        <v>38400000</v>
      </c>
      <c r="AD132" s="156">
        <f t="shared" ref="AD132:AD156" si="20">SUM(B132:AC132)</f>
        <v>684822254.34793639</v>
      </c>
      <c r="AE132" s="158"/>
      <c r="AG132" s="142">
        <v>688364587.1721518</v>
      </c>
      <c r="AH132" s="132">
        <v>688800000</v>
      </c>
      <c r="AI132" s="142">
        <f t="shared" ref="AI132:AI156" si="21">AD132+AH132</f>
        <v>1373622254.3479364</v>
      </c>
      <c r="AJ132" s="155">
        <f t="shared" ref="AJ132:AJ156" si="22">AI132+AD164</f>
        <v>1839621493.9724839</v>
      </c>
      <c r="AO132" s="154">
        <f t="shared" ref="AO132:AO156" si="23">SUM(B132:E132)</f>
        <v>467266469.25847173</v>
      </c>
      <c r="AP132" s="154">
        <f t="shared" ref="AP132:AP156" si="24">SUM(F132:M132)</f>
        <v>136264719.03789973</v>
      </c>
      <c r="AQ132" s="154">
        <f t="shared" ref="AQ132:AQ156" si="25">SUM(N132:O132)</f>
        <v>29571250.187231351</v>
      </c>
      <c r="AR132" s="154">
        <f t="shared" ref="AR132:AR156" si="26">SUM(P132:T132)</f>
        <v>13319815.864333576</v>
      </c>
      <c r="AS132" s="154">
        <f t="shared" ref="AS132:AS156" si="27">SUM(U132:AC132)</f>
        <v>38400000</v>
      </c>
    </row>
    <row r="133" spans="1:45">
      <c r="A133" s="143">
        <f>EconomicInputs!A38</f>
        <v>2012</v>
      </c>
      <c r="B133" s="154">
        <f t="shared" si="16"/>
        <v>299617962.26834536</v>
      </c>
      <c r="C133" s="154">
        <f t="shared" si="15"/>
        <v>89057647.397553265</v>
      </c>
      <c r="D133" s="154">
        <f t="shared" si="15"/>
        <v>74680848.92166467</v>
      </c>
      <c r="E133" s="154">
        <f t="shared" si="15"/>
        <v>0</v>
      </c>
      <c r="F133" s="154">
        <f t="shared" si="15"/>
        <v>6224970.4453962408</v>
      </c>
      <c r="G133" s="154">
        <f t="shared" si="15"/>
        <v>84180940.309609979</v>
      </c>
      <c r="H133" s="154">
        <f t="shared" si="17"/>
        <v>47642864.522950292</v>
      </c>
      <c r="I133" s="154">
        <f t="shared" si="15"/>
        <v>0</v>
      </c>
      <c r="J133" s="154">
        <f t="shared" si="15"/>
        <v>0</v>
      </c>
      <c r="K133" s="154">
        <f t="shared" si="15"/>
        <v>0</v>
      </c>
      <c r="L133" s="154">
        <f t="shared" si="15"/>
        <v>0</v>
      </c>
      <c r="M133" s="154">
        <f t="shared" si="15"/>
        <v>0</v>
      </c>
      <c r="N133" s="154">
        <f t="shared" si="15"/>
        <v>31433844.686320879</v>
      </c>
      <c r="O133" s="154">
        <f t="shared" si="15"/>
        <v>0</v>
      </c>
      <c r="P133" s="154">
        <f t="shared" si="15"/>
        <v>0</v>
      </c>
      <c r="Q133" s="154">
        <f t="shared" si="15"/>
        <v>0</v>
      </c>
      <c r="R133" s="154">
        <f t="shared" si="15"/>
        <v>0</v>
      </c>
      <c r="S133" s="154">
        <f t="shared" si="15"/>
        <v>0</v>
      </c>
      <c r="T133" s="154">
        <f t="shared" si="18"/>
        <v>15913479.202635162</v>
      </c>
      <c r="U133" s="154">
        <f t="shared" si="15"/>
        <v>0</v>
      </c>
      <c r="V133" s="154">
        <f t="shared" si="15"/>
        <v>0</v>
      </c>
      <c r="W133" s="154">
        <f t="shared" si="15"/>
        <v>0</v>
      </c>
      <c r="X133" s="154">
        <f t="shared" si="15"/>
        <v>0</v>
      </c>
      <c r="Y133" s="154">
        <f t="shared" si="15"/>
        <v>0</v>
      </c>
      <c r="Z133" s="154">
        <f t="shared" si="15"/>
        <v>0</v>
      </c>
      <c r="AA133" s="154">
        <f t="shared" si="15"/>
        <v>0</v>
      </c>
      <c r="AB133" s="154">
        <f t="shared" si="15"/>
        <v>0</v>
      </c>
      <c r="AC133" s="154">
        <f t="shared" si="19"/>
        <v>38400000</v>
      </c>
      <c r="AD133" s="156">
        <f t="shared" si="20"/>
        <v>687152557.75447583</v>
      </c>
      <c r="AE133" s="158"/>
      <c r="AG133" s="142">
        <v>690714489.01374245</v>
      </c>
      <c r="AH133" s="132">
        <v>671200000</v>
      </c>
      <c r="AI133" s="142">
        <f t="shared" si="21"/>
        <v>1358352557.7544758</v>
      </c>
      <c r="AJ133" s="155">
        <f t="shared" si="22"/>
        <v>1824348402.4700928</v>
      </c>
      <c r="AO133" s="154">
        <f t="shared" si="23"/>
        <v>463356458.58756328</v>
      </c>
      <c r="AP133" s="154">
        <f t="shared" si="24"/>
        <v>138048775.27795652</v>
      </c>
      <c r="AQ133" s="154">
        <f t="shared" si="25"/>
        <v>31433844.686320879</v>
      </c>
      <c r="AR133" s="154">
        <f t="shared" si="26"/>
        <v>15913479.202635162</v>
      </c>
      <c r="AS133" s="154">
        <f t="shared" si="27"/>
        <v>38400000</v>
      </c>
    </row>
    <row r="134" spans="1:45">
      <c r="A134" s="143">
        <f>EconomicInputs!A39</f>
        <v>2013</v>
      </c>
      <c r="B134" s="154">
        <f t="shared" si="16"/>
        <v>298037157.4151569</v>
      </c>
      <c r="C134" s="154">
        <f t="shared" si="15"/>
        <v>90771330.028856784</v>
      </c>
      <c r="D134" s="154">
        <f t="shared" si="15"/>
        <v>76117629.140640646</v>
      </c>
      <c r="E134" s="154">
        <f t="shared" si="15"/>
        <v>0</v>
      </c>
      <c r="F134" s="154">
        <f t="shared" si="15"/>
        <v>6150319.8303962387</v>
      </c>
      <c r="G134" s="154">
        <f t="shared" si="15"/>
        <v>85190669.78104727</v>
      </c>
      <c r="H134" s="154">
        <f t="shared" si="17"/>
        <v>48648740.113816753</v>
      </c>
      <c r="I134" s="154">
        <f t="shared" si="15"/>
        <v>0</v>
      </c>
      <c r="J134" s="154">
        <f t="shared" si="15"/>
        <v>0</v>
      </c>
      <c r="K134" s="154">
        <f t="shared" si="15"/>
        <v>0</v>
      </c>
      <c r="L134" s="154">
        <f t="shared" si="15"/>
        <v>0</v>
      </c>
      <c r="M134" s="154">
        <f t="shared" si="15"/>
        <v>0</v>
      </c>
      <c r="N134" s="154">
        <f t="shared" si="15"/>
        <v>32709513.838272069</v>
      </c>
      <c r="O134" s="154">
        <f t="shared" si="15"/>
        <v>0</v>
      </c>
      <c r="P134" s="154">
        <f t="shared" si="15"/>
        <v>0</v>
      </c>
      <c r="Q134" s="154">
        <f t="shared" si="15"/>
        <v>0</v>
      </c>
      <c r="R134" s="154">
        <f t="shared" si="15"/>
        <v>0</v>
      </c>
      <c r="S134" s="154">
        <f t="shared" si="15"/>
        <v>0</v>
      </c>
      <c r="T134" s="154">
        <f t="shared" si="18"/>
        <v>15949340.683088712</v>
      </c>
      <c r="U134" s="154">
        <f t="shared" si="15"/>
        <v>0</v>
      </c>
      <c r="V134" s="154">
        <f t="shared" si="15"/>
        <v>0</v>
      </c>
      <c r="W134" s="154">
        <f t="shared" si="15"/>
        <v>0</v>
      </c>
      <c r="X134" s="154">
        <f t="shared" si="15"/>
        <v>0</v>
      </c>
      <c r="Y134" s="154">
        <f t="shared" si="15"/>
        <v>0</v>
      </c>
      <c r="Z134" s="154">
        <f t="shared" si="15"/>
        <v>0</v>
      </c>
      <c r="AA134" s="154">
        <f t="shared" si="15"/>
        <v>0</v>
      </c>
      <c r="AB134" s="154">
        <f t="shared" si="15"/>
        <v>0</v>
      </c>
      <c r="AC134" s="154">
        <f t="shared" si="19"/>
        <v>38400000</v>
      </c>
      <c r="AD134" s="156">
        <f t="shared" si="20"/>
        <v>691974700.83127534</v>
      </c>
      <c r="AE134" s="158"/>
      <c r="AG134" s="142">
        <v>695572502.81889212</v>
      </c>
      <c r="AH134" s="132">
        <v>693900000</v>
      </c>
      <c r="AI134" s="142">
        <f t="shared" si="21"/>
        <v>1385874700.8312755</v>
      </c>
      <c r="AJ134" s="155">
        <f t="shared" si="22"/>
        <v>1855170079.0940089</v>
      </c>
      <c r="AO134" s="154">
        <f t="shared" si="23"/>
        <v>464926116.58465433</v>
      </c>
      <c r="AP134" s="154">
        <f t="shared" si="24"/>
        <v>139989729.72526026</v>
      </c>
      <c r="AQ134" s="154">
        <f t="shared" si="25"/>
        <v>32709513.838272069</v>
      </c>
      <c r="AR134" s="154">
        <f t="shared" si="26"/>
        <v>15949340.683088712</v>
      </c>
      <c r="AS134" s="154">
        <f t="shared" si="27"/>
        <v>38400000</v>
      </c>
    </row>
    <row r="135" spans="1:45">
      <c r="A135" s="143">
        <f>EconomicInputs!A40</f>
        <v>2014</v>
      </c>
      <c r="B135" s="154">
        <f t="shared" si="16"/>
        <v>294433591.4129014</v>
      </c>
      <c r="C135" s="154">
        <f t="shared" si="15"/>
        <v>91504818.056096524</v>
      </c>
      <c r="D135" s="154">
        <f t="shared" si="15"/>
        <v>76734847.01609455</v>
      </c>
      <c r="E135" s="154">
        <f t="shared" si="15"/>
        <v>0</v>
      </c>
      <c r="F135" s="154">
        <f t="shared" si="15"/>
        <v>6128459.2903962405</v>
      </c>
      <c r="G135" s="154">
        <f t="shared" si="15"/>
        <v>86048423.685318977</v>
      </c>
      <c r="H135" s="154">
        <f t="shared" si="17"/>
        <v>50293371.077390023</v>
      </c>
      <c r="I135" s="154">
        <f t="shared" si="15"/>
        <v>0</v>
      </c>
      <c r="J135" s="154">
        <f t="shared" si="15"/>
        <v>0</v>
      </c>
      <c r="K135" s="154">
        <f t="shared" si="15"/>
        <v>0</v>
      </c>
      <c r="L135" s="154">
        <f t="shared" si="15"/>
        <v>0</v>
      </c>
      <c r="M135" s="154">
        <f t="shared" si="15"/>
        <v>0</v>
      </c>
      <c r="N135" s="154">
        <f t="shared" si="15"/>
        <v>33514569.929991752</v>
      </c>
      <c r="O135" s="154">
        <f t="shared" si="15"/>
        <v>0</v>
      </c>
      <c r="P135" s="154">
        <f t="shared" si="15"/>
        <v>0</v>
      </c>
      <c r="Q135" s="154">
        <f t="shared" si="15"/>
        <v>0</v>
      </c>
      <c r="R135" s="154">
        <f t="shared" si="15"/>
        <v>0</v>
      </c>
      <c r="S135" s="154">
        <f t="shared" si="15"/>
        <v>0</v>
      </c>
      <c r="T135" s="154">
        <f t="shared" si="18"/>
        <v>18140894.881885801</v>
      </c>
      <c r="U135" s="154">
        <f t="shared" si="15"/>
        <v>0</v>
      </c>
      <c r="V135" s="154">
        <f t="shared" si="15"/>
        <v>0</v>
      </c>
      <c r="W135" s="154">
        <f t="shared" si="15"/>
        <v>0</v>
      </c>
      <c r="X135" s="154">
        <f t="shared" si="15"/>
        <v>0</v>
      </c>
      <c r="Y135" s="154">
        <f t="shared" si="15"/>
        <v>0</v>
      </c>
      <c r="Z135" s="154">
        <f t="shared" si="15"/>
        <v>0</v>
      </c>
      <c r="AA135" s="154">
        <f t="shared" si="15"/>
        <v>0</v>
      </c>
      <c r="AB135" s="154">
        <f t="shared" si="15"/>
        <v>0</v>
      </c>
      <c r="AC135" s="154">
        <f t="shared" si="19"/>
        <v>38400000</v>
      </c>
      <c r="AD135" s="156">
        <f t="shared" si="20"/>
        <v>695198975.35007524</v>
      </c>
      <c r="AE135" s="158"/>
      <c r="AG135" s="142">
        <v>698851524.14820337</v>
      </c>
      <c r="AH135" s="132">
        <v>682000000</v>
      </c>
      <c r="AI135" s="142">
        <f t="shared" si="21"/>
        <v>1377198975.3500752</v>
      </c>
      <c r="AJ135" s="155">
        <f t="shared" si="22"/>
        <v>1847230002.6869862</v>
      </c>
      <c r="AO135" s="154">
        <f t="shared" si="23"/>
        <v>462673256.48509252</v>
      </c>
      <c r="AP135" s="154">
        <f t="shared" si="24"/>
        <v>142470254.05310524</v>
      </c>
      <c r="AQ135" s="154">
        <f t="shared" si="25"/>
        <v>33514569.929991752</v>
      </c>
      <c r="AR135" s="154">
        <f t="shared" si="26"/>
        <v>18140894.881885801</v>
      </c>
      <c r="AS135" s="154">
        <f t="shared" si="27"/>
        <v>38400000</v>
      </c>
    </row>
    <row r="136" spans="1:45">
      <c r="A136" s="143">
        <f>EconomicInputs!A41</f>
        <v>2015</v>
      </c>
      <c r="B136" s="154">
        <f t="shared" si="16"/>
        <v>283015760.14993852</v>
      </c>
      <c r="C136" s="154">
        <f t="shared" si="15"/>
        <v>92214265.278445289</v>
      </c>
      <c r="D136" s="154">
        <f t="shared" si="15"/>
        <v>77330111.804722652</v>
      </c>
      <c r="E136" s="154">
        <f t="shared" si="15"/>
        <v>0</v>
      </c>
      <c r="F136" s="154">
        <f t="shared" si="15"/>
        <v>6169471.9621516159</v>
      </c>
      <c r="G136" s="154">
        <f t="shared" si="15"/>
        <v>86799065.999111965</v>
      </c>
      <c r="H136" s="154">
        <f t="shared" si="17"/>
        <v>49573166.94640509</v>
      </c>
      <c r="I136" s="154">
        <f t="shared" si="15"/>
        <v>0</v>
      </c>
      <c r="J136" s="154">
        <f t="shared" si="15"/>
        <v>0</v>
      </c>
      <c r="K136" s="154">
        <f t="shared" si="15"/>
        <v>0</v>
      </c>
      <c r="L136" s="154">
        <f t="shared" si="15"/>
        <v>0</v>
      </c>
      <c r="M136" s="154">
        <f t="shared" si="15"/>
        <v>0</v>
      </c>
      <c r="N136" s="154">
        <f t="shared" si="15"/>
        <v>34709004.588758908</v>
      </c>
      <c r="O136" s="154">
        <f t="shared" si="15"/>
        <v>0</v>
      </c>
      <c r="P136" s="154">
        <f t="shared" si="15"/>
        <v>0</v>
      </c>
      <c r="Q136" s="154">
        <f t="shared" si="15"/>
        <v>0</v>
      </c>
      <c r="R136" s="154">
        <f t="shared" si="15"/>
        <v>0</v>
      </c>
      <c r="S136" s="154">
        <f t="shared" si="15"/>
        <v>0</v>
      </c>
      <c r="T136" s="154">
        <f t="shared" si="18"/>
        <v>18999667.9639608</v>
      </c>
      <c r="U136" s="154">
        <f t="shared" si="15"/>
        <v>0</v>
      </c>
      <c r="V136" s="154">
        <f t="shared" si="15"/>
        <v>0</v>
      </c>
      <c r="W136" s="154">
        <f t="shared" si="15"/>
        <v>0</v>
      </c>
      <c r="X136" s="154">
        <f t="shared" si="15"/>
        <v>0</v>
      </c>
      <c r="Y136" s="154">
        <f t="shared" si="15"/>
        <v>0</v>
      </c>
      <c r="Z136" s="154">
        <f t="shared" si="15"/>
        <v>0</v>
      </c>
      <c r="AA136" s="154">
        <f t="shared" si="15"/>
        <v>0</v>
      </c>
      <c r="AB136" s="154">
        <f t="shared" si="15"/>
        <v>0</v>
      </c>
      <c r="AC136" s="154">
        <f t="shared" si="19"/>
        <v>38784000</v>
      </c>
      <c r="AD136" s="156">
        <f t="shared" si="20"/>
        <v>687594514.6934948</v>
      </c>
      <c r="AE136" s="158"/>
      <c r="AG136" s="142">
        <v>691380044.08221364</v>
      </c>
      <c r="AH136" s="132">
        <v>687700000</v>
      </c>
      <c r="AI136" s="142">
        <f t="shared" si="21"/>
        <v>1375294514.6934948</v>
      </c>
      <c r="AJ136" s="155">
        <f t="shared" si="22"/>
        <v>1838563226.249995</v>
      </c>
      <c r="AO136" s="154">
        <f t="shared" si="23"/>
        <v>452560137.23310649</v>
      </c>
      <c r="AP136" s="154">
        <f t="shared" si="24"/>
        <v>142541704.90766868</v>
      </c>
      <c r="AQ136" s="154">
        <f t="shared" si="25"/>
        <v>34709004.588758908</v>
      </c>
      <c r="AR136" s="154">
        <f t="shared" si="26"/>
        <v>18999667.9639608</v>
      </c>
      <c r="AS136" s="154">
        <f t="shared" si="27"/>
        <v>38784000</v>
      </c>
    </row>
    <row r="137" spans="1:45">
      <c r="A137" s="143">
        <f>EconomicInputs!A42</f>
        <v>2016</v>
      </c>
      <c r="B137" s="154">
        <f t="shared" si="16"/>
        <v>280769432.22221935</v>
      </c>
      <c r="C137" s="154">
        <f t="shared" si="15"/>
        <v>92955846.960895449</v>
      </c>
      <c r="D137" s="154">
        <f t="shared" si="15"/>
        <v>77952256.740341082</v>
      </c>
      <c r="E137" s="154">
        <f t="shared" si="15"/>
        <v>0</v>
      </c>
      <c r="F137" s="154">
        <f t="shared" si="15"/>
        <v>6149330.4566937275</v>
      </c>
      <c r="G137" s="154">
        <f t="shared" si="15"/>
        <v>87555283.345811307</v>
      </c>
      <c r="H137" s="154">
        <f t="shared" si="17"/>
        <v>49912999.566288486</v>
      </c>
      <c r="I137" s="154">
        <f t="shared" si="15"/>
        <v>0</v>
      </c>
      <c r="J137" s="154">
        <f t="shared" si="15"/>
        <v>0</v>
      </c>
      <c r="K137" s="154">
        <f t="shared" si="15"/>
        <v>0</v>
      </c>
      <c r="L137" s="154">
        <f t="shared" si="15"/>
        <v>0</v>
      </c>
      <c r="M137" s="154">
        <f t="shared" si="15"/>
        <v>0</v>
      </c>
      <c r="N137" s="154">
        <f t="shared" si="15"/>
        <v>36090353.719645031</v>
      </c>
      <c r="O137" s="154">
        <f t="shared" si="15"/>
        <v>0</v>
      </c>
      <c r="P137" s="154">
        <f t="shared" si="15"/>
        <v>0</v>
      </c>
      <c r="Q137" s="154">
        <f t="shared" si="15"/>
        <v>0</v>
      </c>
      <c r="R137" s="154">
        <f t="shared" si="15"/>
        <v>0</v>
      </c>
      <c r="S137" s="154">
        <f t="shared" si="15"/>
        <v>0</v>
      </c>
      <c r="T137" s="154">
        <f t="shared" si="18"/>
        <v>19643400.261650842</v>
      </c>
      <c r="U137" s="154">
        <f t="shared" si="15"/>
        <v>0</v>
      </c>
      <c r="V137" s="154">
        <f t="shared" si="15"/>
        <v>0</v>
      </c>
      <c r="W137" s="154">
        <f t="shared" si="15"/>
        <v>0</v>
      </c>
      <c r="X137" s="154">
        <f t="shared" si="15"/>
        <v>0</v>
      </c>
      <c r="Y137" s="154">
        <f t="shared" si="15"/>
        <v>0</v>
      </c>
      <c r="Z137" s="154">
        <f t="shared" si="15"/>
        <v>0</v>
      </c>
      <c r="AA137" s="154">
        <f t="shared" si="15"/>
        <v>0</v>
      </c>
      <c r="AB137" s="154">
        <f t="shared" si="15"/>
        <v>0</v>
      </c>
      <c r="AC137" s="154">
        <f t="shared" si="19"/>
        <v>39171840</v>
      </c>
      <c r="AD137" s="156">
        <f t="shared" si="20"/>
        <v>690200743.27354515</v>
      </c>
      <c r="AE137" s="158"/>
      <c r="AG137" s="142">
        <v>694120504.68473709</v>
      </c>
      <c r="AH137" s="132">
        <v>682000000</v>
      </c>
      <c r="AI137" s="142">
        <f t="shared" si="21"/>
        <v>1372200743.2735453</v>
      </c>
      <c r="AJ137" s="155">
        <f t="shared" si="22"/>
        <v>1836742391.8545563</v>
      </c>
      <c r="AO137" s="154">
        <f t="shared" si="23"/>
        <v>451677535.92345583</v>
      </c>
      <c r="AP137" s="154">
        <f t="shared" si="24"/>
        <v>143617613.36879352</v>
      </c>
      <c r="AQ137" s="154">
        <f t="shared" si="25"/>
        <v>36090353.719645031</v>
      </c>
      <c r="AR137" s="154">
        <f t="shared" si="26"/>
        <v>19643400.261650842</v>
      </c>
      <c r="AS137" s="154">
        <f t="shared" si="27"/>
        <v>39171840</v>
      </c>
    </row>
    <row r="138" spans="1:45">
      <c r="A138" s="143">
        <f>EconomicInputs!A43</f>
        <v>2017</v>
      </c>
      <c r="B138" s="154">
        <f t="shared" si="16"/>
        <v>434758967.78692836</v>
      </c>
      <c r="C138" s="154">
        <f t="shared" si="15"/>
        <v>93385179.857187137</v>
      </c>
      <c r="D138" s="154">
        <f t="shared" si="15"/>
        <v>78312593.154735833</v>
      </c>
      <c r="E138" s="154">
        <f t="shared" si="15"/>
        <v>0</v>
      </c>
      <c r="F138" s="154">
        <f t="shared" si="15"/>
        <v>6127263.3961119996</v>
      </c>
      <c r="G138" s="154">
        <f t="shared" si="15"/>
        <v>88315941.976168334</v>
      </c>
      <c r="H138" s="154">
        <f t="shared" si="17"/>
        <v>50292704.818511568</v>
      </c>
      <c r="I138" s="154">
        <f t="shared" si="15"/>
        <v>0</v>
      </c>
      <c r="J138" s="154">
        <f t="shared" si="15"/>
        <v>0</v>
      </c>
      <c r="K138" s="154">
        <f t="shared" si="15"/>
        <v>0</v>
      </c>
      <c r="L138" s="154">
        <f t="shared" si="15"/>
        <v>0</v>
      </c>
      <c r="M138" s="154">
        <f t="shared" si="15"/>
        <v>0</v>
      </c>
      <c r="N138" s="154">
        <f t="shared" si="15"/>
        <v>37382699.743625633</v>
      </c>
      <c r="O138" s="154">
        <f t="shared" si="15"/>
        <v>0</v>
      </c>
      <c r="P138" s="154">
        <f t="shared" si="15"/>
        <v>0</v>
      </c>
      <c r="Q138" s="154">
        <f t="shared" si="15"/>
        <v>0</v>
      </c>
      <c r="R138" s="154">
        <f t="shared" si="15"/>
        <v>0</v>
      </c>
      <c r="S138" s="154">
        <f t="shared" si="15"/>
        <v>0</v>
      </c>
      <c r="T138" s="154">
        <f t="shared" si="18"/>
        <v>20392813.68957258</v>
      </c>
      <c r="U138" s="154">
        <f t="shared" si="15"/>
        <v>0</v>
      </c>
      <c r="V138" s="154">
        <f t="shared" si="15"/>
        <v>0</v>
      </c>
      <c r="W138" s="154">
        <f t="shared" si="15"/>
        <v>0</v>
      </c>
      <c r="X138" s="154">
        <f t="shared" si="15"/>
        <v>0</v>
      </c>
      <c r="Y138" s="154">
        <f t="shared" si="15"/>
        <v>0</v>
      </c>
      <c r="Z138" s="154">
        <f t="shared" si="15"/>
        <v>0</v>
      </c>
      <c r="AA138" s="154">
        <f t="shared" si="15"/>
        <v>0</v>
      </c>
      <c r="AB138" s="154">
        <f t="shared" si="15"/>
        <v>0</v>
      </c>
      <c r="AC138" s="154">
        <f t="shared" si="19"/>
        <v>39563558.399999999</v>
      </c>
      <c r="AD138" s="156">
        <f t="shared" si="20"/>
        <v>848531722.82284141</v>
      </c>
      <c r="AE138" s="158"/>
      <c r="AG138" s="142">
        <v>695197402.16210294</v>
      </c>
      <c r="AH138" s="132">
        <v>682000000</v>
      </c>
      <c r="AI138" s="142">
        <f t="shared" si="21"/>
        <v>1530531722.8228414</v>
      </c>
      <c r="AJ138" s="155">
        <f t="shared" si="22"/>
        <v>2113806125.4324942</v>
      </c>
      <c r="AO138" s="154">
        <f t="shared" si="23"/>
        <v>606456740.79885137</v>
      </c>
      <c r="AP138" s="154">
        <f t="shared" si="24"/>
        <v>144735910.1907919</v>
      </c>
      <c r="AQ138" s="154">
        <f t="shared" si="25"/>
        <v>37382699.743625633</v>
      </c>
      <c r="AR138" s="154">
        <f t="shared" si="26"/>
        <v>20392813.68957258</v>
      </c>
      <c r="AS138" s="154">
        <f t="shared" si="27"/>
        <v>39563558.399999999</v>
      </c>
    </row>
    <row r="139" spans="1:45">
      <c r="A139" s="143">
        <f>EconomicInputs!A44</f>
        <v>2018</v>
      </c>
      <c r="B139" s="154">
        <f t="shared" si="16"/>
        <v>429267476.33530945</v>
      </c>
      <c r="C139" s="154">
        <f t="shared" si="15"/>
        <v>93915597.836348519</v>
      </c>
      <c r="D139" s="154">
        <f t="shared" si="15"/>
        <v>78757711.685294598</v>
      </c>
      <c r="E139" s="154">
        <f t="shared" si="15"/>
        <v>0</v>
      </c>
      <c r="F139" s="154">
        <f t="shared" si="15"/>
        <v>6103202.7724188445</v>
      </c>
      <c r="G139" s="154">
        <f t="shared" si="15"/>
        <v>89079433.030730695</v>
      </c>
      <c r="H139" s="154">
        <f t="shared" si="17"/>
        <v>50489063.416224577</v>
      </c>
      <c r="I139" s="154">
        <f t="shared" si="15"/>
        <v>0</v>
      </c>
      <c r="J139" s="154">
        <f t="shared" si="15"/>
        <v>0</v>
      </c>
      <c r="K139" s="154">
        <f t="shared" si="15"/>
        <v>0</v>
      </c>
      <c r="L139" s="154">
        <f t="shared" si="15"/>
        <v>0</v>
      </c>
      <c r="M139" s="154">
        <f t="shared" si="15"/>
        <v>0</v>
      </c>
      <c r="N139" s="154">
        <f t="shared" si="15"/>
        <v>38728843.845996708</v>
      </c>
      <c r="O139" s="154">
        <f t="shared" si="15"/>
        <v>0</v>
      </c>
      <c r="P139" s="154">
        <f t="shared" si="15"/>
        <v>0</v>
      </c>
      <c r="Q139" s="154">
        <f t="shared" si="15"/>
        <v>0</v>
      </c>
      <c r="R139" s="154">
        <f t="shared" si="15"/>
        <v>0</v>
      </c>
      <c r="S139" s="154">
        <f t="shared" si="15"/>
        <v>0</v>
      </c>
      <c r="T139" s="154">
        <f t="shared" si="18"/>
        <v>21111475.710642848</v>
      </c>
      <c r="U139" s="154">
        <f t="shared" si="15"/>
        <v>0</v>
      </c>
      <c r="V139" s="154">
        <f t="shared" si="15"/>
        <v>0</v>
      </c>
      <c r="W139" s="154">
        <f t="shared" si="15"/>
        <v>0</v>
      </c>
      <c r="X139" s="154">
        <f t="shared" si="15"/>
        <v>0</v>
      </c>
      <c r="Y139" s="154">
        <f t="shared" si="15"/>
        <v>0</v>
      </c>
      <c r="Z139" s="154">
        <f t="shared" si="15"/>
        <v>0</v>
      </c>
      <c r="AA139" s="154">
        <f t="shared" si="15"/>
        <v>0</v>
      </c>
      <c r="AB139" s="154">
        <f t="shared" si="15"/>
        <v>0</v>
      </c>
      <c r="AC139" s="154">
        <f t="shared" si="19"/>
        <v>39959193.983999997</v>
      </c>
      <c r="AD139" s="156">
        <f t="shared" si="20"/>
        <v>847411998.61696625</v>
      </c>
      <c r="AE139" s="158"/>
      <c r="AG139" s="142">
        <v>696130279.41340852</v>
      </c>
      <c r="AH139" s="132">
        <v>682000000</v>
      </c>
      <c r="AI139" s="142">
        <f t="shared" si="21"/>
        <v>1529411998.6169662</v>
      </c>
      <c r="AJ139" s="155">
        <f t="shared" si="22"/>
        <v>2111113718.657156</v>
      </c>
      <c r="AO139" s="154">
        <f t="shared" si="23"/>
        <v>601940785.85695255</v>
      </c>
      <c r="AP139" s="154">
        <f t="shared" si="24"/>
        <v>145671699.21937412</v>
      </c>
      <c r="AQ139" s="154">
        <f t="shared" si="25"/>
        <v>38728843.845996708</v>
      </c>
      <c r="AR139" s="154">
        <f t="shared" si="26"/>
        <v>21111475.710642848</v>
      </c>
      <c r="AS139" s="154">
        <f t="shared" si="27"/>
        <v>39959193.983999997</v>
      </c>
    </row>
    <row r="140" spans="1:45">
      <c r="A140" s="143">
        <f>EconomicInputs!A45</f>
        <v>2019</v>
      </c>
      <c r="B140" s="154">
        <f t="shared" si="16"/>
        <v>423571674.54885131</v>
      </c>
      <c r="C140" s="154">
        <f t="shared" si="15"/>
        <v>94655381.899076283</v>
      </c>
      <c r="D140" s="154">
        <f t="shared" si="15"/>
        <v>79378395.18789804</v>
      </c>
      <c r="E140" s="154">
        <f t="shared" si="15"/>
        <v>0</v>
      </c>
      <c r="F140" s="154">
        <f t="shared" si="15"/>
        <v>6077078.4063715618</v>
      </c>
      <c r="G140" s="154">
        <f t="shared" si="15"/>
        <v>89847456.533794671</v>
      </c>
      <c r="H140" s="154">
        <f t="shared" si="17"/>
        <v>50661425.311551929</v>
      </c>
      <c r="I140" s="154">
        <f t="shared" si="15"/>
        <v>0</v>
      </c>
      <c r="J140" s="154">
        <f t="shared" si="15"/>
        <v>0</v>
      </c>
      <c r="K140" s="154">
        <f t="shared" si="15"/>
        <v>0</v>
      </c>
      <c r="L140" s="154">
        <f t="shared" si="15"/>
        <v>0</v>
      </c>
      <c r="M140" s="154">
        <f t="shared" si="15"/>
        <v>0</v>
      </c>
      <c r="N140" s="154">
        <f t="shared" si="15"/>
        <v>40200049.541234583</v>
      </c>
      <c r="O140" s="154">
        <f t="shared" si="15"/>
        <v>0</v>
      </c>
      <c r="P140" s="154">
        <f t="shared" si="15"/>
        <v>0</v>
      </c>
      <c r="Q140" s="154">
        <f t="shared" si="15"/>
        <v>0</v>
      </c>
      <c r="R140" s="154">
        <f t="shared" si="15"/>
        <v>0</v>
      </c>
      <c r="S140" s="154">
        <f t="shared" si="15"/>
        <v>0</v>
      </c>
      <c r="T140" s="154">
        <f t="shared" si="18"/>
        <v>21698527.980203871</v>
      </c>
      <c r="U140" s="154">
        <f t="shared" si="15"/>
        <v>0</v>
      </c>
      <c r="V140" s="154">
        <f t="shared" si="15"/>
        <v>0</v>
      </c>
      <c r="W140" s="154">
        <f t="shared" si="15"/>
        <v>0</v>
      </c>
      <c r="X140" s="154">
        <f t="shared" si="15"/>
        <v>0</v>
      </c>
      <c r="Y140" s="154">
        <f t="shared" si="15"/>
        <v>0</v>
      </c>
      <c r="Z140" s="154">
        <f t="shared" si="15"/>
        <v>0</v>
      </c>
      <c r="AA140" s="154">
        <f t="shared" si="15"/>
        <v>0</v>
      </c>
      <c r="AB140" s="154">
        <f t="shared" si="15"/>
        <v>0</v>
      </c>
      <c r="AC140" s="154">
        <f t="shared" si="19"/>
        <v>40358785.923840001</v>
      </c>
      <c r="AD140" s="156">
        <f t="shared" si="20"/>
        <v>846448775.33282232</v>
      </c>
      <c r="AE140" s="158"/>
      <c r="AG140" s="142">
        <v>697295446.13205123</v>
      </c>
      <c r="AH140" s="132">
        <v>682000000</v>
      </c>
      <c r="AI140" s="142">
        <f t="shared" si="21"/>
        <v>1528448775.3328223</v>
      </c>
      <c r="AJ140" s="155">
        <f t="shared" si="22"/>
        <v>2108759419.2219605</v>
      </c>
      <c r="AO140" s="154">
        <f t="shared" si="23"/>
        <v>597605451.63582563</v>
      </c>
      <c r="AP140" s="154">
        <f t="shared" si="24"/>
        <v>146585960.25171816</v>
      </c>
      <c r="AQ140" s="154">
        <f t="shared" si="25"/>
        <v>40200049.541234583</v>
      </c>
      <c r="AR140" s="154">
        <f t="shared" si="26"/>
        <v>21698527.980203871</v>
      </c>
      <c r="AS140" s="154">
        <f t="shared" si="27"/>
        <v>40358785.923840001</v>
      </c>
    </row>
    <row r="141" spans="1:45">
      <c r="A141" s="143">
        <f>EconomicInputs!A46</f>
        <v>2020</v>
      </c>
      <c r="B141" s="154">
        <f t="shared" si="16"/>
        <v>417553880.20496905</v>
      </c>
      <c r="C141" s="154">
        <f t="shared" ref="C141:AB150" si="28">IF(C14=0,0,C76-C108)*C$130</f>
        <v>95480325.02751109</v>
      </c>
      <c r="D141" s="154">
        <f t="shared" si="28"/>
        <v>80070497.098261461</v>
      </c>
      <c r="E141" s="154">
        <f t="shared" si="28"/>
        <v>0</v>
      </c>
      <c r="F141" s="154">
        <f t="shared" si="28"/>
        <v>6048817.8793835305</v>
      </c>
      <c r="G141" s="154">
        <f t="shared" si="28"/>
        <v>90619612.355596036</v>
      </c>
      <c r="H141" s="154">
        <f t="shared" si="17"/>
        <v>50814454.837145224</v>
      </c>
      <c r="I141" s="154">
        <f t="shared" si="28"/>
        <v>0</v>
      </c>
      <c r="J141" s="154">
        <f t="shared" si="28"/>
        <v>0</v>
      </c>
      <c r="K141" s="154">
        <f t="shared" si="28"/>
        <v>0</v>
      </c>
      <c r="L141" s="154">
        <f t="shared" si="28"/>
        <v>0</v>
      </c>
      <c r="M141" s="154">
        <f t="shared" si="28"/>
        <v>0</v>
      </c>
      <c r="N141" s="154">
        <f t="shared" si="28"/>
        <v>41662707.537504248</v>
      </c>
      <c r="O141" s="154">
        <f t="shared" si="28"/>
        <v>0</v>
      </c>
      <c r="P141" s="154">
        <f t="shared" si="28"/>
        <v>0</v>
      </c>
      <c r="Q141" s="154">
        <f t="shared" si="28"/>
        <v>0</v>
      </c>
      <c r="R141" s="154">
        <f t="shared" si="28"/>
        <v>0</v>
      </c>
      <c r="S141" s="154">
        <f t="shared" si="28"/>
        <v>0</v>
      </c>
      <c r="T141" s="154">
        <f t="shared" si="18"/>
        <v>22231347.902430162</v>
      </c>
      <c r="U141" s="154">
        <f t="shared" si="28"/>
        <v>0</v>
      </c>
      <c r="V141" s="154">
        <f t="shared" si="28"/>
        <v>0</v>
      </c>
      <c r="W141" s="154">
        <f t="shared" si="28"/>
        <v>0</v>
      </c>
      <c r="X141" s="154">
        <f t="shared" si="28"/>
        <v>0</v>
      </c>
      <c r="Y141" s="154">
        <f t="shared" si="28"/>
        <v>0</v>
      </c>
      <c r="Z141" s="154">
        <f t="shared" si="28"/>
        <v>0</v>
      </c>
      <c r="AA141" s="154">
        <f t="shared" si="28"/>
        <v>0</v>
      </c>
      <c r="AB141" s="154">
        <f t="shared" si="28"/>
        <v>0</v>
      </c>
      <c r="AC141" s="154">
        <f t="shared" si="19"/>
        <v>40762373.783078402</v>
      </c>
      <c r="AD141" s="156">
        <f t="shared" si="20"/>
        <v>845244016.62587929</v>
      </c>
      <c r="AE141" s="158"/>
      <c r="AG141" s="142">
        <v>698337524.56002641</v>
      </c>
      <c r="AH141" s="132">
        <v>698200000</v>
      </c>
      <c r="AI141" s="142">
        <f t="shared" si="21"/>
        <v>1543444016.6258793</v>
      </c>
      <c r="AJ141" s="155">
        <f t="shared" si="22"/>
        <v>2122197815.4168787</v>
      </c>
      <c r="AO141" s="154">
        <f t="shared" si="23"/>
        <v>593104702.33074164</v>
      </c>
      <c r="AP141" s="154">
        <f t="shared" si="24"/>
        <v>147482885.07212478</v>
      </c>
      <c r="AQ141" s="154">
        <f t="shared" si="25"/>
        <v>41662707.537504248</v>
      </c>
      <c r="AR141" s="154">
        <f t="shared" si="26"/>
        <v>22231347.902430162</v>
      </c>
      <c r="AS141" s="154">
        <f t="shared" si="27"/>
        <v>40762373.783078402</v>
      </c>
    </row>
    <row r="142" spans="1:45">
      <c r="A142" s="143">
        <f>EconomicInputs!A47</f>
        <v>2021</v>
      </c>
      <c r="B142" s="154">
        <f t="shared" si="16"/>
        <v>410815279.7184388</v>
      </c>
      <c r="C142" s="154">
        <f t="shared" si="28"/>
        <v>96390574.295765176</v>
      </c>
      <c r="D142" s="154">
        <f t="shared" si="28"/>
        <v>80834140.970153168</v>
      </c>
      <c r="E142" s="154">
        <f t="shared" si="28"/>
        <v>0</v>
      </c>
      <c r="F142" s="154">
        <f t="shared" si="28"/>
        <v>6017254.7095555319</v>
      </c>
      <c r="G142" s="154">
        <f t="shared" si="28"/>
        <v>91395485.981910959</v>
      </c>
      <c r="H142" s="154">
        <f t="shared" si="17"/>
        <v>50951853.778627098</v>
      </c>
      <c r="I142" s="154">
        <f t="shared" si="28"/>
        <v>0</v>
      </c>
      <c r="J142" s="154">
        <f t="shared" si="28"/>
        <v>0</v>
      </c>
      <c r="K142" s="154">
        <f t="shared" si="28"/>
        <v>0</v>
      </c>
      <c r="L142" s="154">
        <f t="shared" si="28"/>
        <v>0</v>
      </c>
      <c r="M142" s="154">
        <f t="shared" si="28"/>
        <v>0</v>
      </c>
      <c r="N142" s="154">
        <f t="shared" si="28"/>
        <v>43083589.13812153</v>
      </c>
      <c r="O142" s="154">
        <f t="shared" si="28"/>
        <v>0</v>
      </c>
      <c r="P142" s="154">
        <f t="shared" si="28"/>
        <v>0</v>
      </c>
      <c r="Q142" s="154">
        <f t="shared" si="28"/>
        <v>0</v>
      </c>
      <c r="R142" s="154">
        <f t="shared" si="28"/>
        <v>0</v>
      </c>
      <c r="S142" s="154">
        <f t="shared" si="28"/>
        <v>0</v>
      </c>
      <c r="T142" s="154">
        <f t="shared" si="18"/>
        <v>22713183.530878551</v>
      </c>
      <c r="U142" s="154">
        <f t="shared" si="28"/>
        <v>0</v>
      </c>
      <c r="V142" s="154">
        <f t="shared" si="28"/>
        <v>0</v>
      </c>
      <c r="W142" s="154">
        <f t="shared" si="28"/>
        <v>0</v>
      </c>
      <c r="X142" s="154">
        <f t="shared" si="28"/>
        <v>0</v>
      </c>
      <c r="Y142" s="154">
        <f t="shared" si="28"/>
        <v>0</v>
      </c>
      <c r="Z142" s="154">
        <f t="shared" si="28"/>
        <v>0</v>
      </c>
      <c r="AA142" s="154">
        <f t="shared" si="28"/>
        <v>0</v>
      </c>
      <c r="AB142" s="154">
        <f t="shared" si="28"/>
        <v>0</v>
      </c>
      <c r="AC142" s="154">
        <f t="shared" si="19"/>
        <v>41169997.52090919</v>
      </c>
      <c r="AD142" s="156">
        <f t="shared" si="20"/>
        <v>843371359.64435983</v>
      </c>
      <c r="AE142" s="158"/>
      <c r="AG142" s="142">
        <v>698972685.49720287</v>
      </c>
      <c r="AH142" s="132">
        <v>698200000</v>
      </c>
      <c r="AI142" s="142">
        <f t="shared" si="21"/>
        <v>1541571359.6443598</v>
      </c>
      <c r="AJ142" s="155">
        <f t="shared" si="22"/>
        <v>2118274877.7456887</v>
      </c>
      <c r="AO142" s="154">
        <f t="shared" si="23"/>
        <v>588039994.98435712</v>
      </c>
      <c r="AP142" s="154">
        <f t="shared" si="24"/>
        <v>148364594.47009361</v>
      </c>
      <c r="AQ142" s="154">
        <f t="shared" si="25"/>
        <v>43083589.13812153</v>
      </c>
      <c r="AR142" s="154">
        <f t="shared" si="26"/>
        <v>22713183.530878551</v>
      </c>
      <c r="AS142" s="154">
        <f t="shared" si="27"/>
        <v>41169997.52090919</v>
      </c>
    </row>
    <row r="143" spans="1:45">
      <c r="A143" s="143">
        <f>EconomicInputs!A48</f>
        <v>2022</v>
      </c>
      <c r="B143" s="154">
        <f t="shared" si="16"/>
        <v>403443890.07306349</v>
      </c>
      <c r="C143" s="154">
        <f t="shared" si="28"/>
        <v>97401246.420952052</v>
      </c>
      <c r="D143" s="154">
        <f t="shared" si="28"/>
        <v>81682001.741730794</v>
      </c>
      <c r="E143" s="154">
        <f t="shared" si="28"/>
        <v>0</v>
      </c>
      <c r="F143" s="154">
        <f t="shared" si="28"/>
        <v>5983415.2797096334</v>
      </c>
      <c r="G143" s="154">
        <f t="shared" si="28"/>
        <v>92174479.475108683</v>
      </c>
      <c r="H143" s="154">
        <f t="shared" si="17"/>
        <v>51076454.887883514</v>
      </c>
      <c r="I143" s="154">
        <f t="shared" si="28"/>
        <v>0</v>
      </c>
      <c r="J143" s="154">
        <f t="shared" si="28"/>
        <v>0</v>
      </c>
      <c r="K143" s="154">
        <f t="shared" si="28"/>
        <v>0</v>
      </c>
      <c r="L143" s="154">
        <f t="shared" si="28"/>
        <v>0</v>
      </c>
      <c r="M143" s="154">
        <f t="shared" si="28"/>
        <v>0</v>
      </c>
      <c r="N143" s="154">
        <f t="shared" si="28"/>
        <v>44592469.456381448</v>
      </c>
      <c r="O143" s="154">
        <f t="shared" si="28"/>
        <v>0</v>
      </c>
      <c r="P143" s="154">
        <f t="shared" si="28"/>
        <v>0</v>
      </c>
      <c r="Q143" s="154">
        <f t="shared" si="28"/>
        <v>0</v>
      </c>
      <c r="R143" s="154">
        <f t="shared" si="28"/>
        <v>0</v>
      </c>
      <c r="S143" s="154">
        <f t="shared" si="28"/>
        <v>0</v>
      </c>
      <c r="T143" s="154">
        <f t="shared" si="18"/>
        <v>23153462.211385567</v>
      </c>
      <c r="U143" s="154">
        <f t="shared" si="28"/>
        <v>0</v>
      </c>
      <c r="V143" s="154">
        <f t="shared" si="28"/>
        <v>0</v>
      </c>
      <c r="W143" s="154">
        <f t="shared" si="28"/>
        <v>0</v>
      </c>
      <c r="X143" s="154">
        <f t="shared" si="28"/>
        <v>0</v>
      </c>
      <c r="Y143" s="154">
        <f t="shared" si="28"/>
        <v>0</v>
      </c>
      <c r="Z143" s="154">
        <f t="shared" si="28"/>
        <v>0</v>
      </c>
      <c r="AA143" s="154">
        <f t="shared" si="28"/>
        <v>0</v>
      </c>
      <c r="AB143" s="154">
        <f t="shared" si="28"/>
        <v>0</v>
      </c>
      <c r="AC143" s="154">
        <f t="shared" si="19"/>
        <v>41581697.496118285</v>
      </c>
      <c r="AD143" s="156">
        <f t="shared" si="20"/>
        <v>841089117.04233348</v>
      </c>
      <c r="AE143" s="158"/>
      <c r="AG143" s="142">
        <v>699428013.23830688</v>
      </c>
      <c r="AH143" s="132">
        <v>698200000</v>
      </c>
      <c r="AI143" s="142">
        <f t="shared" si="21"/>
        <v>1539289117.0423336</v>
      </c>
      <c r="AJ143" s="155">
        <f t="shared" si="22"/>
        <v>2113650683.9034111</v>
      </c>
      <c r="AO143" s="154">
        <f t="shared" si="23"/>
        <v>582527138.23574638</v>
      </c>
      <c r="AP143" s="154">
        <f t="shared" si="24"/>
        <v>149234349.64270183</v>
      </c>
      <c r="AQ143" s="154">
        <f t="shared" si="25"/>
        <v>44592469.456381448</v>
      </c>
      <c r="AR143" s="154">
        <f t="shared" si="26"/>
        <v>23153462.211385567</v>
      </c>
      <c r="AS143" s="154">
        <f t="shared" si="27"/>
        <v>41581697.496118285</v>
      </c>
    </row>
    <row r="144" spans="1:45">
      <c r="A144" s="143">
        <f>EconomicInputs!A49</f>
        <v>2023</v>
      </c>
      <c r="B144" s="154">
        <f t="shared" si="16"/>
        <v>395522462.03458649</v>
      </c>
      <c r="C144" s="154">
        <f t="shared" si="28"/>
        <v>98521198.567251861</v>
      </c>
      <c r="D144" s="154">
        <f t="shared" si="28"/>
        <v>82621506.083300442</v>
      </c>
      <c r="E144" s="154">
        <f t="shared" si="28"/>
        <v>0</v>
      </c>
      <c r="F144" s="154">
        <f t="shared" si="28"/>
        <v>5947221.2909781039</v>
      </c>
      <c r="G144" s="154">
        <f t="shared" si="28"/>
        <v>92956552.571049273</v>
      </c>
      <c r="H144" s="154">
        <f t="shared" si="17"/>
        <v>51190400.351825714</v>
      </c>
      <c r="I144" s="154">
        <f t="shared" si="28"/>
        <v>0</v>
      </c>
      <c r="J144" s="154">
        <f t="shared" si="28"/>
        <v>0</v>
      </c>
      <c r="K144" s="154">
        <f t="shared" si="28"/>
        <v>0</v>
      </c>
      <c r="L144" s="154">
        <f t="shared" si="28"/>
        <v>0</v>
      </c>
      <c r="M144" s="154">
        <f t="shared" si="28"/>
        <v>0</v>
      </c>
      <c r="N144" s="154">
        <f t="shared" si="28"/>
        <v>46248088.311675645</v>
      </c>
      <c r="O144" s="154">
        <f t="shared" si="28"/>
        <v>0</v>
      </c>
      <c r="P144" s="154">
        <f t="shared" si="28"/>
        <v>0</v>
      </c>
      <c r="Q144" s="154">
        <f t="shared" si="28"/>
        <v>0</v>
      </c>
      <c r="R144" s="154">
        <f t="shared" si="28"/>
        <v>0</v>
      </c>
      <c r="S144" s="154">
        <f t="shared" si="28"/>
        <v>0</v>
      </c>
      <c r="T144" s="154">
        <f t="shared" si="18"/>
        <v>23558624.284461565</v>
      </c>
      <c r="U144" s="154">
        <f t="shared" si="28"/>
        <v>0</v>
      </c>
      <c r="V144" s="154">
        <f t="shared" si="28"/>
        <v>0</v>
      </c>
      <c r="W144" s="154">
        <f t="shared" si="28"/>
        <v>0</v>
      </c>
      <c r="X144" s="154">
        <f t="shared" si="28"/>
        <v>0</v>
      </c>
      <c r="Y144" s="154">
        <f t="shared" si="28"/>
        <v>0</v>
      </c>
      <c r="Z144" s="154">
        <f t="shared" si="28"/>
        <v>0</v>
      </c>
      <c r="AA144" s="154">
        <f t="shared" si="28"/>
        <v>0</v>
      </c>
      <c r="AB144" s="154">
        <f t="shared" si="28"/>
        <v>0</v>
      </c>
      <c r="AC144" s="154">
        <f t="shared" si="19"/>
        <v>41997514.471079469</v>
      </c>
      <c r="AD144" s="156">
        <f t="shared" si="20"/>
        <v>838563567.96620858</v>
      </c>
      <c r="AE144" s="158"/>
      <c r="AG144" s="142">
        <v>699840398.06430972</v>
      </c>
      <c r="AH144" s="132">
        <v>698200000</v>
      </c>
      <c r="AI144" s="142">
        <f t="shared" si="21"/>
        <v>1536763567.9662085</v>
      </c>
      <c r="AJ144" s="155">
        <f t="shared" si="22"/>
        <v>2108618159.4546492</v>
      </c>
      <c r="AO144" s="154">
        <f t="shared" si="23"/>
        <v>576665166.68513882</v>
      </c>
      <c r="AP144" s="154">
        <f t="shared" si="24"/>
        <v>150094174.21385309</v>
      </c>
      <c r="AQ144" s="154">
        <f t="shared" si="25"/>
        <v>46248088.311675645</v>
      </c>
      <c r="AR144" s="154">
        <f t="shared" si="26"/>
        <v>23558624.284461565</v>
      </c>
      <c r="AS144" s="154">
        <f t="shared" si="27"/>
        <v>41997514.471079469</v>
      </c>
    </row>
    <row r="145" spans="1:45">
      <c r="A145" s="143">
        <f>EconomicInputs!A50</f>
        <v>2024</v>
      </c>
      <c r="B145" s="154">
        <f t="shared" si="16"/>
        <v>387051003.35608453</v>
      </c>
      <c r="C145" s="154">
        <f t="shared" si="28"/>
        <v>99736955.538878962</v>
      </c>
      <c r="D145" s="154">
        <f t="shared" si="28"/>
        <v>83641355.679244772</v>
      </c>
      <c r="E145" s="154">
        <f t="shared" si="28"/>
        <v>0</v>
      </c>
      <c r="F145" s="154">
        <f t="shared" si="28"/>
        <v>5908591.9692786857</v>
      </c>
      <c r="G145" s="154">
        <f t="shared" si="28"/>
        <v>93741074.820877299</v>
      </c>
      <c r="H145" s="154">
        <f t="shared" si="17"/>
        <v>51295247.887757413</v>
      </c>
      <c r="I145" s="154">
        <f t="shared" si="28"/>
        <v>0</v>
      </c>
      <c r="J145" s="154">
        <f t="shared" si="28"/>
        <v>0</v>
      </c>
      <c r="K145" s="154">
        <f t="shared" si="28"/>
        <v>0</v>
      </c>
      <c r="L145" s="154">
        <f t="shared" si="28"/>
        <v>0</v>
      </c>
      <c r="M145" s="154">
        <f t="shared" si="28"/>
        <v>0</v>
      </c>
      <c r="N145" s="154">
        <f t="shared" si="28"/>
        <v>47985815.533498041</v>
      </c>
      <c r="O145" s="154">
        <f t="shared" si="28"/>
        <v>0</v>
      </c>
      <c r="P145" s="154">
        <f t="shared" si="28"/>
        <v>0</v>
      </c>
      <c r="Q145" s="154">
        <f t="shared" si="28"/>
        <v>0</v>
      </c>
      <c r="R145" s="154">
        <f t="shared" si="28"/>
        <v>0</v>
      </c>
      <c r="S145" s="154">
        <f t="shared" si="28"/>
        <v>0</v>
      </c>
      <c r="T145" s="154">
        <f t="shared" si="18"/>
        <v>23933756.999289867</v>
      </c>
      <c r="U145" s="154">
        <f t="shared" si="28"/>
        <v>0</v>
      </c>
      <c r="V145" s="154">
        <f t="shared" si="28"/>
        <v>0</v>
      </c>
      <c r="W145" s="154">
        <f t="shared" si="28"/>
        <v>0</v>
      </c>
      <c r="X145" s="154">
        <f t="shared" si="28"/>
        <v>0</v>
      </c>
      <c r="Y145" s="154">
        <f t="shared" si="28"/>
        <v>0</v>
      </c>
      <c r="Z145" s="154">
        <f t="shared" si="28"/>
        <v>0</v>
      </c>
      <c r="AA145" s="154">
        <f t="shared" si="28"/>
        <v>0</v>
      </c>
      <c r="AB145" s="154">
        <f t="shared" si="28"/>
        <v>0</v>
      </c>
      <c r="AC145" s="154">
        <f t="shared" si="19"/>
        <v>42417489.615790263</v>
      </c>
      <c r="AD145" s="156">
        <f t="shared" si="20"/>
        <v>835711291.40069985</v>
      </c>
      <c r="AE145" s="158"/>
      <c r="AG145" s="142">
        <v>700126605.3940686</v>
      </c>
      <c r="AH145" s="132">
        <v>698200000</v>
      </c>
      <c r="AI145" s="142">
        <f t="shared" si="21"/>
        <v>1533911291.4006999</v>
      </c>
      <c r="AJ145" s="155">
        <f t="shared" si="22"/>
        <v>2103021986.765914</v>
      </c>
      <c r="AO145" s="154">
        <f t="shared" si="23"/>
        <v>570429314.57420826</v>
      </c>
      <c r="AP145" s="154">
        <f t="shared" si="24"/>
        <v>150944914.6779134</v>
      </c>
      <c r="AQ145" s="154">
        <f t="shared" si="25"/>
        <v>47985815.533498041</v>
      </c>
      <c r="AR145" s="154">
        <f t="shared" si="26"/>
        <v>23933756.999289867</v>
      </c>
      <c r="AS145" s="154">
        <f t="shared" si="27"/>
        <v>42417489.615790263</v>
      </c>
    </row>
    <row r="146" spans="1:45">
      <c r="A146" s="143">
        <f>EconomicInputs!A51</f>
        <v>2025</v>
      </c>
      <c r="B146" s="154">
        <f t="shared" si="16"/>
        <v>378156256.35984313</v>
      </c>
      <c r="C146" s="154">
        <f t="shared" si="28"/>
        <v>101025618.98069078</v>
      </c>
      <c r="D146" s="154">
        <f t="shared" si="28"/>
        <v>84722351.170265079</v>
      </c>
      <c r="E146" s="154">
        <f t="shared" si="28"/>
        <v>0</v>
      </c>
      <c r="F146" s="154">
        <f t="shared" si="28"/>
        <v>5867443.9882186567</v>
      </c>
      <c r="G146" s="154">
        <f t="shared" si="28"/>
        <v>94527379.760328516</v>
      </c>
      <c r="H146" s="154">
        <f t="shared" si="17"/>
        <v>51392164.933264695</v>
      </c>
      <c r="I146" s="154">
        <f t="shared" si="28"/>
        <v>0</v>
      </c>
      <c r="J146" s="154">
        <f t="shared" si="28"/>
        <v>0</v>
      </c>
      <c r="K146" s="154">
        <f t="shared" si="28"/>
        <v>0</v>
      </c>
      <c r="L146" s="154">
        <f t="shared" si="28"/>
        <v>0</v>
      </c>
      <c r="M146" s="154">
        <f t="shared" si="28"/>
        <v>0</v>
      </c>
      <c r="N146" s="154">
        <f t="shared" si="28"/>
        <v>49789653.80756367</v>
      </c>
      <c r="O146" s="154">
        <f t="shared" si="28"/>
        <v>0</v>
      </c>
      <c r="P146" s="154">
        <f t="shared" si="28"/>
        <v>0</v>
      </c>
      <c r="Q146" s="154">
        <f t="shared" si="28"/>
        <v>0</v>
      </c>
      <c r="R146" s="154">
        <f t="shared" si="28"/>
        <v>0</v>
      </c>
      <c r="S146" s="154">
        <f t="shared" si="28"/>
        <v>0</v>
      </c>
      <c r="T146" s="154">
        <f t="shared" si="18"/>
        <v>24282881.883239441</v>
      </c>
      <c r="U146" s="154">
        <f t="shared" si="28"/>
        <v>0</v>
      </c>
      <c r="V146" s="154">
        <f t="shared" si="28"/>
        <v>0</v>
      </c>
      <c r="W146" s="154">
        <f t="shared" si="28"/>
        <v>0</v>
      </c>
      <c r="X146" s="154">
        <f t="shared" si="28"/>
        <v>0</v>
      </c>
      <c r="Y146" s="154">
        <f t="shared" si="28"/>
        <v>0</v>
      </c>
      <c r="Z146" s="154">
        <f t="shared" si="28"/>
        <v>0</v>
      </c>
      <c r="AA146" s="154">
        <f t="shared" si="28"/>
        <v>0</v>
      </c>
      <c r="AB146" s="154">
        <f t="shared" si="28"/>
        <v>0</v>
      </c>
      <c r="AC146" s="154">
        <f t="shared" si="19"/>
        <v>42841664.511948168</v>
      </c>
      <c r="AD146" s="156">
        <f t="shared" si="20"/>
        <v>832605415.39536214</v>
      </c>
      <c r="AE146" s="158"/>
      <c r="AG146" s="142">
        <v>700314700.95694351</v>
      </c>
      <c r="AH146" s="132">
        <v>698200000</v>
      </c>
      <c r="AI146" s="142">
        <f t="shared" si="21"/>
        <v>1530805415.3953621</v>
      </c>
      <c r="AJ146" s="155">
        <f t="shared" si="22"/>
        <v>2096990838.7473464</v>
      </c>
      <c r="AO146" s="154">
        <f t="shared" si="23"/>
        <v>563904226.51079893</v>
      </c>
      <c r="AP146" s="154">
        <f t="shared" si="24"/>
        <v>151786988.68181187</v>
      </c>
      <c r="AQ146" s="154">
        <f t="shared" si="25"/>
        <v>49789653.80756367</v>
      </c>
      <c r="AR146" s="154">
        <f t="shared" si="26"/>
        <v>24282881.883239441</v>
      </c>
      <c r="AS146" s="154">
        <f t="shared" si="27"/>
        <v>42841664.511948168</v>
      </c>
    </row>
    <row r="147" spans="1:45">
      <c r="A147" s="143">
        <f>EconomicInputs!A52</f>
        <v>2026</v>
      </c>
      <c r="B147" s="154">
        <f t="shared" si="16"/>
        <v>369356972.40928525</v>
      </c>
      <c r="C147" s="154">
        <f t="shared" si="28"/>
        <v>102365025.32010464</v>
      </c>
      <c r="D147" s="154">
        <f t="shared" si="28"/>
        <v>85845909.29138644</v>
      </c>
      <c r="E147" s="154">
        <f t="shared" si="28"/>
        <v>0</v>
      </c>
      <c r="F147" s="154">
        <f t="shared" si="28"/>
        <v>5822705.5509051457</v>
      </c>
      <c r="G147" s="154">
        <f t="shared" si="28"/>
        <v>95315038.732867777</v>
      </c>
      <c r="H147" s="154">
        <f t="shared" si="17"/>
        <v>51482070.480811112</v>
      </c>
      <c r="I147" s="154">
        <f t="shared" si="28"/>
        <v>0</v>
      </c>
      <c r="J147" s="154">
        <f t="shared" si="28"/>
        <v>0</v>
      </c>
      <c r="K147" s="154">
        <f t="shared" si="28"/>
        <v>0</v>
      </c>
      <c r="L147" s="154">
        <f t="shared" si="28"/>
        <v>0</v>
      </c>
      <c r="M147" s="154">
        <f t="shared" si="28"/>
        <v>0</v>
      </c>
      <c r="N147" s="154">
        <f t="shared" si="28"/>
        <v>51694866.12895485</v>
      </c>
      <c r="O147" s="154">
        <f t="shared" si="28"/>
        <v>0</v>
      </c>
      <c r="P147" s="154">
        <f t="shared" si="28"/>
        <v>0</v>
      </c>
      <c r="Q147" s="154">
        <f t="shared" si="28"/>
        <v>0</v>
      </c>
      <c r="R147" s="154">
        <f t="shared" si="28"/>
        <v>0</v>
      </c>
      <c r="S147" s="154">
        <f t="shared" si="28"/>
        <v>0</v>
      </c>
      <c r="T147" s="154">
        <f t="shared" si="18"/>
        <v>24609247.880512469</v>
      </c>
      <c r="U147" s="154">
        <f t="shared" si="28"/>
        <v>0</v>
      </c>
      <c r="V147" s="154">
        <f t="shared" si="28"/>
        <v>0</v>
      </c>
      <c r="W147" s="154">
        <f t="shared" si="28"/>
        <v>0</v>
      </c>
      <c r="X147" s="154">
        <f t="shared" si="28"/>
        <v>0</v>
      </c>
      <c r="Y147" s="154">
        <f t="shared" si="28"/>
        <v>0</v>
      </c>
      <c r="Z147" s="154">
        <f t="shared" si="28"/>
        <v>0</v>
      </c>
      <c r="AA147" s="154">
        <f t="shared" si="28"/>
        <v>0</v>
      </c>
      <c r="AB147" s="154">
        <f t="shared" si="28"/>
        <v>0</v>
      </c>
      <c r="AC147" s="154">
        <f t="shared" si="19"/>
        <v>43270081.157067649</v>
      </c>
      <c r="AD147" s="156">
        <f t="shared" si="20"/>
        <v>829761916.95189536</v>
      </c>
      <c r="AE147" s="158"/>
      <c r="AG147" s="142">
        <v>700735555.71071565</v>
      </c>
      <c r="AH147" s="132">
        <v>698200000</v>
      </c>
      <c r="AI147" s="142">
        <f t="shared" si="21"/>
        <v>1527961916.9518952</v>
      </c>
      <c r="AJ147" s="155">
        <f t="shared" si="22"/>
        <v>2091437665.8587306</v>
      </c>
      <c r="AO147" s="154">
        <f t="shared" si="23"/>
        <v>557567907.02077639</v>
      </c>
      <c r="AP147" s="154">
        <f t="shared" si="24"/>
        <v>152619814.76458403</v>
      </c>
      <c r="AQ147" s="154">
        <f t="shared" si="25"/>
        <v>51694866.12895485</v>
      </c>
      <c r="AR147" s="154">
        <f t="shared" si="26"/>
        <v>24609247.880512469</v>
      </c>
      <c r="AS147" s="154">
        <f t="shared" si="27"/>
        <v>43270081.157067649</v>
      </c>
    </row>
    <row r="148" spans="1:45">
      <c r="A148" s="143">
        <f>EconomicInputs!A53</f>
        <v>2027</v>
      </c>
      <c r="B148" s="154">
        <f t="shared" si="16"/>
        <v>360811809.9598605</v>
      </c>
      <c r="C148" s="154">
        <f t="shared" si="28"/>
        <v>103750728.38715093</v>
      </c>
      <c r="D148" s="154">
        <f t="shared" si="28"/>
        <v>87008302.355076879</v>
      </c>
      <c r="E148" s="154">
        <f t="shared" si="28"/>
        <v>0</v>
      </c>
      <c r="F148" s="154">
        <f t="shared" si="28"/>
        <v>5775289.3224642137</v>
      </c>
      <c r="G148" s="154">
        <f t="shared" si="28"/>
        <v>96104110.236713246</v>
      </c>
      <c r="H148" s="154">
        <f t="shared" si="17"/>
        <v>51565790.307658702</v>
      </c>
      <c r="I148" s="154">
        <f t="shared" si="28"/>
        <v>0</v>
      </c>
      <c r="J148" s="154">
        <f t="shared" si="28"/>
        <v>0</v>
      </c>
      <c r="K148" s="154">
        <f t="shared" si="28"/>
        <v>0</v>
      </c>
      <c r="L148" s="154">
        <f t="shared" si="28"/>
        <v>0</v>
      </c>
      <c r="M148" s="154">
        <f t="shared" si="28"/>
        <v>0</v>
      </c>
      <c r="N148" s="154">
        <f t="shared" si="28"/>
        <v>53709994.728095703</v>
      </c>
      <c r="O148" s="154">
        <f t="shared" si="28"/>
        <v>0</v>
      </c>
      <c r="P148" s="154">
        <f t="shared" si="28"/>
        <v>0</v>
      </c>
      <c r="Q148" s="154">
        <f t="shared" si="28"/>
        <v>0</v>
      </c>
      <c r="R148" s="154">
        <f t="shared" si="28"/>
        <v>0</v>
      </c>
      <c r="S148" s="154">
        <f t="shared" si="28"/>
        <v>0</v>
      </c>
      <c r="T148" s="154">
        <f t="shared" si="18"/>
        <v>24915558.760482851</v>
      </c>
      <c r="U148" s="154">
        <f t="shared" si="28"/>
        <v>0</v>
      </c>
      <c r="V148" s="154">
        <f t="shared" si="28"/>
        <v>0</v>
      </c>
      <c r="W148" s="154">
        <f t="shared" si="28"/>
        <v>0</v>
      </c>
      <c r="X148" s="154">
        <f t="shared" si="28"/>
        <v>0</v>
      </c>
      <c r="Y148" s="154">
        <f t="shared" si="28"/>
        <v>0</v>
      </c>
      <c r="Z148" s="154">
        <f t="shared" si="28"/>
        <v>0</v>
      </c>
      <c r="AA148" s="154">
        <f t="shared" si="28"/>
        <v>0</v>
      </c>
      <c r="AB148" s="154">
        <f t="shared" si="28"/>
        <v>0</v>
      </c>
      <c r="AC148" s="154">
        <f t="shared" si="19"/>
        <v>43702781.968638323</v>
      </c>
      <c r="AD148" s="156">
        <f t="shared" si="20"/>
        <v>827344366.02614141</v>
      </c>
      <c r="AE148" s="158"/>
      <c r="AG148" s="142">
        <v>701496310.68756664</v>
      </c>
      <c r="AH148" s="132">
        <v>698200000</v>
      </c>
      <c r="AI148" s="142">
        <f t="shared" si="21"/>
        <v>1525544366.0261414</v>
      </c>
      <c r="AJ148" s="155">
        <f t="shared" si="22"/>
        <v>2086649402.079196</v>
      </c>
      <c r="AO148" s="154">
        <f t="shared" si="23"/>
        <v>551570840.70208836</v>
      </c>
      <c r="AP148" s="154">
        <f t="shared" si="24"/>
        <v>153445189.86683616</v>
      </c>
      <c r="AQ148" s="154">
        <f t="shared" si="25"/>
        <v>53709994.728095703</v>
      </c>
      <c r="AR148" s="154">
        <f t="shared" si="26"/>
        <v>24915558.760482851</v>
      </c>
      <c r="AS148" s="154">
        <f t="shared" si="27"/>
        <v>43702781.968638323</v>
      </c>
    </row>
    <row r="149" spans="1:45">
      <c r="A149" s="143">
        <f>EconomicInputs!A54</f>
        <v>2028</v>
      </c>
      <c r="B149" s="154">
        <f t="shared" si="16"/>
        <v>352527923.62759054</v>
      </c>
      <c r="C149" s="154">
        <f t="shared" si="28"/>
        <v>105184572.62529007</v>
      </c>
      <c r="D149" s="154">
        <f t="shared" si="28"/>
        <v>88211077.21673049</v>
      </c>
      <c r="E149" s="154">
        <f t="shared" si="28"/>
        <v>0</v>
      </c>
      <c r="F149" s="154">
        <f t="shared" si="28"/>
        <v>5725105.2231377671</v>
      </c>
      <c r="G149" s="154">
        <f t="shared" si="28"/>
        <v>96894207.452925712</v>
      </c>
      <c r="H149" s="154">
        <f t="shared" si="17"/>
        <v>51644038.968343139</v>
      </c>
      <c r="I149" s="154">
        <f t="shared" si="28"/>
        <v>0</v>
      </c>
      <c r="J149" s="154">
        <f t="shared" si="28"/>
        <v>0</v>
      </c>
      <c r="K149" s="154">
        <f t="shared" si="28"/>
        <v>0</v>
      </c>
      <c r="L149" s="154">
        <f t="shared" si="28"/>
        <v>0</v>
      </c>
      <c r="M149" s="154">
        <f t="shared" si="28"/>
        <v>0</v>
      </c>
      <c r="N149" s="154">
        <f t="shared" si="28"/>
        <v>55753731.104172304</v>
      </c>
      <c r="O149" s="154">
        <f t="shared" si="28"/>
        <v>0</v>
      </c>
      <c r="P149" s="154">
        <f t="shared" si="28"/>
        <v>0</v>
      </c>
      <c r="Q149" s="154">
        <f t="shared" si="28"/>
        <v>0</v>
      </c>
      <c r="R149" s="154">
        <f t="shared" si="28"/>
        <v>0</v>
      </c>
      <c r="S149" s="154">
        <f t="shared" si="28"/>
        <v>0</v>
      </c>
      <c r="T149" s="154">
        <f t="shared" si="18"/>
        <v>25204077.512291744</v>
      </c>
      <c r="U149" s="154">
        <f t="shared" si="28"/>
        <v>0</v>
      </c>
      <c r="V149" s="154">
        <f t="shared" si="28"/>
        <v>0</v>
      </c>
      <c r="W149" s="154">
        <f t="shared" si="28"/>
        <v>0</v>
      </c>
      <c r="X149" s="154">
        <f t="shared" si="28"/>
        <v>0</v>
      </c>
      <c r="Y149" s="154">
        <f t="shared" si="28"/>
        <v>0</v>
      </c>
      <c r="Z149" s="154">
        <f t="shared" si="28"/>
        <v>0</v>
      </c>
      <c r="AA149" s="154">
        <f t="shared" si="28"/>
        <v>0</v>
      </c>
      <c r="AB149" s="154">
        <f t="shared" si="28"/>
        <v>0</v>
      </c>
      <c r="AC149" s="154">
        <f t="shared" si="19"/>
        <v>44139809.788324706</v>
      </c>
      <c r="AD149" s="156">
        <f t="shared" si="20"/>
        <v>825284543.51880646</v>
      </c>
      <c r="AE149" s="158"/>
      <c r="AG149" s="142">
        <v>702526382.23046637</v>
      </c>
      <c r="AH149" s="132">
        <v>698200000</v>
      </c>
      <c r="AI149" s="142">
        <f t="shared" si="21"/>
        <v>1523484543.5188065</v>
      </c>
      <c r="AJ149" s="155">
        <f t="shared" si="22"/>
        <v>2082493671.0420787</v>
      </c>
      <c r="AO149" s="154">
        <f t="shared" si="23"/>
        <v>545923573.46961105</v>
      </c>
      <c r="AP149" s="154">
        <f t="shared" si="24"/>
        <v>154263351.64440662</v>
      </c>
      <c r="AQ149" s="154">
        <f t="shared" si="25"/>
        <v>55753731.104172304</v>
      </c>
      <c r="AR149" s="154">
        <f t="shared" si="26"/>
        <v>25204077.512291744</v>
      </c>
      <c r="AS149" s="154">
        <f t="shared" si="27"/>
        <v>44139809.788324706</v>
      </c>
    </row>
    <row r="150" spans="1:45">
      <c r="A150" s="143">
        <f>EconomicInputs!A55</f>
        <v>2029</v>
      </c>
      <c r="B150" s="154">
        <f t="shared" si="16"/>
        <v>344510121.66533035</v>
      </c>
      <c r="C150" s="154">
        <f t="shared" si="28"/>
        <v>106659948.31718905</v>
      </c>
      <c r="D150" s="154">
        <f t="shared" si="28"/>
        <v>89448692.16438733</v>
      </c>
      <c r="E150" s="154">
        <f t="shared" si="28"/>
        <v>0</v>
      </c>
      <c r="F150" s="154">
        <f t="shared" si="28"/>
        <v>5672060.3504199637</v>
      </c>
      <c r="G150" s="154">
        <f t="shared" si="28"/>
        <v>97685617.956938639</v>
      </c>
      <c r="H150" s="154">
        <f t="shared" si="17"/>
        <v>51717369.551810876</v>
      </c>
      <c r="I150" s="154">
        <f t="shared" si="28"/>
        <v>0</v>
      </c>
      <c r="J150" s="154">
        <f t="shared" si="28"/>
        <v>0</v>
      </c>
      <c r="K150" s="154">
        <f t="shared" si="28"/>
        <v>0</v>
      </c>
      <c r="L150" s="154">
        <f t="shared" si="28"/>
        <v>0</v>
      </c>
      <c r="M150" s="154">
        <f t="shared" si="28"/>
        <v>0</v>
      </c>
      <c r="N150" s="154">
        <f t="shared" si="28"/>
        <v>57885614.942290537</v>
      </c>
      <c r="O150" s="154">
        <f t="shared" ref="C150:AB156" si="29">IF(O23=0,0,O85-O117)*O$130</f>
        <v>0</v>
      </c>
      <c r="P150" s="154">
        <f t="shared" si="29"/>
        <v>0</v>
      </c>
      <c r="Q150" s="154">
        <f t="shared" si="29"/>
        <v>0</v>
      </c>
      <c r="R150" s="154">
        <f t="shared" si="29"/>
        <v>0</v>
      </c>
      <c r="S150" s="154">
        <f t="shared" si="29"/>
        <v>0</v>
      </c>
      <c r="T150" s="154">
        <f t="shared" si="18"/>
        <v>25476683.746446341</v>
      </c>
      <c r="U150" s="154">
        <f t="shared" si="29"/>
        <v>0</v>
      </c>
      <c r="V150" s="154">
        <f t="shared" si="29"/>
        <v>0</v>
      </c>
      <c r="W150" s="154">
        <f t="shared" si="29"/>
        <v>0</v>
      </c>
      <c r="X150" s="154">
        <f t="shared" si="29"/>
        <v>0</v>
      </c>
      <c r="Y150" s="154">
        <f t="shared" si="29"/>
        <v>0</v>
      </c>
      <c r="Z150" s="154">
        <f t="shared" si="29"/>
        <v>0</v>
      </c>
      <c r="AA150" s="154">
        <f t="shared" si="29"/>
        <v>0</v>
      </c>
      <c r="AB150" s="154">
        <f t="shared" si="29"/>
        <v>0</v>
      </c>
      <c r="AC150" s="154">
        <f t="shared" si="19"/>
        <v>44581207.886207953</v>
      </c>
      <c r="AD150" s="156">
        <f t="shared" si="20"/>
        <v>823637316.58102107</v>
      </c>
      <c r="AE150" s="158"/>
      <c r="AG150" s="142">
        <v>703879125.97539008</v>
      </c>
      <c r="AH150" s="132">
        <v>698200000</v>
      </c>
      <c r="AI150" s="142">
        <f t="shared" si="21"/>
        <v>1521837316.5810211</v>
      </c>
      <c r="AJ150" s="155">
        <f t="shared" si="22"/>
        <v>2079074715.4935308</v>
      </c>
      <c r="AO150" s="154">
        <f t="shared" si="23"/>
        <v>540618762.14690673</v>
      </c>
      <c r="AP150" s="154">
        <f t="shared" si="24"/>
        <v>155075047.85916948</v>
      </c>
      <c r="AQ150" s="154">
        <f t="shared" si="25"/>
        <v>57885614.942290537</v>
      </c>
      <c r="AR150" s="154">
        <f t="shared" si="26"/>
        <v>25476683.746446341</v>
      </c>
      <c r="AS150" s="154">
        <f t="shared" si="27"/>
        <v>44581207.886207953</v>
      </c>
    </row>
    <row r="151" spans="1:45">
      <c r="A151" s="143">
        <f>EconomicInputs!A56</f>
        <v>2030</v>
      </c>
      <c r="B151" s="154">
        <f t="shared" si="16"/>
        <v>336756480.71868789</v>
      </c>
      <c r="C151" s="154">
        <f t="shared" si="29"/>
        <v>108195980.66552959</v>
      </c>
      <c r="D151" s="154">
        <f t="shared" si="29"/>
        <v>90737183.584314257</v>
      </c>
      <c r="E151" s="154">
        <f t="shared" si="29"/>
        <v>0</v>
      </c>
      <c r="F151" s="154">
        <f t="shared" si="29"/>
        <v>5616058.8916836232</v>
      </c>
      <c r="G151" s="154">
        <f t="shared" si="29"/>
        <v>98478586.303511441</v>
      </c>
      <c r="H151" s="154">
        <f t="shared" si="17"/>
        <v>51786388.002143092</v>
      </c>
      <c r="I151" s="154">
        <f t="shared" si="29"/>
        <v>0</v>
      </c>
      <c r="J151" s="154">
        <f t="shared" si="29"/>
        <v>0</v>
      </c>
      <c r="K151" s="154">
        <f t="shared" si="29"/>
        <v>0</v>
      </c>
      <c r="L151" s="154">
        <f t="shared" si="29"/>
        <v>0</v>
      </c>
      <c r="M151" s="154">
        <f t="shared" si="29"/>
        <v>0</v>
      </c>
      <c r="N151" s="154">
        <f t="shared" si="29"/>
        <v>60140097.705591097</v>
      </c>
      <c r="O151" s="154">
        <f t="shared" si="29"/>
        <v>0</v>
      </c>
      <c r="P151" s="154">
        <f t="shared" si="29"/>
        <v>0</v>
      </c>
      <c r="Q151" s="154">
        <f t="shared" si="29"/>
        <v>0</v>
      </c>
      <c r="R151" s="154">
        <f t="shared" si="29"/>
        <v>0</v>
      </c>
      <c r="S151" s="154">
        <f t="shared" si="29"/>
        <v>0</v>
      </c>
      <c r="T151" s="154">
        <f t="shared" si="18"/>
        <v>25735040.062556256</v>
      </c>
      <c r="U151" s="154">
        <f t="shared" si="29"/>
        <v>0</v>
      </c>
      <c r="V151" s="154">
        <f t="shared" si="29"/>
        <v>0</v>
      </c>
      <c r="W151" s="154">
        <f t="shared" si="29"/>
        <v>0</v>
      </c>
      <c r="X151" s="154">
        <f t="shared" si="29"/>
        <v>0</v>
      </c>
      <c r="Y151" s="154">
        <f t="shared" si="29"/>
        <v>0</v>
      </c>
      <c r="Z151" s="154">
        <f t="shared" si="29"/>
        <v>0</v>
      </c>
      <c r="AA151" s="154">
        <f t="shared" si="29"/>
        <v>0</v>
      </c>
      <c r="AB151" s="154">
        <f t="shared" si="29"/>
        <v>0</v>
      </c>
      <c r="AC151" s="154">
        <f t="shared" si="19"/>
        <v>45027019.965070032</v>
      </c>
      <c r="AD151" s="156">
        <f t="shared" si="20"/>
        <v>822472835.89908731</v>
      </c>
      <c r="AE151" s="158"/>
      <c r="AG151" s="142">
        <v>705625561.68831742</v>
      </c>
      <c r="AH151" s="132">
        <v>698200000</v>
      </c>
      <c r="AI151" s="142">
        <f t="shared" si="21"/>
        <v>1520672835.8990874</v>
      </c>
      <c r="AJ151" s="155">
        <f t="shared" si="22"/>
        <v>2076514600.315587</v>
      </c>
      <c r="AO151" s="154">
        <f t="shared" si="23"/>
        <v>535689644.96853173</v>
      </c>
      <c r="AP151" s="154">
        <f t="shared" si="24"/>
        <v>155881033.19733816</v>
      </c>
      <c r="AQ151" s="154">
        <f t="shared" si="25"/>
        <v>60140097.705591097</v>
      </c>
      <c r="AR151" s="154">
        <f t="shared" si="26"/>
        <v>25735040.062556256</v>
      </c>
      <c r="AS151" s="154">
        <f t="shared" si="27"/>
        <v>45027019.965070032</v>
      </c>
    </row>
    <row r="152" spans="1:45">
      <c r="A152" s="143">
        <f>EconomicInputs!A57</f>
        <v>2031</v>
      </c>
      <c r="B152" s="154">
        <f t="shared" si="16"/>
        <v>329268774.1463511</v>
      </c>
      <c r="C152" s="154">
        <f t="shared" si="29"/>
        <v>109780896.56485297</v>
      </c>
      <c r="D152" s="154">
        <f t="shared" si="29"/>
        <v>92066680.445264891</v>
      </c>
      <c r="E152" s="154">
        <f t="shared" si="29"/>
        <v>0</v>
      </c>
      <c r="F152" s="154">
        <f t="shared" si="29"/>
        <v>5556435.219747276</v>
      </c>
      <c r="G152" s="154">
        <f t="shared" si="29"/>
        <v>99272573.525423139</v>
      </c>
      <c r="H152" s="154">
        <f t="shared" si="17"/>
        <v>51851454.470704317</v>
      </c>
      <c r="I152" s="154">
        <f t="shared" si="29"/>
        <v>0</v>
      </c>
      <c r="J152" s="154">
        <f t="shared" si="29"/>
        <v>0</v>
      </c>
      <c r="K152" s="154">
        <f t="shared" si="29"/>
        <v>0</v>
      </c>
      <c r="L152" s="154">
        <f t="shared" si="29"/>
        <v>0</v>
      </c>
      <c r="M152" s="154">
        <f t="shared" si="29"/>
        <v>0</v>
      </c>
      <c r="N152" s="154">
        <f t="shared" si="29"/>
        <v>62442312.109048277</v>
      </c>
      <c r="O152" s="154">
        <f t="shared" si="29"/>
        <v>0</v>
      </c>
      <c r="P152" s="154">
        <f t="shared" si="29"/>
        <v>0</v>
      </c>
      <c r="Q152" s="154">
        <f t="shared" si="29"/>
        <v>0</v>
      </c>
      <c r="R152" s="154">
        <f t="shared" si="29"/>
        <v>0</v>
      </c>
      <c r="S152" s="154">
        <f t="shared" si="29"/>
        <v>0</v>
      </c>
      <c r="T152" s="154">
        <f t="shared" si="18"/>
        <v>25980491.788934942</v>
      </c>
      <c r="U152" s="154">
        <f t="shared" si="29"/>
        <v>0</v>
      </c>
      <c r="V152" s="154">
        <f t="shared" si="29"/>
        <v>0</v>
      </c>
      <c r="W152" s="154">
        <f t="shared" si="29"/>
        <v>0</v>
      </c>
      <c r="X152" s="154">
        <f t="shared" si="29"/>
        <v>0</v>
      </c>
      <c r="Y152" s="154">
        <f t="shared" si="29"/>
        <v>0</v>
      </c>
      <c r="Z152" s="154">
        <f t="shared" si="29"/>
        <v>0</v>
      </c>
      <c r="AA152" s="154">
        <f t="shared" si="29"/>
        <v>0</v>
      </c>
      <c r="AB152" s="154">
        <f t="shared" si="29"/>
        <v>0</v>
      </c>
      <c r="AC152" s="154">
        <f t="shared" si="19"/>
        <v>45477290.164720729</v>
      </c>
      <c r="AD152" s="156">
        <f t="shared" si="20"/>
        <v>821696908.43504763</v>
      </c>
      <c r="AE152" s="158"/>
      <c r="AG152" s="142">
        <v>707671055.63560963</v>
      </c>
      <c r="AH152" s="132">
        <v>698200000</v>
      </c>
      <c r="AI152" s="142">
        <f t="shared" si="21"/>
        <v>1519896908.4350476</v>
      </c>
      <c r="AJ152" s="155">
        <f t="shared" si="22"/>
        <v>2074640148.7252541</v>
      </c>
      <c r="AO152" s="154">
        <f t="shared" si="23"/>
        <v>531116351.15646893</v>
      </c>
      <c r="AP152" s="154">
        <f t="shared" si="24"/>
        <v>156680463.21587473</v>
      </c>
      <c r="AQ152" s="154">
        <f t="shared" si="25"/>
        <v>62442312.109048277</v>
      </c>
      <c r="AR152" s="154">
        <f t="shared" si="26"/>
        <v>25980491.788934942</v>
      </c>
      <c r="AS152" s="154">
        <f t="shared" si="27"/>
        <v>45477290.164720729</v>
      </c>
    </row>
    <row r="153" spans="1:45">
      <c r="A153" s="143">
        <f>EconomicInputs!A58</f>
        <v>2032</v>
      </c>
      <c r="B153" s="154">
        <f t="shared" si="16"/>
        <v>322044654.84059685</v>
      </c>
      <c r="C153" s="154">
        <f t="shared" si="29"/>
        <v>111414028.3002376</v>
      </c>
      <c r="D153" s="154">
        <f t="shared" si="29"/>
        <v>93436623.317616493</v>
      </c>
      <c r="E153" s="154">
        <f t="shared" si="29"/>
        <v>0</v>
      </c>
      <c r="F153" s="154">
        <f t="shared" si="29"/>
        <v>5493666.6993137561</v>
      </c>
      <c r="G153" s="154">
        <f t="shared" si="29"/>
        <v>100068121.16659637</v>
      </c>
      <c r="H153" s="154">
        <f t="shared" si="17"/>
        <v>51912931.167323261</v>
      </c>
      <c r="I153" s="154">
        <f t="shared" si="29"/>
        <v>0</v>
      </c>
      <c r="J153" s="154">
        <f t="shared" si="29"/>
        <v>0</v>
      </c>
      <c r="K153" s="154">
        <f t="shared" si="29"/>
        <v>0</v>
      </c>
      <c r="L153" s="154">
        <f t="shared" si="29"/>
        <v>0</v>
      </c>
      <c r="M153" s="154">
        <f t="shared" si="29"/>
        <v>0</v>
      </c>
      <c r="N153" s="154">
        <f t="shared" si="29"/>
        <v>64870620.566494741</v>
      </c>
      <c r="O153" s="154">
        <f t="shared" si="29"/>
        <v>0</v>
      </c>
      <c r="P153" s="154">
        <f t="shared" si="29"/>
        <v>0</v>
      </c>
      <c r="Q153" s="154">
        <f t="shared" si="29"/>
        <v>0</v>
      </c>
      <c r="R153" s="154">
        <f t="shared" si="29"/>
        <v>0</v>
      </c>
      <c r="S153" s="154">
        <f t="shared" si="29"/>
        <v>0</v>
      </c>
      <c r="T153" s="154">
        <f t="shared" si="18"/>
        <v>26214224.29082974</v>
      </c>
      <c r="U153" s="154">
        <f t="shared" si="29"/>
        <v>0</v>
      </c>
      <c r="V153" s="154">
        <f t="shared" si="29"/>
        <v>0</v>
      </c>
      <c r="W153" s="154">
        <f t="shared" si="29"/>
        <v>0</v>
      </c>
      <c r="X153" s="154">
        <f t="shared" si="29"/>
        <v>0</v>
      </c>
      <c r="Y153" s="154">
        <f t="shared" si="29"/>
        <v>0</v>
      </c>
      <c r="Z153" s="154">
        <f t="shared" si="29"/>
        <v>0</v>
      </c>
      <c r="AA153" s="154">
        <f t="shared" si="29"/>
        <v>0</v>
      </c>
      <c r="AB153" s="154">
        <f t="shared" si="29"/>
        <v>0</v>
      </c>
      <c r="AC153" s="154">
        <f t="shared" si="19"/>
        <v>45932063.066367939</v>
      </c>
      <c r="AD153" s="156">
        <f t="shared" si="20"/>
        <v>821386933.41537678</v>
      </c>
      <c r="AE153" s="158"/>
      <c r="AG153" s="142">
        <v>710094093.09054446</v>
      </c>
      <c r="AH153" s="132">
        <v>698200000</v>
      </c>
      <c r="AI153" s="142">
        <f t="shared" si="21"/>
        <v>1519586933.4153767</v>
      </c>
      <c r="AJ153" s="155">
        <f t="shared" si="22"/>
        <v>2073596575.6976213</v>
      </c>
      <c r="AO153" s="154">
        <f t="shared" si="23"/>
        <v>526895306.45845091</v>
      </c>
      <c r="AP153" s="154">
        <f t="shared" si="24"/>
        <v>157474719.0332334</v>
      </c>
      <c r="AQ153" s="154">
        <f t="shared" si="25"/>
        <v>64870620.566494741</v>
      </c>
      <c r="AR153" s="154">
        <f t="shared" si="26"/>
        <v>26214224.29082974</v>
      </c>
      <c r="AS153" s="154">
        <f t="shared" si="27"/>
        <v>45932063.066367939</v>
      </c>
    </row>
    <row r="154" spans="1:45">
      <c r="A154" s="143">
        <f>EconomicInputs!A59</f>
        <v>2033</v>
      </c>
      <c r="B154" s="154">
        <f t="shared" si="16"/>
        <v>315013117.82672369</v>
      </c>
      <c r="C154" s="154">
        <f t="shared" si="29"/>
        <v>113084342.13314277</v>
      </c>
      <c r="D154" s="154">
        <f t="shared" si="29"/>
        <v>94837739.574163318</v>
      </c>
      <c r="E154" s="154">
        <f t="shared" si="29"/>
        <v>0</v>
      </c>
      <c r="F154" s="154">
        <f t="shared" si="29"/>
        <v>5427649.2173689995</v>
      </c>
      <c r="G154" s="154">
        <f t="shared" si="29"/>
        <v>100864895.59431866</v>
      </c>
      <c r="H154" s="154">
        <f t="shared" si="17"/>
        <v>52005851.07801906</v>
      </c>
      <c r="I154" s="154">
        <f t="shared" si="29"/>
        <v>0</v>
      </c>
      <c r="J154" s="154">
        <f t="shared" si="29"/>
        <v>0</v>
      </c>
      <c r="K154" s="154">
        <f t="shared" si="29"/>
        <v>0</v>
      </c>
      <c r="L154" s="154">
        <f t="shared" si="29"/>
        <v>0</v>
      </c>
      <c r="M154" s="154">
        <f t="shared" si="29"/>
        <v>0</v>
      </c>
      <c r="N154" s="154">
        <f t="shared" si="29"/>
        <v>66867948.951757044</v>
      </c>
      <c r="O154" s="154">
        <f t="shared" si="29"/>
        <v>0</v>
      </c>
      <c r="P154" s="154">
        <f t="shared" si="29"/>
        <v>0</v>
      </c>
      <c r="Q154" s="154">
        <f t="shared" si="29"/>
        <v>0</v>
      </c>
      <c r="R154" s="154">
        <f t="shared" si="29"/>
        <v>0</v>
      </c>
      <c r="S154" s="154">
        <f t="shared" si="29"/>
        <v>0</v>
      </c>
      <c r="T154" s="154">
        <f t="shared" si="18"/>
        <v>26756364.073637567</v>
      </c>
      <c r="U154" s="154">
        <f t="shared" si="29"/>
        <v>0</v>
      </c>
      <c r="V154" s="154">
        <f t="shared" si="29"/>
        <v>0</v>
      </c>
      <c r="W154" s="154">
        <f t="shared" si="29"/>
        <v>0</v>
      </c>
      <c r="X154" s="154">
        <f t="shared" si="29"/>
        <v>0</v>
      </c>
      <c r="Y154" s="154">
        <f t="shared" si="29"/>
        <v>0</v>
      </c>
      <c r="Z154" s="154">
        <f t="shared" si="29"/>
        <v>0</v>
      </c>
      <c r="AA154" s="154">
        <f t="shared" si="29"/>
        <v>0</v>
      </c>
      <c r="AB154" s="154">
        <f t="shared" si="29"/>
        <v>0</v>
      </c>
      <c r="AC154" s="154">
        <f t="shared" si="19"/>
        <v>46391383.697031617</v>
      </c>
      <c r="AD154" s="156">
        <f t="shared" si="20"/>
        <v>821249292.14616275</v>
      </c>
      <c r="AE154" s="158"/>
      <c r="AG154" s="142">
        <v>712628703.7490201</v>
      </c>
      <c r="AH154" s="132">
        <f>AH153</f>
        <v>698200000</v>
      </c>
      <c r="AI154" s="142">
        <f t="shared" si="21"/>
        <v>1519449292.1461627</v>
      </c>
      <c r="AJ154" s="155">
        <f t="shared" si="22"/>
        <v>2072560752.8396521</v>
      </c>
      <c r="AO154" s="154">
        <f t="shared" si="23"/>
        <v>522935199.53402978</v>
      </c>
      <c r="AP154" s="154">
        <f t="shared" si="24"/>
        <v>158298395.88970673</v>
      </c>
      <c r="AQ154" s="154">
        <f t="shared" si="25"/>
        <v>66867948.951757044</v>
      </c>
      <c r="AR154" s="154">
        <f t="shared" si="26"/>
        <v>26756364.073637567</v>
      </c>
      <c r="AS154" s="154">
        <f t="shared" si="27"/>
        <v>46391383.697031617</v>
      </c>
    </row>
    <row r="155" spans="1:45">
      <c r="A155" s="143">
        <f>EconomicInputs!A60</f>
        <v>2034</v>
      </c>
      <c r="B155" s="154">
        <f t="shared" si="16"/>
        <v>308164150.25023419</v>
      </c>
      <c r="C155" s="154">
        <f t="shared" si="29"/>
        <v>114809211.97998552</v>
      </c>
      <c r="D155" s="154">
        <f t="shared" si="29"/>
        <v>96284616.634468228</v>
      </c>
      <c r="E155" s="154">
        <f t="shared" si="29"/>
        <v>0</v>
      </c>
      <c r="F155" s="154">
        <f t="shared" si="29"/>
        <v>5358275.4168965239</v>
      </c>
      <c r="G155" s="154">
        <f t="shared" si="29"/>
        <v>101663533.87450743</v>
      </c>
      <c r="H155" s="154">
        <f t="shared" si="17"/>
        <v>52099003.486270607</v>
      </c>
      <c r="I155" s="154">
        <f t="shared" si="29"/>
        <v>0</v>
      </c>
      <c r="J155" s="154">
        <f t="shared" si="29"/>
        <v>0</v>
      </c>
      <c r="K155" s="154">
        <f t="shared" si="29"/>
        <v>0</v>
      </c>
      <c r="L155" s="154">
        <f t="shared" si="29"/>
        <v>0</v>
      </c>
      <c r="M155" s="154">
        <f t="shared" si="29"/>
        <v>0</v>
      </c>
      <c r="N155" s="154">
        <f t="shared" si="29"/>
        <v>68926773.907327101</v>
      </c>
      <c r="O155" s="154">
        <f t="shared" si="29"/>
        <v>0</v>
      </c>
      <c r="P155" s="154">
        <f t="shared" si="29"/>
        <v>0</v>
      </c>
      <c r="Q155" s="154">
        <f t="shared" si="29"/>
        <v>0</v>
      </c>
      <c r="R155" s="154">
        <f t="shared" si="29"/>
        <v>0</v>
      </c>
      <c r="S155" s="154">
        <f t="shared" si="29"/>
        <v>0</v>
      </c>
      <c r="T155" s="154">
        <f t="shared" si="18"/>
        <v>27309750.609895177</v>
      </c>
      <c r="U155" s="154">
        <f t="shared" si="29"/>
        <v>0</v>
      </c>
      <c r="V155" s="154">
        <f t="shared" si="29"/>
        <v>0</v>
      </c>
      <c r="W155" s="154">
        <f t="shared" si="29"/>
        <v>0</v>
      </c>
      <c r="X155" s="154">
        <f t="shared" si="29"/>
        <v>0</v>
      </c>
      <c r="Y155" s="154">
        <f t="shared" si="29"/>
        <v>0</v>
      </c>
      <c r="Z155" s="154">
        <f t="shared" si="29"/>
        <v>0</v>
      </c>
      <c r="AA155" s="154">
        <f t="shared" si="29"/>
        <v>0</v>
      </c>
      <c r="AB155" s="154">
        <f t="shared" si="29"/>
        <v>0</v>
      </c>
      <c r="AC155" s="154">
        <f t="shared" si="19"/>
        <v>46855297.534001932</v>
      </c>
      <c r="AD155" s="156">
        <f t="shared" si="20"/>
        <v>821470613.69358683</v>
      </c>
      <c r="AE155" s="158"/>
      <c r="AG155" s="142">
        <v>715463438.24879932</v>
      </c>
      <c r="AH155" s="132">
        <f t="shared" ref="AH155:AH156" si="30">AH154</f>
        <v>698200000</v>
      </c>
      <c r="AI155" s="142">
        <f t="shared" si="21"/>
        <v>1519670613.6935868</v>
      </c>
      <c r="AJ155" s="155">
        <f t="shared" si="22"/>
        <v>2072141251.2306535</v>
      </c>
      <c r="AO155" s="154">
        <f t="shared" si="23"/>
        <v>519257978.86468792</v>
      </c>
      <c r="AP155" s="154">
        <f t="shared" si="24"/>
        <v>159120812.77767456</v>
      </c>
      <c r="AQ155" s="154">
        <f t="shared" si="25"/>
        <v>68926773.907327101</v>
      </c>
      <c r="AR155" s="154">
        <f t="shared" si="26"/>
        <v>27309750.609895177</v>
      </c>
      <c r="AS155" s="154">
        <f t="shared" si="27"/>
        <v>46855297.534001932</v>
      </c>
    </row>
    <row r="156" spans="1:45">
      <c r="A156" s="143">
        <f>EconomicInputs!A61</f>
        <v>2035</v>
      </c>
      <c r="B156" s="154">
        <f t="shared" si="16"/>
        <v>301497586.81066477</v>
      </c>
      <c r="C156" s="154">
        <f t="shared" si="29"/>
        <v>116584771.39709313</v>
      </c>
      <c r="D156" s="154">
        <f t="shared" si="29"/>
        <v>97774013.047901914</v>
      </c>
      <c r="E156" s="154">
        <f t="shared" si="29"/>
        <v>0</v>
      </c>
      <c r="F156" s="154">
        <f t="shared" si="29"/>
        <v>5285434.5968475332</v>
      </c>
      <c r="G156" s="154">
        <f t="shared" si="29"/>
        <v>102463995.52602704</v>
      </c>
      <c r="H156" s="154">
        <f t="shared" si="17"/>
        <v>52192363.898336373</v>
      </c>
      <c r="I156" s="154">
        <f t="shared" si="29"/>
        <v>0</v>
      </c>
      <c r="J156" s="154">
        <f t="shared" si="29"/>
        <v>0</v>
      </c>
      <c r="K156" s="154">
        <f t="shared" si="29"/>
        <v>0</v>
      </c>
      <c r="L156" s="154">
        <f t="shared" si="29"/>
        <v>0</v>
      </c>
      <c r="M156" s="154">
        <f t="shared" si="29"/>
        <v>0</v>
      </c>
      <c r="N156" s="154">
        <f t="shared" si="29"/>
        <v>71048988.876560286</v>
      </c>
      <c r="O156" s="154">
        <f t="shared" si="29"/>
        <v>0</v>
      </c>
      <c r="P156" s="154">
        <f t="shared" si="29"/>
        <v>0</v>
      </c>
      <c r="Q156" s="154">
        <f t="shared" si="29"/>
        <v>0</v>
      </c>
      <c r="R156" s="154">
        <f t="shared" si="29"/>
        <v>0</v>
      </c>
      <c r="S156" s="154">
        <f t="shared" si="29"/>
        <v>0</v>
      </c>
      <c r="T156" s="154">
        <f t="shared" si="18"/>
        <v>27874604.499771222</v>
      </c>
      <c r="U156" s="154">
        <f t="shared" si="29"/>
        <v>0</v>
      </c>
      <c r="V156" s="154">
        <f t="shared" si="29"/>
        <v>0</v>
      </c>
      <c r="W156" s="154">
        <f t="shared" si="29"/>
        <v>0</v>
      </c>
      <c r="X156" s="154">
        <f t="shared" si="29"/>
        <v>0</v>
      </c>
      <c r="Y156" s="154">
        <f t="shared" si="29"/>
        <v>0</v>
      </c>
      <c r="Z156" s="154">
        <f t="shared" si="29"/>
        <v>0</v>
      </c>
      <c r="AA156" s="154">
        <f t="shared" si="29"/>
        <v>0</v>
      </c>
      <c r="AB156" s="154">
        <f t="shared" si="29"/>
        <v>0</v>
      </c>
      <c r="AC156" s="154">
        <f t="shared" si="19"/>
        <v>47323850.509341948</v>
      </c>
      <c r="AD156" s="156">
        <f t="shared" si="20"/>
        <v>822045609.16254437</v>
      </c>
      <c r="AE156" s="158"/>
      <c r="AG156" s="142">
        <v>718593313.17986083</v>
      </c>
      <c r="AH156" s="132">
        <f t="shared" si="30"/>
        <v>698200000</v>
      </c>
      <c r="AI156" s="142">
        <f t="shared" si="21"/>
        <v>1520245609.1625443</v>
      </c>
      <c r="AJ156" s="155">
        <f t="shared" si="22"/>
        <v>2072329777.4065676</v>
      </c>
      <c r="AO156" s="154">
        <f t="shared" si="23"/>
        <v>515856371.25565982</v>
      </c>
      <c r="AP156" s="154">
        <f t="shared" si="24"/>
        <v>159941794.02121094</v>
      </c>
      <c r="AQ156" s="154">
        <f t="shared" si="25"/>
        <v>71048988.876560286</v>
      </c>
      <c r="AR156" s="154">
        <f t="shared" si="26"/>
        <v>27874604.499771222</v>
      </c>
      <c r="AS156" s="154">
        <f t="shared" si="27"/>
        <v>47323850.509341948</v>
      </c>
    </row>
    <row r="157" spans="1:45">
      <c r="A157" s="1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7"/>
      <c r="AE157" s="98"/>
      <c r="AG157" s="99"/>
    </row>
    <row r="158" spans="1:45">
      <c r="A158" s="1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  <c r="AD158" s="97"/>
      <c r="AE158" s="98"/>
      <c r="AG158" s="99"/>
    </row>
    <row r="159" spans="1:45">
      <c r="A159" s="1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  <c r="AC159" s="96"/>
      <c r="AD159" s="97"/>
      <c r="AE159" s="98"/>
      <c r="AG159" s="99"/>
    </row>
    <row r="160" spans="1:45">
      <c r="A160" s="279" t="s">
        <v>346</v>
      </c>
      <c r="B160" s="280"/>
      <c r="C160" s="280"/>
      <c r="D160" s="280"/>
      <c r="E160" s="280"/>
      <c r="F160" s="280"/>
      <c r="G160" s="280"/>
      <c r="H160" s="280"/>
      <c r="I160" s="280"/>
      <c r="J160" s="280"/>
      <c r="K160" s="280"/>
      <c r="L160" s="280"/>
      <c r="M160" s="280"/>
      <c r="N160" s="280"/>
      <c r="O160" s="280"/>
      <c r="P160" s="280"/>
      <c r="Q160" s="280"/>
      <c r="R160" s="280"/>
      <c r="S160" s="280"/>
      <c r="T160" s="280"/>
      <c r="U160" s="280"/>
      <c r="V160" s="280"/>
      <c r="W160" s="280"/>
      <c r="X160" s="280"/>
      <c r="Y160" s="280"/>
      <c r="Z160" s="280"/>
      <c r="AA160" s="280"/>
      <c r="AB160" s="280"/>
      <c r="AC160" s="281"/>
      <c r="AD160" s="266" t="s">
        <v>141</v>
      </c>
      <c r="AE160" s="266" t="s">
        <v>142</v>
      </c>
      <c r="AG160" s="99"/>
    </row>
    <row r="161" spans="1:33" ht="31.5">
      <c r="A161" s="170" t="s">
        <v>91</v>
      </c>
      <c r="B161" s="270" t="s">
        <v>44</v>
      </c>
      <c r="C161" s="270"/>
      <c r="D161" s="270"/>
      <c r="E161" s="171" t="s">
        <v>1</v>
      </c>
      <c r="F161" s="171" t="s">
        <v>31</v>
      </c>
      <c r="G161" s="171" t="s">
        <v>11</v>
      </c>
      <c r="H161" s="171" t="s">
        <v>11</v>
      </c>
      <c r="I161" s="171" t="s">
        <v>23</v>
      </c>
      <c r="J161" s="171" t="s">
        <v>34</v>
      </c>
      <c r="K161" s="171" t="s">
        <v>29</v>
      </c>
      <c r="L161" s="171" t="s">
        <v>32</v>
      </c>
      <c r="M161" s="171" t="s">
        <v>36</v>
      </c>
      <c r="N161" s="171" t="s">
        <v>15</v>
      </c>
      <c r="O161" s="171" t="s">
        <v>17</v>
      </c>
      <c r="P161" s="171" t="s">
        <v>59</v>
      </c>
      <c r="Q161" s="171" t="s">
        <v>3</v>
      </c>
      <c r="R161" s="171" t="s">
        <v>4</v>
      </c>
      <c r="S161" s="171" t="s">
        <v>58</v>
      </c>
      <c r="T161" s="171" t="s">
        <v>21</v>
      </c>
      <c r="U161" s="171" t="s">
        <v>5</v>
      </c>
      <c r="V161" s="171" t="s">
        <v>7</v>
      </c>
      <c r="W161" s="171" t="s">
        <v>9</v>
      </c>
      <c r="X161" s="171" t="s">
        <v>13</v>
      </c>
      <c r="Y161" s="171" t="s">
        <v>19</v>
      </c>
      <c r="Z161" s="171" t="s">
        <v>25</v>
      </c>
      <c r="AA161" s="171" t="s">
        <v>25</v>
      </c>
      <c r="AB161" s="171" t="s">
        <v>25</v>
      </c>
      <c r="AC161" s="171" t="s">
        <v>62</v>
      </c>
      <c r="AD161" s="267"/>
      <c r="AE161" s="267"/>
      <c r="AG161" s="99"/>
    </row>
    <row r="162" spans="1:33" ht="63">
      <c r="A162" s="170" t="s">
        <v>86</v>
      </c>
      <c r="B162" s="170" t="s">
        <v>40</v>
      </c>
      <c r="C162" s="170" t="s">
        <v>41</v>
      </c>
      <c r="D162" s="170" t="s">
        <v>42</v>
      </c>
      <c r="E162" s="170" t="s">
        <v>2</v>
      </c>
      <c r="F162" s="171" t="s">
        <v>53</v>
      </c>
      <c r="G162" s="172" t="s">
        <v>12</v>
      </c>
      <c r="H162" s="172" t="s">
        <v>157</v>
      </c>
      <c r="I162" s="171" t="s">
        <v>24</v>
      </c>
      <c r="J162" s="171" t="s">
        <v>35</v>
      </c>
      <c r="K162" s="171" t="s">
        <v>30</v>
      </c>
      <c r="L162" s="171" t="s">
        <v>33</v>
      </c>
      <c r="M162" s="171" t="s">
        <v>37</v>
      </c>
      <c r="N162" s="171" t="s">
        <v>16</v>
      </c>
      <c r="O162" s="171" t="s">
        <v>18</v>
      </c>
      <c r="P162" s="170" t="s">
        <v>46</v>
      </c>
      <c r="Q162" s="170" t="s">
        <v>49</v>
      </c>
      <c r="R162" s="170" t="s">
        <v>50</v>
      </c>
      <c r="S162" s="171" t="s">
        <v>51</v>
      </c>
      <c r="T162" s="171" t="s">
        <v>22</v>
      </c>
      <c r="U162" s="171" t="s">
        <v>6</v>
      </c>
      <c r="V162" s="171" t="s">
        <v>8</v>
      </c>
      <c r="W162" s="171" t="s">
        <v>10</v>
      </c>
      <c r="X162" s="171" t="s">
        <v>14</v>
      </c>
      <c r="Y162" s="171" t="s">
        <v>20</v>
      </c>
      <c r="Z162" s="171" t="s">
        <v>26</v>
      </c>
      <c r="AA162" s="171" t="s">
        <v>27</v>
      </c>
      <c r="AB162" s="171" t="s">
        <v>28</v>
      </c>
      <c r="AC162" s="171" t="s">
        <v>371</v>
      </c>
      <c r="AD162" s="268"/>
      <c r="AE162" s="269"/>
      <c r="AG162" s="99"/>
    </row>
    <row r="163" spans="1:33">
      <c r="A163" s="143">
        <f>EconomicInputs!A68</f>
        <v>2010</v>
      </c>
      <c r="B163" s="154">
        <f>IF(B4=0,0,B66-B98)*(1-B$130)</f>
        <v>243905779.29964122</v>
      </c>
      <c r="C163" s="154">
        <f t="shared" ref="C163:AB172" si="31">IF(C4=0,0,C66-C98)*(1-C$130)</f>
        <v>82188240.873465911</v>
      </c>
      <c r="D163" s="154">
        <f t="shared" si="31"/>
        <v>21060388.232776713</v>
      </c>
      <c r="E163" s="154">
        <f t="shared" si="31"/>
        <v>0</v>
      </c>
      <c r="F163" s="154">
        <f t="shared" si="31"/>
        <v>3295854.7476662439</v>
      </c>
      <c r="G163" s="154">
        <f t="shared" si="31"/>
        <v>42526320.518560864</v>
      </c>
      <c r="H163" s="154">
        <f>IF(H4=-1,0,H66-H98)*(1-H$130)</f>
        <v>38378012.50858967</v>
      </c>
      <c r="I163" s="154">
        <f t="shared" si="31"/>
        <v>0</v>
      </c>
      <c r="J163" s="154">
        <f t="shared" si="31"/>
        <v>0</v>
      </c>
      <c r="K163" s="154">
        <f t="shared" si="31"/>
        <v>0</v>
      </c>
      <c r="L163" s="154">
        <f t="shared" si="31"/>
        <v>0</v>
      </c>
      <c r="M163" s="154">
        <f t="shared" si="31"/>
        <v>0</v>
      </c>
      <c r="N163" s="154">
        <f t="shared" si="31"/>
        <v>24397075.027613487</v>
      </c>
      <c r="O163" s="154">
        <f t="shared" si="31"/>
        <v>0</v>
      </c>
      <c r="P163" s="154">
        <f t="shared" si="31"/>
        <v>0</v>
      </c>
      <c r="Q163" s="154">
        <f t="shared" si="31"/>
        <v>0</v>
      </c>
      <c r="R163" s="154">
        <f t="shared" si="31"/>
        <v>0</v>
      </c>
      <c r="S163" s="154">
        <f t="shared" si="31"/>
        <v>0</v>
      </c>
      <c r="T163" s="154">
        <f>IF(T4=-1,0,T66-T98)*(1-T$130)</f>
        <v>0</v>
      </c>
      <c r="U163" s="154">
        <f t="shared" si="31"/>
        <v>0</v>
      </c>
      <c r="V163" s="154">
        <f t="shared" si="31"/>
        <v>0</v>
      </c>
      <c r="W163" s="154">
        <f t="shared" si="31"/>
        <v>0</v>
      </c>
      <c r="X163" s="154">
        <f t="shared" si="31"/>
        <v>0</v>
      </c>
      <c r="Y163" s="154">
        <f t="shared" si="31"/>
        <v>0</v>
      </c>
      <c r="Z163" s="154">
        <f t="shared" si="31"/>
        <v>0</v>
      </c>
      <c r="AA163" s="154">
        <f t="shared" si="31"/>
        <v>0</v>
      </c>
      <c r="AB163" s="154">
        <f t="shared" si="31"/>
        <v>0</v>
      </c>
      <c r="AC163" s="135">
        <v>20000000</v>
      </c>
      <c r="AD163" s="157">
        <f>SUM(B163:AC163)</f>
        <v>475751671.20831412</v>
      </c>
      <c r="AE163" s="158"/>
      <c r="AG163" s="99"/>
    </row>
    <row r="164" spans="1:33">
      <c r="A164" s="143">
        <f>EconomicInputs!A69</f>
        <v>2011</v>
      </c>
      <c r="B164" s="154">
        <f t="shared" ref="B164:Q188" si="32">IF(B5=0,0,B67-B99)*(1-B$130)</f>
        <v>229226757.683669</v>
      </c>
      <c r="C164" s="154">
        <f t="shared" si="32"/>
        <v>82038716.615197584</v>
      </c>
      <c r="D164" s="154">
        <f t="shared" si="32"/>
        <v>21021978.047719654</v>
      </c>
      <c r="E164" s="154">
        <f t="shared" si="32"/>
        <v>0</v>
      </c>
      <c r="F164" s="154">
        <f t="shared" si="32"/>
        <v>3271268.179560184</v>
      </c>
      <c r="G164" s="154">
        <f t="shared" si="32"/>
        <v>42957376.548803799</v>
      </c>
      <c r="H164" s="154">
        <f t="shared" ref="H164:H188" si="33">IF(H5=-1,0,H67-H99)*(1-H$130)</f>
        <v>41259581.062807262</v>
      </c>
      <c r="I164" s="154">
        <f t="shared" si="32"/>
        <v>0</v>
      </c>
      <c r="J164" s="154">
        <f t="shared" si="32"/>
        <v>0</v>
      </c>
      <c r="K164" s="154">
        <f t="shared" si="32"/>
        <v>0</v>
      </c>
      <c r="L164" s="154">
        <f t="shared" si="32"/>
        <v>0</v>
      </c>
      <c r="M164" s="154">
        <f t="shared" si="32"/>
        <v>0</v>
      </c>
      <c r="N164" s="154">
        <f t="shared" si="32"/>
        <v>26223561.486790065</v>
      </c>
      <c r="O164" s="154">
        <f t="shared" si="32"/>
        <v>0</v>
      </c>
      <c r="P164" s="154">
        <f t="shared" si="32"/>
        <v>0</v>
      </c>
      <c r="Q164" s="154">
        <f t="shared" si="32"/>
        <v>0</v>
      </c>
      <c r="R164" s="154">
        <f t="shared" si="31"/>
        <v>0</v>
      </c>
      <c r="S164" s="154">
        <f t="shared" si="31"/>
        <v>0</v>
      </c>
      <c r="T164" s="154">
        <f t="shared" ref="T164:T188" si="34">IF(T5=-1,0,T67-T99)*(1-T$130)</f>
        <v>0</v>
      </c>
      <c r="U164" s="154">
        <f t="shared" si="31"/>
        <v>0</v>
      </c>
      <c r="V164" s="154">
        <f t="shared" si="31"/>
        <v>0</v>
      </c>
      <c r="W164" s="154">
        <f t="shared" si="31"/>
        <v>0</v>
      </c>
      <c r="X164" s="154">
        <f t="shared" si="31"/>
        <v>0</v>
      </c>
      <c r="Y164" s="154">
        <f t="shared" si="31"/>
        <v>0</v>
      </c>
      <c r="Z164" s="154">
        <f t="shared" si="31"/>
        <v>0</v>
      </c>
      <c r="AA164" s="154">
        <f t="shared" si="31"/>
        <v>0</v>
      </c>
      <c r="AB164" s="154">
        <f t="shared" si="31"/>
        <v>0</v>
      </c>
      <c r="AC164" s="135">
        <v>20000000</v>
      </c>
      <c r="AD164" s="157">
        <f t="shared" ref="AD164:AD188" si="35">SUM(B164:AC164)</f>
        <v>465999239.62454754</v>
      </c>
      <c r="AE164" s="158"/>
      <c r="AG164" s="99"/>
    </row>
    <row r="165" spans="1:33">
      <c r="A165" s="143">
        <f>EconomicInputs!A70</f>
        <v>2012</v>
      </c>
      <c r="B165" s="154">
        <f t="shared" si="32"/>
        <v>226027585.57085708</v>
      </c>
      <c r="C165" s="154">
        <f t="shared" si="31"/>
        <v>82207059.136203021</v>
      </c>
      <c r="D165" s="154">
        <f t="shared" si="31"/>
        <v>21063829.183033619</v>
      </c>
      <c r="E165" s="154">
        <f t="shared" si="31"/>
        <v>0</v>
      </c>
      <c r="F165" s="154">
        <f t="shared" si="31"/>
        <v>3206802.9567192751</v>
      </c>
      <c r="G165" s="154">
        <f t="shared" si="31"/>
        <v>43365938.947374836</v>
      </c>
      <c r="H165" s="154">
        <f t="shared" si="33"/>
        <v>42249332.690163463</v>
      </c>
      <c r="I165" s="154">
        <f t="shared" si="31"/>
        <v>0</v>
      </c>
      <c r="J165" s="154">
        <f t="shared" si="31"/>
        <v>0</v>
      </c>
      <c r="K165" s="154">
        <f t="shared" si="31"/>
        <v>0</v>
      </c>
      <c r="L165" s="154">
        <f t="shared" si="31"/>
        <v>0</v>
      </c>
      <c r="M165" s="154">
        <f t="shared" si="31"/>
        <v>0</v>
      </c>
      <c r="N165" s="154">
        <f t="shared" si="31"/>
        <v>27875296.231265679</v>
      </c>
      <c r="O165" s="154">
        <f t="shared" si="31"/>
        <v>0</v>
      </c>
      <c r="P165" s="154">
        <f t="shared" si="31"/>
        <v>0</v>
      </c>
      <c r="Q165" s="154">
        <f t="shared" si="31"/>
        <v>0</v>
      </c>
      <c r="R165" s="154">
        <f t="shared" si="31"/>
        <v>0</v>
      </c>
      <c r="S165" s="154">
        <f t="shared" si="31"/>
        <v>0</v>
      </c>
      <c r="T165" s="154">
        <f t="shared" si="34"/>
        <v>0</v>
      </c>
      <c r="U165" s="154">
        <f t="shared" si="31"/>
        <v>0</v>
      </c>
      <c r="V165" s="154">
        <f t="shared" si="31"/>
        <v>0</v>
      </c>
      <c r="W165" s="154">
        <f t="shared" si="31"/>
        <v>0</v>
      </c>
      <c r="X165" s="154">
        <f t="shared" si="31"/>
        <v>0</v>
      </c>
      <c r="Y165" s="154">
        <f t="shared" si="31"/>
        <v>0</v>
      </c>
      <c r="Z165" s="154">
        <f t="shared" si="31"/>
        <v>0</v>
      </c>
      <c r="AA165" s="154">
        <f t="shared" si="31"/>
        <v>0</v>
      </c>
      <c r="AB165" s="154">
        <f t="shared" si="31"/>
        <v>0</v>
      </c>
      <c r="AC165" s="135">
        <v>20000000</v>
      </c>
      <c r="AD165" s="157">
        <f t="shared" si="35"/>
        <v>465995844.71561694</v>
      </c>
      <c r="AE165" s="158"/>
      <c r="AG165" s="99"/>
    </row>
    <row r="166" spans="1:33">
      <c r="A166" s="143">
        <f>EconomicInputs!A71</f>
        <v>2013</v>
      </c>
      <c r="B166" s="154">
        <f t="shared" si="32"/>
        <v>224835048.57634646</v>
      </c>
      <c r="C166" s="154">
        <f t="shared" si="31"/>
        <v>83788920.026637018</v>
      </c>
      <c r="D166" s="154">
        <f t="shared" si="31"/>
        <v>21469074.885821719</v>
      </c>
      <c r="E166" s="154">
        <f t="shared" si="31"/>
        <v>0</v>
      </c>
      <c r="F166" s="154">
        <f t="shared" si="31"/>
        <v>3168346.5792950317</v>
      </c>
      <c r="G166" s="154">
        <f t="shared" si="31"/>
        <v>43886102.614478886</v>
      </c>
      <c r="H166" s="154">
        <f t="shared" si="33"/>
        <v>43141335.572629943</v>
      </c>
      <c r="I166" s="154">
        <f t="shared" si="31"/>
        <v>0</v>
      </c>
      <c r="J166" s="154">
        <f t="shared" si="31"/>
        <v>0</v>
      </c>
      <c r="K166" s="154">
        <f t="shared" si="31"/>
        <v>0</v>
      </c>
      <c r="L166" s="154">
        <f t="shared" si="31"/>
        <v>0</v>
      </c>
      <c r="M166" s="154">
        <f t="shared" si="31"/>
        <v>0</v>
      </c>
      <c r="N166" s="154">
        <f t="shared" si="31"/>
        <v>29006550.007524285</v>
      </c>
      <c r="O166" s="154">
        <f t="shared" si="31"/>
        <v>0</v>
      </c>
      <c r="P166" s="154">
        <f t="shared" si="31"/>
        <v>0</v>
      </c>
      <c r="Q166" s="154">
        <f t="shared" si="31"/>
        <v>0</v>
      </c>
      <c r="R166" s="154">
        <f t="shared" si="31"/>
        <v>0</v>
      </c>
      <c r="S166" s="154">
        <f t="shared" si="31"/>
        <v>0</v>
      </c>
      <c r="T166" s="154">
        <f t="shared" si="34"/>
        <v>0</v>
      </c>
      <c r="U166" s="154">
        <f t="shared" si="31"/>
        <v>0</v>
      </c>
      <c r="V166" s="154">
        <f t="shared" si="31"/>
        <v>0</v>
      </c>
      <c r="W166" s="154">
        <f t="shared" si="31"/>
        <v>0</v>
      </c>
      <c r="X166" s="154">
        <f t="shared" si="31"/>
        <v>0</v>
      </c>
      <c r="Y166" s="154">
        <f t="shared" si="31"/>
        <v>0</v>
      </c>
      <c r="Z166" s="154">
        <f t="shared" si="31"/>
        <v>0</v>
      </c>
      <c r="AA166" s="154">
        <f t="shared" si="31"/>
        <v>0</v>
      </c>
      <c r="AB166" s="154">
        <f t="shared" si="31"/>
        <v>0</v>
      </c>
      <c r="AC166" s="135">
        <v>20000000</v>
      </c>
      <c r="AD166" s="157">
        <f t="shared" si="35"/>
        <v>469295378.26273334</v>
      </c>
      <c r="AE166" s="158"/>
      <c r="AG166" s="99"/>
    </row>
    <row r="167" spans="1:33">
      <c r="A167" s="143">
        <f>EconomicInputs!A72</f>
        <v>2014</v>
      </c>
      <c r="B167" s="154">
        <f t="shared" si="32"/>
        <v>222116568.96060988</v>
      </c>
      <c r="C167" s="154">
        <f t="shared" si="31"/>
        <v>84465985.897935241</v>
      </c>
      <c r="D167" s="154">
        <f t="shared" si="31"/>
        <v>21643161.978898458</v>
      </c>
      <c r="E167" s="154">
        <f t="shared" si="31"/>
        <v>0</v>
      </c>
      <c r="F167" s="154">
        <f t="shared" si="31"/>
        <v>3157085.0889920024</v>
      </c>
      <c r="G167" s="154">
        <f t="shared" si="31"/>
        <v>44327975.837891586</v>
      </c>
      <c r="H167" s="154">
        <f t="shared" si="33"/>
        <v>44599781.898817562</v>
      </c>
      <c r="I167" s="154">
        <f t="shared" si="31"/>
        <v>0</v>
      </c>
      <c r="J167" s="154">
        <f t="shared" si="31"/>
        <v>0</v>
      </c>
      <c r="K167" s="154">
        <f t="shared" si="31"/>
        <v>0</v>
      </c>
      <c r="L167" s="154">
        <f t="shared" si="31"/>
        <v>0</v>
      </c>
      <c r="M167" s="154">
        <f t="shared" si="31"/>
        <v>0</v>
      </c>
      <c r="N167" s="154">
        <f t="shared" si="31"/>
        <v>29720467.67376627</v>
      </c>
      <c r="O167" s="154">
        <f t="shared" si="31"/>
        <v>0</v>
      </c>
      <c r="P167" s="154">
        <f t="shared" si="31"/>
        <v>0</v>
      </c>
      <c r="Q167" s="154">
        <f t="shared" si="31"/>
        <v>0</v>
      </c>
      <c r="R167" s="154">
        <f t="shared" si="31"/>
        <v>0</v>
      </c>
      <c r="S167" s="154">
        <f t="shared" si="31"/>
        <v>0</v>
      </c>
      <c r="T167" s="154">
        <f t="shared" si="34"/>
        <v>0</v>
      </c>
      <c r="U167" s="154">
        <f t="shared" si="31"/>
        <v>0</v>
      </c>
      <c r="V167" s="154">
        <f t="shared" si="31"/>
        <v>0</v>
      </c>
      <c r="W167" s="154">
        <f t="shared" si="31"/>
        <v>0</v>
      </c>
      <c r="X167" s="154">
        <f t="shared" si="31"/>
        <v>0</v>
      </c>
      <c r="Y167" s="154">
        <f t="shared" si="31"/>
        <v>0</v>
      </c>
      <c r="Z167" s="154">
        <f t="shared" si="31"/>
        <v>0</v>
      </c>
      <c r="AA167" s="154">
        <f t="shared" si="31"/>
        <v>0</v>
      </c>
      <c r="AB167" s="154">
        <f t="shared" si="31"/>
        <v>0</v>
      </c>
      <c r="AC167" s="135">
        <v>20000000</v>
      </c>
      <c r="AD167" s="157">
        <f t="shared" si="35"/>
        <v>470031027.33691096</v>
      </c>
      <c r="AE167" s="158"/>
      <c r="AG167" s="99"/>
    </row>
    <row r="168" spans="1:33">
      <c r="A168" s="143">
        <f>EconomicInputs!A73</f>
        <v>2015</v>
      </c>
      <c r="B168" s="154">
        <f t="shared" si="32"/>
        <v>213503117.30609399</v>
      </c>
      <c r="C168" s="154">
        <f t="shared" si="31"/>
        <v>85120860.257026419</v>
      </c>
      <c r="D168" s="154">
        <f t="shared" si="31"/>
        <v>21811057.175691001</v>
      </c>
      <c r="E168" s="154">
        <f t="shared" si="31"/>
        <v>0</v>
      </c>
      <c r="F168" s="154">
        <f t="shared" si="31"/>
        <v>3178212.8289871956</v>
      </c>
      <c r="G168" s="154">
        <f t="shared" si="31"/>
        <v>44714670.363178886</v>
      </c>
      <c r="H168" s="154">
        <f t="shared" si="33"/>
        <v>43961110.310962997</v>
      </c>
      <c r="I168" s="154">
        <f t="shared" si="31"/>
        <v>0</v>
      </c>
      <c r="J168" s="154">
        <f t="shared" si="31"/>
        <v>0</v>
      </c>
      <c r="K168" s="154">
        <f t="shared" si="31"/>
        <v>0</v>
      </c>
      <c r="L168" s="154">
        <f t="shared" si="31"/>
        <v>0</v>
      </c>
      <c r="M168" s="154">
        <f t="shared" si="31"/>
        <v>0</v>
      </c>
      <c r="N168" s="154">
        <f t="shared" si="31"/>
        <v>30779683.31455978</v>
      </c>
      <c r="O168" s="154">
        <f t="shared" si="31"/>
        <v>0</v>
      </c>
      <c r="P168" s="154">
        <f t="shared" si="31"/>
        <v>0</v>
      </c>
      <c r="Q168" s="154">
        <f t="shared" si="31"/>
        <v>0</v>
      </c>
      <c r="R168" s="154">
        <f t="shared" si="31"/>
        <v>0</v>
      </c>
      <c r="S168" s="154">
        <f t="shared" si="31"/>
        <v>0</v>
      </c>
      <c r="T168" s="154">
        <f t="shared" si="34"/>
        <v>0</v>
      </c>
      <c r="U168" s="154">
        <f t="shared" si="31"/>
        <v>0</v>
      </c>
      <c r="V168" s="154">
        <f t="shared" si="31"/>
        <v>0</v>
      </c>
      <c r="W168" s="154">
        <f t="shared" si="31"/>
        <v>0</v>
      </c>
      <c r="X168" s="154">
        <f t="shared" si="31"/>
        <v>0</v>
      </c>
      <c r="Y168" s="154">
        <f t="shared" si="31"/>
        <v>0</v>
      </c>
      <c r="Z168" s="154">
        <f t="shared" si="31"/>
        <v>0</v>
      </c>
      <c r="AA168" s="154">
        <f t="shared" si="31"/>
        <v>0</v>
      </c>
      <c r="AB168" s="154">
        <f t="shared" si="31"/>
        <v>0</v>
      </c>
      <c r="AC168" s="154">
        <f>AC167*(1+TechnicalInputs!$D$36)</f>
        <v>20200000</v>
      </c>
      <c r="AD168" s="157">
        <f t="shared" si="35"/>
        <v>463268711.55650026</v>
      </c>
      <c r="AE168" s="158"/>
      <c r="AG168" s="99"/>
    </row>
    <row r="169" spans="1:33">
      <c r="A169" s="143">
        <f>EconomicInputs!A74</f>
        <v>2016</v>
      </c>
      <c r="B169" s="154">
        <f t="shared" si="32"/>
        <v>211808519.04483217</v>
      </c>
      <c r="C169" s="154">
        <f t="shared" si="31"/>
        <v>85805397.194672704</v>
      </c>
      <c r="D169" s="154">
        <f t="shared" si="31"/>
        <v>21986533.952403892</v>
      </c>
      <c r="E169" s="154">
        <f t="shared" si="31"/>
        <v>0</v>
      </c>
      <c r="F169" s="154">
        <f t="shared" si="31"/>
        <v>3167836.9019331317</v>
      </c>
      <c r="G169" s="154">
        <f t="shared" si="31"/>
        <v>45104236.87511491</v>
      </c>
      <c r="H169" s="154">
        <f t="shared" si="33"/>
        <v>44262471.313501105</v>
      </c>
      <c r="I169" s="154">
        <f t="shared" si="31"/>
        <v>0</v>
      </c>
      <c r="J169" s="154">
        <f t="shared" si="31"/>
        <v>0</v>
      </c>
      <c r="K169" s="154">
        <f t="shared" si="31"/>
        <v>0</v>
      </c>
      <c r="L169" s="154">
        <f t="shared" si="31"/>
        <v>0</v>
      </c>
      <c r="M169" s="154">
        <f t="shared" si="31"/>
        <v>0</v>
      </c>
      <c r="N169" s="154">
        <f t="shared" si="31"/>
        <v>32004653.298553135</v>
      </c>
      <c r="O169" s="154">
        <f t="shared" si="31"/>
        <v>0</v>
      </c>
      <c r="P169" s="154">
        <f t="shared" si="31"/>
        <v>0</v>
      </c>
      <c r="Q169" s="154">
        <f t="shared" si="31"/>
        <v>0</v>
      </c>
      <c r="R169" s="154">
        <f t="shared" si="31"/>
        <v>0</v>
      </c>
      <c r="S169" s="154">
        <f t="shared" si="31"/>
        <v>0</v>
      </c>
      <c r="T169" s="154">
        <f t="shared" si="34"/>
        <v>0</v>
      </c>
      <c r="U169" s="154">
        <f t="shared" si="31"/>
        <v>0</v>
      </c>
      <c r="V169" s="154">
        <f t="shared" si="31"/>
        <v>0</v>
      </c>
      <c r="W169" s="154">
        <f t="shared" si="31"/>
        <v>0</v>
      </c>
      <c r="X169" s="154">
        <f t="shared" si="31"/>
        <v>0</v>
      </c>
      <c r="Y169" s="154">
        <f t="shared" si="31"/>
        <v>0</v>
      </c>
      <c r="Z169" s="154">
        <f t="shared" si="31"/>
        <v>0</v>
      </c>
      <c r="AA169" s="154">
        <f t="shared" si="31"/>
        <v>0</v>
      </c>
      <c r="AB169" s="154">
        <f t="shared" si="31"/>
        <v>0</v>
      </c>
      <c r="AC169" s="154">
        <f>AC168*(1+TechnicalInputs!$D$36)</f>
        <v>20402000</v>
      </c>
      <c r="AD169" s="157">
        <f t="shared" si="35"/>
        <v>464541648.58101106</v>
      </c>
      <c r="AE169" s="158"/>
      <c r="AG169" s="99"/>
    </row>
    <row r="170" spans="1:33">
      <c r="A170" s="143">
        <f>EconomicInputs!A75</f>
        <v>2017</v>
      </c>
      <c r="B170" s="154">
        <f t="shared" si="32"/>
        <v>327976063.41820914</v>
      </c>
      <c r="C170" s="154">
        <f t="shared" si="31"/>
        <v>86201704.483557358</v>
      </c>
      <c r="D170" s="154">
        <f t="shared" si="31"/>
        <v>22088167.300053693</v>
      </c>
      <c r="E170" s="154">
        <f t="shared" si="31"/>
        <v>0</v>
      </c>
      <c r="F170" s="154">
        <f t="shared" si="31"/>
        <v>3156469.0222395146</v>
      </c>
      <c r="G170" s="154">
        <f t="shared" si="31"/>
        <v>45496091.321056411</v>
      </c>
      <c r="H170" s="154">
        <f t="shared" si="33"/>
        <v>44599191.065472521</v>
      </c>
      <c r="I170" s="154">
        <f t="shared" si="31"/>
        <v>0</v>
      </c>
      <c r="J170" s="154">
        <f t="shared" si="31"/>
        <v>0</v>
      </c>
      <c r="K170" s="154">
        <f t="shared" si="31"/>
        <v>0</v>
      </c>
      <c r="L170" s="154">
        <f t="shared" si="31"/>
        <v>0</v>
      </c>
      <c r="M170" s="154">
        <f t="shared" si="31"/>
        <v>0</v>
      </c>
      <c r="N170" s="154">
        <f t="shared" si="31"/>
        <v>33150695.999064241</v>
      </c>
      <c r="O170" s="154">
        <f t="shared" si="31"/>
        <v>0</v>
      </c>
      <c r="P170" s="154">
        <f t="shared" si="31"/>
        <v>0</v>
      </c>
      <c r="Q170" s="154">
        <f t="shared" si="31"/>
        <v>0</v>
      </c>
      <c r="R170" s="154">
        <f t="shared" si="31"/>
        <v>0</v>
      </c>
      <c r="S170" s="154">
        <f t="shared" si="31"/>
        <v>0</v>
      </c>
      <c r="T170" s="154">
        <f t="shared" si="34"/>
        <v>0</v>
      </c>
      <c r="U170" s="154">
        <f t="shared" si="31"/>
        <v>0</v>
      </c>
      <c r="V170" s="154">
        <f t="shared" si="31"/>
        <v>0</v>
      </c>
      <c r="W170" s="154">
        <f t="shared" si="31"/>
        <v>0</v>
      </c>
      <c r="X170" s="154">
        <f t="shared" si="31"/>
        <v>0</v>
      </c>
      <c r="Y170" s="154">
        <f t="shared" si="31"/>
        <v>0</v>
      </c>
      <c r="Z170" s="154">
        <f t="shared" si="31"/>
        <v>0</v>
      </c>
      <c r="AA170" s="154">
        <f t="shared" si="31"/>
        <v>0</v>
      </c>
      <c r="AB170" s="154">
        <f t="shared" si="31"/>
        <v>0</v>
      </c>
      <c r="AC170" s="154">
        <f>AC169*(1+TechnicalInputs!$D$36)</f>
        <v>20606020</v>
      </c>
      <c r="AD170" s="157">
        <f t="shared" si="35"/>
        <v>583274402.60965288</v>
      </c>
      <c r="AE170" s="158"/>
      <c r="AG170" s="99"/>
    </row>
    <row r="171" spans="1:33">
      <c r="A171" s="143">
        <f>EconomicInputs!A76</f>
        <v>2018</v>
      </c>
      <c r="B171" s="154">
        <f t="shared" si="32"/>
        <v>323833359.34067208</v>
      </c>
      <c r="C171" s="154">
        <f t="shared" si="31"/>
        <v>86691321.079706326</v>
      </c>
      <c r="D171" s="154">
        <f t="shared" si="31"/>
        <v>22213713.552262574</v>
      </c>
      <c r="E171" s="154">
        <f t="shared" si="31"/>
        <v>0</v>
      </c>
      <c r="F171" s="154">
        <f t="shared" si="31"/>
        <v>3144074.1554884952</v>
      </c>
      <c r="G171" s="154">
        <f t="shared" si="31"/>
        <v>45889404.894618839</v>
      </c>
      <c r="H171" s="154">
        <f t="shared" si="33"/>
        <v>44773320.387972735</v>
      </c>
      <c r="I171" s="154">
        <f t="shared" si="31"/>
        <v>0</v>
      </c>
      <c r="J171" s="154">
        <f t="shared" si="31"/>
        <v>0</v>
      </c>
      <c r="K171" s="154">
        <f t="shared" si="31"/>
        <v>0</v>
      </c>
      <c r="L171" s="154">
        <f t="shared" si="31"/>
        <v>0</v>
      </c>
      <c r="M171" s="154">
        <f t="shared" si="31"/>
        <v>0</v>
      </c>
      <c r="N171" s="154">
        <f t="shared" si="31"/>
        <v>34344446.429468781</v>
      </c>
      <c r="O171" s="154">
        <f t="shared" si="31"/>
        <v>0</v>
      </c>
      <c r="P171" s="154">
        <f t="shared" si="31"/>
        <v>0</v>
      </c>
      <c r="Q171" s="154">
        <f t="shared" si="31"/>
        <v>0</v>
      </c>
      <c r="R171" s="154">
        <f t="shared" si="31"/>
        <v>0</v>
      </c>
      <c r="S171" s="154">
        <f t="shared" si="31"/>
        <v>0</v>
      </c>
      <c r="T171" s="154">
        <f t="shared" si="34"/>
        <v>0</v>
      </c>
      <c r="U171" s="154">
        <f t="shared" si="31"/>
        <v>0</v>
      </c>
      <c r="V171" s="154">
        <f t="shared" si="31"/>
        <v>0</v>
      </c>
      <c r="W171" s="154">
        <f t="shared" si="31"/>
        <v>0</v>
      </c>
      <c r="X171" s="154">
        <f t="shared" si="31"/>
        <v>0</v>
      </c>
      <c r="Y171" s="154">
        <f t="shared" si="31"/>
        <v>0</v>
      </c>
      <c r="Z171" s="154">
        <f t="shared" si="31"/>
        <v>0</v>
      </c>
      <c r="AA171" s="154">
        <f t="shared" si="31"/>
        <v>0</v>
      </c>
      <c r="AB171" s="154">
        <f t="shared" si="31"/>
        <v>0</v>
      </c>
      <c r="AC171" s="154">
        <f>AC170*(1+TechnicalInputs!$D$36)</f>
        <v>20812080.199999999</v>
      </c>
      <c r="AD171" s="157">
        <f t="shared" si="35"/>
        <v>581701720.04018986</v>
      </c>
      <c r="AE171" s="158"/>
      <c r="AG171" s="99"/>
    </row>
    <row r="172" spans="1:33">
      <c r="A172" s="143">
        <f>EconomicInputs!A77</f>
        <v>2019</v>
      </c>
      <c r="B172" s="154">
        <f t="shared" si="32"/>
        <v>319536526.41404575</v>
      </c>
      <c r="C172" s="154">
        <f t="shared" si="31"/>
        <v>87374198.676070422</v>
      </c>
      <c r="D172" s="154">
        <f t="shared" si="31"/>
        <v>22388778.129919957</v>
      </c>
      <c r="E172" s="154">
        <f t="shared" si="31"/>
        <v>0</v>
      </c>
      <c r="F172" s="154">
        <f t="shared" si="31"/>
        <v>3130616.1487368648</v>
      </c>
      <c r="G172" s="154">
        <f t="shared" si="31"/>
        <v>46285053.365894221</v>
      </c>
      <c r="H172" s="154">
        <f t="shared" si="33"/>
        <v>44926169.61590454</v>
      </c>
      <c r="I172" s="154">
        <f t="shared" si="31"/>
        <v>0</v>
      </c>
      <c r="J172" s="154">
        <f t="shared" si="31"/>
        <v>0</v>
      </c>
      <c r="K172" s="154">
        <f t="shared" si="31"/>
        <v>0</v>
      </c>
      <c r="L172" s="154">
        <f t="shared" si="31"/>
        <v>0</v>
      </c>
      <c r="M172" s="154">
        <f t="shared" si="31"/>
        <v>0</v>
      </c>
      <c r="N172" s="154">
        <f t="shared" si="31"/>
        <v>35649100.536566511</v>
      </c>
      <c r="O172" s="154">
        <f t="shared" si="31"/>
        <v>0</v>
      </c>
      <c r="P172" s="154">
        <f t="shared" si="31"/>
        <v>0</v>
      </c>
      <c r="Q172" s="154">
        <f t="shared" si="31"/>
        <v>0</v>
      </c>
      <c r="R172" s="154">
        <f t="shared" si="31"/>
        <v>0</v>
      </c>
      <c r="S172" s="154">
        <f t="shared" si="31"/>
        <v>0</v>
      </c>
      <c r="T172" s="154">
        <f t="shared" si="34"/>
        <v>0</v>
      </c>
      <c r="U172" s="154">
        <f t="shared" si="31"/>
        <v>0</v>
      </c>
      <c r="V172" s="154">
        <f t="shared" si="31"/>
        <v>0</v>
      </c>
      <c r="W172" s="154">
        <f t="shared" si="31"/>
        <v>0</v>
      </c>
      <c r="X172" s="154">
        <f t="shared" si="31"/>
        <v>0</v>
      </c>
      <c r="Y172" s="154">
        <f t="shared" si="31"/>
        <v>0</v>
      </c>
      <c r="Z172" s="154">
        <f t="shared" si="31"/>
        <v>0</v>
      </c>
      <c r="AA172" s="154">
        <f t="shared" si="31"/>
        <v>0</v>
      </c>
      <c r="AB172" s="154">
        <f t="shared" si="31"/>
        <v>0</v>
      </c>
      <c r="AC172" s="154">
        <f>AC171*(1+TechnicalInputs!$D$36)</f>
        <v>21020201.002</v>
      </c>
      <c r="AD172" s="157">
        <f t="shared" si="35"/>
        <v>580310643.88913822</v>
      </c>
      <c r="AE172" s="158"/>
      <c r="AG172" s="99"/>
    </row>
    <row r="173" spans="1:33">
      <c r="A173" s="143">
        <f>EconomicInputs!A78</f>
        <v>2020</v>
      </c>
      <c r="B173" s="154">
        <f t="shared" si="32"/>
        <v>314996786.82129252</v>
      </c>
      <c r="C173" s="154">
        <f t="shared" ref="C173:AB182" si="36">IF(C14=0,0,C76-C108)*(1-C$130)</f>
        <v>88135684.640779465</v>
      </c>
      <c r="D173" s="154">
        <f t="shared" si="36"/>
        <v>22583986.361048102</v>
      </c>
      <c r="E173" s="154">
        <f t="shared" si="36"/>
        <v>0</v>
      </c>
      <c r="F173" s="154">
        <f t="shared" si="36"/>
        <v>3116057.6954399999</v>
      </c>
      <c r="G173" s="154">
        <f t="shared" si="36"/>
        <v>46682830.607428253</v>
      </c>
      <c r="H173" s="154">
        <f t="shared" si="33"/>
        <v>45061875.044260859</v>
      </c>
      <c r="I173" s="154">
        <f t="shared" si="36"/>
        <v>0</v>
      </c>
      <c r="J173" s="154">
        <f t="shared" si="36"/>
        <v>0</v>
      </c>
      <c r="K173" s="154">
        <f t="shared" si="36"/>
        <v>0</v>
      </c>
      <c r="L173" s="154">
        <f t="shared" si="36"/>
        <v>0</v>
      </c>
      <c r="M173" s="154">
        <f t="shared" si="36"/>
        <v>0</v>
      </c>
      <c r="N173" s="154">
        <f t="shared" si="36"/>
        <v>36946174.608730175</v>
      </c>
      <c r="O173" s="154">
        <f t="shared" si="36"/>
        <v>0</v>
      </c>
      <c r="P173" s="154">
        <f t="shared" si="36"/>
        <v>0</v>
      </c>
      <c r="Q173" s="154">
        <f t="shared" si="36"/>
        <v>0</v>
      </c>
      <c r="R173" s="154">
        <f t="shared" si="36"/>
        <v>0</v>
      </c>
      <c r="S173" s="154">
        <f t="shared" si="36"/>
        <v>0</v>
      </c>
      <c r="T173" s="154">
        <f t="shared" si="34"/>
        <v>0</v>
      </c>
      <c r="U173" s="154">
        <f t="shared" si="36"/>
        <v>0</v>
      </c>
      <c r="V173" s="154">
        <f t="shared" si="36"/>
        <v>0</v>
      </c>
      <c r="W173" s="154">
        <f t="shared" si="36"/>
        <v>0</v>
      </c>
      <c r="X173" s="154">
        <f t="shared" si="36"/>
        <v>0</v>
      </c>
      <c r="Y173" s="154">
        <f t="shared" si="36"/>
        <v>0</v>
      </c>
      <c r="Z173" s="154">
        <f t="shared" si="36"/>
        <v>0</v>
      </c>
      <c r="AA173" s="154">
        <f t="shared" si="36"/>
        <v>0</v>
      </c>
      <c r="AB173" s="154">
        <f t="shared" si="36"/>
        <v>0</v>
      </c>
      <c r="AC173" s="154">
        <f>AC172*(1+TechnicalInputs!$D$36)</f>
        <v>21230403.012019999</v>
      </c>
      <c r="AD173" s="157">
        <f t="shared" si="35"/>
        <v>578753798.79099941</v>
      </c>
      <c r="AE173" s="158"/>
      <c r="AG173" s="99"/>
    </row>
    <row r="174" spans="1:33">
      <c r="A174" s="143">
        <f>EconomicInputs!A79</f>
        <v>2021</v>
      </c>
      <c r="B174" s="154">
        <f t="shared" si="32"/>
        <v>309913281.19110304</v>
      </c>
      <c r="C174" s="154">
        <f t="shared" si="36"/>
        <v>88975914.734552458</v>
      </c>
      <c r="D174" s="154">
        <f t="shared" si="36"/>
        <v>22799373.09414576</v>
      </c>
      <c r="E174" s="154">
        <f t="shared" si="36"/>
        <v>0</v>
      </c>
      <c r="F174" s="154">
        <f t="shared" si="36"/>
        <v>3099797.8806801219</v>
      </c>
      <c r="G174" s="154">
        <f t="shared" si="36"/>
        <v>47082523.081590489</v>
      </c>
      <c r="H174" s="154">
        <f t="shared" si="33"/>
        <v>45183719.388593838</v>
      </c>
      <c r="I174" s="154">
        <f t="shared" si="36"/>
        <v>0</v>
      </c>
      <c r="J174" s="154">
        <f t="shared" si="36"/>
        <v>0</v>
      </c>
      <c r="K174" s="154">
        <f t="shared" si="36"/>
        <v>0</v>
      </c>
      <c r="L174" s="154">
        <f t="shared" si="36"/>
        <v>0</v>
      </c>
      <c r="M174" s="154">
        <f t="shared" si="36"/>
        <v>0</v>
      </c>
      <c r="N174" s="154">
        <f t="shared" si="36"/>
        <v>38206201.68852286</v>
      </c>
      <c r="O174" s="154">
        <f t="shared" si="36"/>
        <v>0</v>
      </c>
      <c r="P174" s="154">
        <f t="shared" si="36"/>
        <v>0</v>
      </c>
      <c r="Q174" s="154">
        <f t="shared" si="36"/>
        <v>0</v>
      </c>
      <c r="R174" s="154">
        <f t="shared" si="36"/>
        <v>0</v>
      </c>
      <c r="S174" s="154">
        <f t="shared" si="36"/>
        <v>0</v>
      </c>
      <c r="T174" s="154">
        <f t="shared" si="34"/>
        <v>0</v>
      </c>
      <c r="U174" s="154">
        <f t="shared" si="36"/>
        <v>0</v>
      </c>
      <c r="V174" s="154">
        <f t="shared" si="36"/>
        <v>0</v>
      </c>
      <c r="W174" s="154">
        <f t="shared" si="36"/>
        <v>0</v>
      </c>
      <c r="X174" s="154">
        <f t="shared" si="36"/>
        <v>0</v>
      </c>
      <c r="Y174" s="154">
        <f t="shared" si="36"/>
        <v>0</v>
      </c>
      <c r="Z174" s="154">
        <f t="shared" si="36"/>
        <v>0</v>
      </c>
      <c r="AA174" s="154">
        <f t="shared" si="36"/>
        <v>0</v>
      </c>
      <c r="AB174" s="154">
        <f t="shared" si="36"/>
        <v>0</v>
      </c>
      <c r="AC174" s="154">
        <f>AC173*(1+TechnicalInputs!$D$36)</f>
        <v>21442707.042140201</v>
      </c>
      <c r="AD174" s="157">
        <f t="shared" si="35"/>
        <v>576703518.10132885</v>
      </c>
      <c r="AE174" s="158"/>
      <c r="AG174" s="99"/>
    </row>
    <row r="175" spans="1:33">
      <c r="A175" s="143">
        <f>EconomicInputs!A80</f>
        <v>2022</v>
      </c>
      <c r="B175" s="154">
        <f t="shared" si="32"/>
        <v>304352408.30073214</v>
      </c>
      <c r="C175" s="154">
        <f t="shared" si="36"/>
        <v>89908842.850109577</v>
      </c>
      <c r="D175" s="154">
        <f t="shared" si="36"/>
        <v>23038513.311770219</v>
      </c>
      <c r="E175" s="154">
        <f t="shared" si="36"/>
        <v>0</v>
      </c>
      <c r="F175" s="154">
        <f t="shared" si="36"/>
        <v>3082365.4471231438</v>
      </c>
      <c r="G175" s="154">
        <f t="shared" si="36"/>
        <v>47483822.759904467</v>
      </c>
      <c r="H175" s="154">
        <f t="shared" si="33"/>
        <v>45294214.711896703</v>
      </c>
      <c r="I175" s="154">
        <f t="shared" si="36"/>
        <v>0</v>
      </c>
      <c r="J175" s="154">
        <f t="shared" si="36"/>
        <v>0</v>
      </c>
      <c r="K175" s="154">
        <f t="shared" si="36"/>
        <v>0</v>
      </c>
      <c r="L175" s="154">
        <f t="shared" si="36"/>
        <v>0</v>
      </c>
      <c r="M175" s="154">
        <f t="shared" si="36"/>
        <v>0</v>
      </c>
      <c r="N175" s="154">
        <f t="shared" si="36"/>
        <v>39544265.36697977</v>
      </c>
      <c r="O175" s="154">
        <f t="shared" si="36"/>
        <v>0</v>
      </c>
      <c r="P175" s="154">
        <f t="shared" si="36"/>
        <v>0</v>
      </c>
      <c r="Q175" s="154">
        <f t="shared" si="36"/>
        <v>0</v>
      </c>
      <c r="R175" s="154">
        <f t="shared" si="36"/>
        <v>0</v>
      </c>
      <c r="S175" s="154">
        <f t="shared" si="36"/>
        <v>0</v>
      </c>
      <c r="T175" s="154">
        <f t="shared" si="34"/>
        <v>0</v>
      </c>
      <c r="U175" s="154">
        <f t="shared" si="36"/>
        <v>0</v>
      </c>
      <c r="V175" s="154">
        <f t="shared" si="36"/>
        <v>0</v>
      </c>
      <c r="W175" s="154">
        <f t="shared" si="36"/>
        <v>0</v>
      </c>
      <c r="X175" s="154">
        <f t="shared" si="36"/>
        <v>0</v>
      </c>
      <c r="Y175" s="154">
        <f t="shared" si="36"/>
        <v>0</v>
      </c>
      <c r="Z175" s="154">
        <f t="shared" si="36"/>
        <v>0</v>
      </c>
      <c r="AA175" s="154">
        <f t="shared" si="36"/>
        <v>0</v>
      </c>
      <c r="AB175" s="154">
        <f t="shared" si="36"/>
        <v>0</v>
      </c>
      <c r="AC175" s="154">
        <f>AC174*(1+TechnicalInputs!$D$36)</f>
        <v>21657134.112561602</v>
      </c>
      <c r="AD175" s="157">
        <f t="shared" si="35"/>
        <v>574361566.86107755</v>
      </c>
      <c r="AE175" s="158"/>
      <c r="AG175" s="99"/>
    </row>
    <row r="176" spans="1:33">
      <c r="A176" s="143">
        <f>EconomicInputs!A81</f>
        <v>2023</v>
      </c>
      <c r="B176" s="154">
        <f t="shared" si="32"/>
        <v>298376594.16644245</v>
      </c>
      <c r="C176" s="154">
        <f t="shared" si="36"/>
        <v>90942644.831309408</v>
      </c>
      <c r="D176" s="154">
        <f t="shared" si="36"/>
        <v>23303501.715802684</v>
      </c>
      <c r="E176" s="154">
        <f t="shared" si="36"/>
        <v>0</v>
      </c>
      <c r="F176" s="154">
        <f t="shared" si="36"/>
        <v>3063720.0589887197</v>
      </c>
      <c r="G176" s="154">
        <f t="shared" si="36"/>
        <v>47886708.900237501</v>
      </c>
      <c r="H176" s="154">
        <f t="shared" si="33"/>
        <v>45395260.689354867</v>
      </c>
      <c r="I176" s="154">
        <f t="shared" si="36"/>
        <v>0</v>
      </c>
      <c r="J176" s="154">
        <f t="shared" si="36"/>
        <v>0</v>
      </c>
      <c r="K176" s="154">
        <f t="shared" si="36"/>
        <v>0</v>
      </c>
      <c r="L176" s="154">
        <f t="shared" si="36"/>
        <v>0</v>
      </c>
      <c r="M176" s="154">
        <f t="shared" si="36"/>
        <v>0</v>
      </c>
      <c r="N176" s="154">
        <f t="shared" si="36"/>
        <v>41012455.672618024</v>
      </c>
      <c r="O176" s="154">
        <f t="shared" si="36"/>
        <v>0</v>
      </c>
      <c r="P176" s="154">
        <f t="shared" si="36"/>
        <v>0</v>
      </c>
      <c r="Q176" s="154">
        <f t="shared" si="36"/>
        <v>0</v>
      </c>
      <c r="R176" s="154">
        <f t="shared" si="36"/>
        <v>0</v>
      </c>
      <c r="S176" s="154">
        <f t="shared" si="36"/>
        <v>0</v>
      </c>
      <c r="T176" s="154">
        <f t="shared" si="34"/>
        <v>0</v>
      </c>
      <c r="U176" s="154">
        <f t="shared" si="36"/>
        <v>0</v>
      </c>
      <c r="V176" s="154">
        <f t="shared" si="36"/>
        <v>0</v>
      </c>
      <c r="W176" s="154">
        <f t="shared" si="36"/>
        <v>0</v>
      </c>
      <c r="X176" s="154">
        <f t="shared" si="36"/>
        <v>0</v>
      </c>
      <c r="Y176" s="154">
        <f t="shared" si="36"/>
        <v>0</v>
      </c>
      <c r="Z176" s="154">
        <f t="shared" si="36"/>
        <v>0</v>
      </c>
      <c r="AA176" s="154">
        <f t="shared" si="36"/>
        <v>0</v>
      </c>
      <c r="AB176" s="154">
        <f t="shared" si="36"/>
        <v>0</v>
      </c>
      <c r="AC176" s="154">
        <f>AC175*(1+TechnicalInputs!$D$36)</f>
        <v>21873705.453687217</v>
      </c>
      <c r="AD176" s="157">
        <f t="shared" si="35"/>
        <v>571854591.48844075</v>
      </c>
      <c r="AE176" s="158"/>
      <c r="AG176" s="99"/>
    </row>
    <row r="177" spans="1:33">
      <c r="A177" s="143">
        <f>EconomicInputs!A82</f>
        <v>2024</v>
      </c>
      <c r="B177" s="154">
        <f t="shared" si="32"/>
        <v>291985844.63704628</v>
      </c>
      <c r="C177" s="154">
        <f t="shared" si="36"/>
        <v>92064882.03588827</v>
      </c>
      <c r="D177" s="154">
        <f t="shared" si="36"/>
        <v>23591151.601838265</v>
      </c>
      <c r="E177" s="154">
        <f t="shared" si="36"/>
        <v>0</v>
      </c>
      <c r="F177" s="154">
        <f t="shared" si="36"/>
        <v>3043820.105385989</v>
      </c>
      <c r="G177" s="154">
        <f t="shared" si="36"/>
        <v>48290856.725906476</v>
      </c>
      <c r="H177" s="154">
        <f t="shared" si="33"/>
        <v>45488238.692916952</v>
      </c>
      <c r="I177" s="154">
        <f t="shared" si="36"/>
        <v>0</v>
      </c>
      <c r="J177" s="154">
        <f t="shared" si="36"/>
        <v>0</v>
      </c>
      <c r="K177" s="154">
        <f t="shared" si="36"/>
        <v>0</v>
      </c>
      <c r="L177" s="154">
        <f t="shared" si="36"/>
        <v>0</v>
      </c>
      <c r="M177" s="154">
        <f t="shared" si="36"/>
        <v>0</v>
      </c>
      <c r="N177" s="154">
        <f t="shared" si="36"/>
        <v>42553459.058007695</v>
      </c>
      <c r="O177" s="154">
        <f t="shared" si="36"/>
        <v>0</v>
      </c>
      <c r="P177" s="154">
        <f t="shared" si="36"/>
        <v>0</v>
      </c>
      <c r="Q177" s="154">
        <f t="shared" si="36"/>
        <v>0</v>
      </c>
      <c r="R177" s="154">
        <f t="shared" si="36"/>
        <v>0</v>
      </c>
      <c r="S177" s="154">
        <f t="shared" si="36"/>
        <v>0</v>
      </c>
      <c r="T177" s="154">
        <f t="shared" si="34"/>
        <v>0</v>
      </c>
      <c r="U177" s="154">
        <f t="shared" si="36"/>
        <v>0</v>
      </c>
      <c r="V177" s="154">
        <f t="shared" si="36"/>
        <v>0</v>
      </c>
      <c r="W177" s="154">
        <f t="shared" si="36"/>
        <v>0</v>
      </c>
      <c r="X177" s="154">
        <f t="shared" si="36"/>
        <v>0</v>
      </c>
      <c r="Y177" s="154">
        <f t="shared" si="36"/>
        <v>0</v>
      </c>
      <c r="Z177" s="154">
        <f t="shared" si="36"/>
        <v>0</v>
      </c>
      <c r="AA177" s="154">
        <f t="shared" si="36"/>
        <v>0</v>
      </c>
      <c r="AB177" s="154">
        <f t="shared" si="36"/>
        <v>0</v>
      </c>
      <c r="AC177" s="154">
        <f>AC176*(1+TechnicalInputs!$D$36)</f>
        <v>22092442.508224089</v>
      </c>
      <c r="AD177" s="157">
        <f t="shared" si="35"/>
        <v>569110695.36521399</v>
      </c>
      <c r="AE177" s="158"/>
      <c r="AG177" s="99"/>
    </row>
    <row r="178" spans="1:33">
      <c r="A178" s="143">
        <f>EconomicInputs!A83</f>
        <v>2025</v>
      </c>
      <c r="B178" s="154">
        <f t="shared" si="32"/>
        <v>285275772.34163606</v>
      </c>
      <c r="C178" s="154">
        <f t="shared" si="36"/>
        <v>93254417.520637631</v>
      </c>
      <c r="D178" s="154">
        <f t="shared" si="36"/>
        <v>23896047.765972197</v>
      </c>
      <c r="E178" s="154">
        <f t="shared" si="36"/>
        <v>0</v>
      </c>
      <c r="F178" s="154">
        <f t="shared" si="36"/>
        <v>3022622.6605974892</v>
      </c>
      <c r="G178" s="154">
        <f t="shared" si="36"/>
        <v>48695922.906835899</v>
      </c>
      <c r="H178" s="154">
        <f t="shared" si="33"/>
        <v>45574183.997423403</v>
      </c>
      <c r="I178" s="154">
        <f t="shared" si="36"/>
        <v>0</v>
      </c>
      <c r="J178" s="154">
        <f t="shared" si="36"/>
        <v>0</v>
      </c>
      <c r="K178" s="154">
        <f t="shared" si="36"/>
        <v>0</v>
      </c>
      <c r="L178" s="154">
        <f t="shared" si="36"/>
        <v>0</v>
      </c>
      <c r="M178" s="154">
        <f t="shared" si="36"/>
        <v>0</v>
      </c>
      <c r="N178" s="154">
        <f t="shared" si="36"/>
        <v>44153089.22557532</v>
      </c>
      <c r="O178" s="154">
        <f t="shared" si="36"/>
        <v>0</v>
      </c>
      <c r="P178" s="154">
        <f t="shared" si="36"/>
        <v>0</v>
      </c>
      <c r="Q178" s="154">
        <f t="shared" si="36"/>
        <v>0</v>
      </c>
      <c r="R178" s="154">
        <f t="shared" si="36"/>
        <v>0</v>
      </c>
      <c r="S178" s="154">
        <f t="shared" si="36"/>
        <v>0</v>
      </c>
      <c r="T178" s="154">
        <f t="shared" si="34"/>
        <v>0</v>
      </c>
      <c r="U178" s="154">
        <f t="shared" si="36"/>
        <v>0</v>
      </c>
      <c r="V178" s="154">
        <f t="shared" si="36"/>
        <v>0</v>
      </c>
      <c r="W178" s="154">
        <f t="shared" si="36"/>
        <v>0</v>
      </c>
      <c r="X178" s="154">
        <f t="shared" si="36"/>
        <v>0</v>
      </c>
      <c r="Y178" s="154">
        <f t="shared" si="36"/>
        <v>0</v>
      </c>
      <c r="Z178" s="154">
        <f t="shared" si="36"/>
        <v>0</v>
      </c>
      <c r="AA178" s="154">
        <f t="shared" si="36"/>
        <v>0</v>
      </c>
      <c r="AB178" s="154">
        <f t="shared" si="36"/>
        <v>0</v>
      </c>
      <c r="AC178" s="154">
        <f>AC177*(1+TechnicalInputs!$D$36)</f>
        <v>22313366.933306329</v>
      </c>
      <c r="AD178" s="157">
        <f t="shared" si="35"/>
        <v>566185423.35198438</v>
      </c>
      <c r="AE178" s="158"/>
      <c r="AG178" s="99"/>
    </row>
    <row r="179" spans="1:33">
      <c r="A179" s="143">
        <f>EconomicInputs!A84</f>
        <v>2026</v>
      </c>
      <c r="B179" s="154">
        <f t="shared" si="32"/>
        <v>278637716.0280574</v>
      </c>
      <c r="C179" s="154">
        <f t="shared" si="36"/>
        <v>94490792.603173509</v>
      </c>
      <c r="D179" s="154">
        <f t="shared" si="36"/>
        <v>24212948.774493609</v>
      </c>
      <c r="E179" s="154">
        <f t="shared" si="36"/>
        <v>0</v>
      </c>
      <c r="F179" s="154">
        <f t="shared" si="36"/>
        <v>2999575.5868299231</v>
      </c>
      <c r="G179" s="154">
        <f t="shared" si="36"/>
        <v>49101686.619962186</v>
      </c>
      <c r="H179" s="154">
        <f t="shared" si="33"/>
        <v>45653911.558455132</v>
      </c>
      <c r="I179" s="154">
        <f t="shared" si="36"/>
        <v>0</v>
      </c>
      <c r="J179" s="154">
        <f t="shared" si="36"/>
        <v>0</v>
      </c>
      <c r="K179" s="154">
        <f t="shared" si="36"/>
        <v>0</v>
      </c>
      <c r="L179" s="154">
        <f t="shared" si="36"/>
        <v>0</v>
      </c>
      <c r="M179" s="154">
        <f t="shared" si="36"/>
        <v>0</v>
      </c>
      <c r="N179" s="154">
        <f t="shared" si="36"/>
        <v>45842617.133224107</v>
      </c>
      <c r="O179" s="154">
        <f t="shared" si="36"/>
        <v>0</v>
      </c>
      <c r="P179" s="154">
        <f t="shared" si="36"/>
        <v>0</v>
      </c>
      <c r="Q179" s="154">
        <f t="shared" si="36"/>
        <v>0</v>
      </c>
      <c r="R179" s="154">
        <f t="shared" si="36"/>
        <v>0</v>
      </c>
      <c r="S179" s="154">
        <f t="shared" si="36"/>
        <v>0</v>
      </c>
      <c r="T179" s="154">
        <f t="shared" si="34"/>
        <v>0</v>
      </c>
      <c r="U179" s="154">
        <f t="shared" si="36"/>
        <v>0</v>
      </c>
      <c r="V179" s="154">
        <f t="shared" si="36"/>
        <v>0</v>
      </c>
      <c r="W179" s="154">
        <f t="shared" si="36"/>
        <v>0</v>
      </c>
      <c r="X179" s="154">
        <f t="shared" si="36"/>
        <v>0</v>
      </c>
      <c r="Y179" s="154">
        <f t="shared" si="36"/>
        <v>0</v>
      </c>
      <c r="Z179" s="154">
        <f t="shared" si="36"/>
        <v>0</v>
      </c>
      <c r="AA179" s="154">
        <f t="shared" si="36"/>
        <v>0</v>
      </c>
      <c r="AB179" s="154">
        <f t="shared" si="36"/>
        <v>0</v>
      </c>
      <c r="AC179" s="154">
        <f>AC178*(1+TechnicalInputs!$D$36)</f>
        <v>22536500.602639392</v>
      </c>
      <c r="AD179" s="157">
        <f t="shared" si="35"/>
        <v>563475748.90683532</v>
      </c>
      <c r="AE179" s="158"/>
      <c r="AG179" s="99"/>
    </row>
    <row r="180" spans="1:33">
      <c r="A180" s="143">
        <f>EconomicInputs!A85</f>
        <v>2027</v>
      </c>
      <c r="B180" s="154">
        <f t="shared" si="32"/>
        <v>272191365.40831584</v>
      </c>
      <c r="C180" s="154">
        <f t="shared" si="36"/>
        <v>95769903.126600847</v>
      </c>
      <c r="D180" s="154">
        <f t="shared" si="36"/>
        <v>24540803.228355017</v>
      </c>
      <c r="E180" s="154">
        <f t="shared" si="36"/>
        <v>0</v>
      </c>
      <c r="F180" s="154">
        <f t="shared" si="36"/>
        <v>2975149.0449058069</v>
      </c>
      <c r="G180" s="154">
        <f t="shared" si="36"/>
        <v>49508178.000731058</v>
      </c>
      <c r="H180" s="154">
        <f t="shared" si="33"/>
        <v>45728153.66905582</v>
      </c>
      <c r="I180" s="154">
        <f t="shared" si="36"/>
        <v>0</v>
      </c>
      <c r="J180" s="154">
        <f t="shared" si="36"/>
        <v>0</v>
      </c>
      <c r="K180" s="154">
        <f t="shared" si="36"/>
        <v>0</v>
      </c>
      <c r="L180" s="154">
        <f t="shared" si="36"/>
        <v>0</v>
      </c>
      <c r="M180" s="154">
        <f t="shared" si="36"/>
        <v>0</v>
      </c>
      <c r="N180" s="154">
        <f t="shared" si="36"/>
        <v>47629617.966424488</v>
      </c>
      <c r="O180" s="154">
        <f t="shared" si="36"/>
        <v>0</v>
      </c>
      <c r="P180" s="154">
        <f t="shared" si="36"/>
        <v>0</v>
      </c>
      <c r="Q180" s="154">
        <f t="shared" si="36"/>
        <v>0</v>
      </c>
      <c r="R180" s="154">
        <f t="shared" si="36"/>
        <v>0</v>
      </c>
      <c r="S180" s="154">
        <f t="shared" si="36"/>
        <v>0</v>
      </c>
      <c r="T180" s="154">
        <f t="shared" si="34"/>
        <v>0</v>
      </c>
      <c r="U180" s="154">
        <f t="shared" si="36"/>
        <v>0</v>
      </c>
      <c r="V180" s="154">
        <f t="shared" si="36"/>
        <v>0</v>
      </c>
      <c r="W180" s="154">
        <f t="shared" si="36"/>
        <v>0</v>
      </c>
      <c r="X180" s="154">
        <f t="shared" si="36"/>
        <v>0</v>
      </c>
      <c r="Y180" s="154">
        <f t="shared" si="36"/>
        <v>0</v>
      </c>
      <c r="Z180" s="154">
        <f t="shared" si="36"/>
        <v>0</v>
      </c>
      <c r="AA180" s="154">
        <f t="shared" si="36"/>
        <v>0</v>
      </c>
      <c r="AB180" s="154">
        <f t="shared" si="36"/>
        <v>0</v>
      </c>
      <c r="AC180" s="154">
        <f>AC179*(1+TechnicalInputs!$D$36)</f>
        <v>22761865.608665787</v>
      </c>
      <c r="AD180" s="157">
        <f t="shared" si="35"/>
        <v>561105036.05305469</v>
      </c>
      <c r="AE180" s="158"/>
      <c r="AG180" s="99"/>
    </row>
    <row r="181" spans="1:33">
      <c r="A181" s="143">
        <f>EconomicInputs!A86</f>
        <v>2028</v>
      </c>
      <c r="B181" s="154">
        <f t="shared" si="32"/>
        <v>265942117.82432273</v>
      </c>
      <c r="C181" s="154">
        <f t="shared" si="36"/>
        <v>97093451.654113889</v>
      </c>
      <c r="D181" s="154">
        <f t="shared" si="36"/>
        <v>24880047.420103468</v>
      </c>
      <c r="E181" s="154">
        <f t="shared" si="36"/>
        <v>0</v>
      </c>
      <c r="F181" s="154">
        <f t="shared" si="36"/>
        <v>2949296.6301012738</v>
      </c>
      <c r="G181" s="154">
        <f t="shared" si="36"/>
        <v>49915197.778779902</v>
      </c>
      <c r="H181" s="154">
        <f t="shared" si="33"/>
        <v>45797543.990794852</v>
      </c>
      <c r="I181" s="154">
        <f t="shared" si="36"/>
        <v>0</v>
      </c>
      <c r="J181" s="154">
        <f t="shared" si="36"/>
        <v>0</v>
      </c>
      <c r="K181" s="154">
        <f t="shared" si="36"/>
        <v>0</v>
      </c>
      <c r="L181" s="154">
        <f t="shared" si="36"/>
        <v>0</v>
      </c>
      <c r="M181" s="154">
        <f t="shared" si="36"/>
        <v>0</v>
      </c>
      <c r="N181" s="154">
        <f t="shared" si="36"/>
        <v>49441987.960303739</v>
      </c>
      <c r="O181" s="154">
        <f t="shared" si="36"/>
        <v>0</v>
      </c>
      <c r="P181" s="154">
        <f t="shared" si="36"/>
        <v>0</v>
      </c>
      <c r="Q181" s="154">
        <f t="shared" si="36"/>
        <v>0</v>
      </c>
      <c r="R181" s="154">
        <f t="shared" si="36"/>
        <v>0</v>
      </c>
      <c r="S181" s="154">
        <f t="shared" si="36"/>
        <v>0</v>
      </c>
      <c r="T181" s="154">
        <f t="shared" si="34"/>
        <v>0</v>
      </c>
      <c r="U181" s="154">
        <f t="shared" si="36"/>
        <v>0</v>
      </c>
      <c r="V181" s="154">
        <f t="shared" si="36"/>
        <v>0</v>
      </c>
      <c r="W181" s="154">
        <f t="shared" si="36"/>
        <v>0</v>
      </c>
      <c r="X181" s="154">
        <f t="shared" si="36"/>
        <v>0</v>
      </c>
      <c r="Y181" s="154">
        <f t="shared" si="36"/>
        <v>0</v>
      </c>
      <c r="Z181" s="154">
        <f t="shared" si="36"/>
        <v>0</v>
      </c>
      <c r="AA181" s="154">
        <f t="shared" si="36"/>
        <v>0</v>
      </c>
      <c r="AB181" s="154">
        <f t="shared" si="36"/>
        <v>0</v>
      </c>
      <c r="AC181" s="154">
        <f>AC180*(1+TechnicalInputs!$D$36)</f>
        <v>22989484.264752444</v>
      </c>
      <c r="AD181" s="157">
        <f t="shared" si="35"/>
        <v>559009127.52327228</v>
      </c>
      <c r="AE181" s="158"/>
      <c r="AG181" s="99"/>
    </row>
    <row r="182" spans="1:33">
      <c r="A182" s="143">
        <f>EconomicInputs!A87</f>
        <v>2029</v>
      </c>
      <c r="B182" s="154">
        <f t="shared" si="32"/>
        <v>259893600.55454749</v>
      </c>
      <c r="C182" s="154">
        <f t="shared" si="36"/>
        <v>98455336.9081745</v>
      </c>
      <c r="D182" s="154">
        <f t="shared" si="36"/>
        <v>25229118.302775908</v>
      </c>
      <c r="E182" s="154">
        <f t="shared" si="36"/>
        <v>0</v>
      </c>
      <c r="F182" s="154">
        <f t="shared" si="36"/>
        <v>2921970.4835496778</v>
      </c>
      <c r="G182" s="154">
        <f t="shared" si="36"/>
        <v>50322894.09902899</v>
      </c>
      <c r="H182" s="154">
        <f t="shared" si="33"/>
        <v>45862572.998775676</v>
      </c>
      <c r="I182" s="154">
        <f t="shared" si="36"/>
        <v>0</v>
      </c>
      <c r="J182" s="154">
        <f t="shared" si="36"/>
        <v>0</v>
      </c>
      <c r="K182" s="154">
        <f t="shared" si="36"/>
        <v>0</v>
      </c>
      <c r="L182" s="154">
        <f t="shared" si="36"/>
        <v>0</v>
      </c>
      <c r="M182" s="154">
        <f t="shared" si="36"/>
        <v>0</v>
      </c>
      <c r="N182" s="154">
        <f t="shared" si="36"/>
        <v>51332526.458257638</v>
      </c>
      <c r="O182" s="154">
        <f t="shared" ref="C182:AB188" si="37">IF(O23=0,0,O85-O117)*(1-O$130)</f>
        <v>0</v>
      </c>
      <c r="P182" s="154">
        <f t="shared" si="37"/>
        <v>0</v>
      </c>
      <c r="Q182" s="154">
        <f t="shared" si="37"/>
        <v>0</v>
      </c>
      <c r="R182" s="154">
        <f t="shared" si="37"/>
        <v>0</v>
      </c>
      <c r="S182" s="154">
        <f t="shared" si="37"/>
        <v>0</v>
      </c>
      <c r="T182" s="154">
        <f t="shared" si="34"/>
        <v>0</v>
      </c>
      <c r="U182" s="154">
        <f t="shared" si="37"/>
        <v>0</v>
      </c>
      <c r="V182" s="154">
        <f t="shared" si="37"/>
        <v>0</v>
      </c>
      <c r="W182" s="154">
        <f t="shared" si="37"/>
        <v>0</v>
      </c>
      <c r="X182" s="154">
        <f t="shared" si="37"/>
        <v>0</v>
      </c>
      <c r="Y182" s="154">
        <f t="shared" si="37"/>
        <v>0</v>
      </c>
      <c r="Z182" s="154">
        <f t="shared" si="37"/>
        <v>0</v>
      </c>
      <c r="AA182" s="154">
        <f t="shared" si="37"/>
        <v>0</v>
      </c>
      <c r="AB182" s="154">
        <f t="shared" si="37"/>
        <v>0</v>
      </c>
      <c r="AC182" s="154">
        <f>AC181*(1+TechnicalInputs!$D$36)</f>
        <v>23219379.10739997</v>
      </c>
      <c r="AD182" s="157">
        <f t="shared" si="35"/>
        <v>557237398.9125098</v>
      </c>
      <c r="AE182" s="158"/>
      <c r="AG182" s="99"/>
    </row>
    <row r="183" spans="1:33">
      <c r="A183" s="143">
        <f>EconomicInputs!A88</f>
        <v>2030</v>
      </c>
      <c r="B183" s="154">
        <f t="shared" si="32"/>
        <v>254044362.64743125</v>
      </c>
      <c r="C183" s="154">
        <f t="shared" si="37"/>
        <v>99873212.922027305</v>
      </c>
      <c r="D183" s="154">
        <f t="shared" si="37"/>
        <v>25592538.959678378</v>
      </c>
      <c r="E183" s="154">
        <f t="shared" si="37"/>
        <v>0</v>
      </c>
      <c r="F183" s="154">
        <f t="shared" si="37"/>
        <v>2893121.2472309568</v>
      </c>
      <c r="G183" s="154">
        <f t="shared" si="37"/>
        <v>50731392.944233157</v>
      </c>
      <c r="H183" s="154">
        <f t="shared" si="33"/>
        <v>45923778.039636321</v>
      </c>
      <c r="I183" s="154">
        <f t="shared" si="37"/>
        <v>0</v>
      </c>
      <c r="J183" s="154">
        <f t="shared" si="37"/>
        <v>0</v>
      </c>
      <c r="K183" s="154">
        <f t="shared" si="37"/>
        <v>0</v>
      </c>
      <c r="L183" s="154">
        <f t="shared" si="37"/>
        <v>0</v>
      </c>
      <c r="M183" s="154">
        <f t="shared" si="37"/>
        <v>0</v>
      </c>
      <c r="N183" s="154">
        <f t="shared" si="37"/>
        <v>53331784.75778833</v>
      </c>
      <c r="O183" s="154">
        <f t="shared" si="37"/>
        <v>0</v>
      </c>
      <c r="P183" s="154">
        <f t="shared" si="37"/>
        <v>0</v>
      </c>
      <c r="Q183" s="154">
        <f t="shared" si="37"/>
        <v>0</v>
      </c>
      <c r="R183" s="154">
        <f t="shared" si="37"/>
        <v>0</v>
      </c>
      <c r="S183" s="154">
        <f t="shared" si="37"/>
        <v>0</v>
      </c>
      <c r="T183" s="154">
        <f t="shared" si="34"/>
        <v>0</v>
      </c>
      <c r="U183" s="154">
        <f t="shared" si="37"/>
        <v>0</v>
      </c>
      <c r="V183" s="154">
        <f t="shared" si="37"/>
        <v>0</v>
      </c>
      <c r="W183" s="154">
        <f t="shared" si="37"/>
        <v>0</v>
      </c>
      <c r="X183" s="154">
        <f t="shared" si="37"/>
        <v>0</v>
      </c>
      <c r="Y183" s="154">
        <f t="shared" si="37"/>
        <v>0</v>
      </c>
      <c r="Z183" s="154">
        <f t="shared" si="37"/>
        <v>0</v>
      </c>
      <c r="AA183" s="154">
        <f t="shared" si="37"/>
        <v>0</v>
      </c>
      <c r="AB183" s="154">
        <f t="shared" si="37"/>
        <v>0</v>
      </c>
      <c r="AC183" s="154">
        <f>AC182*(1+TechnicalInputs!$D$36)</f>
        <v>23451572.898473971</v>
      </c>
      <c r="AD183" s="157">
        <f t="shared" si="35"/>
        <v>555841764.41649961</v>
      </c>
      <c r="AE183" s="158"/>
      <c r="AG183" s="99"/>
    </row>
    <row r="184" spans="1:33">
      <c r="A184" s="143">
        <f>EconomicInputs!A89</f>
        <v>2031</v>
      </c>
      <c r="B184" s="154">
        <f t="shared" si="32"/>
        <v>248395741.89987895</v>
      </c>
      <c r="C184" s="154">
        <f t="shared" si="37"/>
        <v>101336212.21371041</v>
      </c>
      <c r="D184" s="154">
        <f t="shared" si="37"/>
        <v>25967525.253792658</v>
      </c>
      <c r="E184" s="154">
        <f t="shared" si="37"/>
        <v>0</v>
      </c>
      <c r="F184" s="154">
        <f t="shared" si="37"/>
        <v>2862406.022294051</v>
      </c>
      <c r="G184" s="154">
        <f t="shared" si="37"/>
        <v>51140416.664611913</v>
      </c>
      <c r="H184" s="154">
        <f t="shared" si="33"/>
        <v>45981478.492888734</v>
      </c>
      <c r="I184" s="154">
        <f t="shared" si="37"/>
        <v>0</v>
      </c>
      <c r="J184" s="154">
        <f t="shared" si="37"/>
        <v>0</v>
      </c>
      <c r="K184" s="154">
        <f t="shared" si="37"/>
        <v>0</v>
      </c>
      <c r="L184" s="154">
        <f t="shared" si="37"/>
        <v>0</v>
      </c>
      <c r="M184" s="154">
        <f t="shared" si="37"/>
        <v>0</v>
      </c>
      <c r="N184" s="154">
        <f t="shared" si="37"/>
        <v>55373371.115571111</v>
      </c>
      <c r="O184" s="154">
        <f t="shared" si="37"/>
        <v>0</v>
      </c>
      <c r="P184" s="154">
        <f t="shared" si="37"/>
        <v>0</v>
      </c>
      <c r="Q184" s="154">
        <f t="shared" si="37"/>
        <v>0</v>
      </c>
      <c r="R184" s="154">
        <f t="shared" si="37"/>
        <v>0</v>
      </c>
      <c r="S184" s="154">
        <f t="shared" si="37"/>
        <v>0</v>
      </c>
      <c r="T184" s="154">
        <f t="shared" si="34"/>
        <v>0</v>
      </c>
      <c r="U184" s="154">
        <f t="shared" si="37"/>
        <v>0</v>
      </c>
      <c r="V184" s="154">
        <f t="shared" si="37"/>
        <v>0</v>
      </c>
      <c r="W184" s="154">
        <f t="shared" si="37"/>
        <v>0</v>
      </c>
      <c r="X184" s="154">
        <f t="shared" si="37"/>
        <v>0</v>
      </c>
      <c r="Y184" s="154">
        <f t="shared" si="37"/>
        <v>0</v>
      </c>
      <c r="Z184" s="154">
        <f t="shared" si="37"/>
        <v>0</v>
      </c>
      <c r="AA184" s="154">
        <f t="shared" si="37"/>
        <v>0</v>
      </c>
      <c r="AB184" s="154">
        <f t="shared" si="37"/>
        <v>0</v>
      </c>
      <c r="AC184" s="154">
        <f>AC183*(1+TechnicalInputs!$D$36)</f>
        <v>23686088.62745871</v>
      </c>
      <c r="AD184" s="157">
        <f t="shared" si="35"/>
        <v>554743240.29020655</v>
      </c>
      <c r="AE184" s="158"/>
      <c r="AG184" s="99"/>
    </row>
    <row r="185" spans="1:33">
      <c r="A185" s="143">
        <f>EconomicInputs!A90</f>
        <v>2032</v>
      </c>
      <c r="B185" s="154">
        <f t="shared" si="32"/>
        <v>242945967.68676609</v>
      </c>
      <c r="C185" s="154">
        <f t="shared" si="37"/>
        <v>102843718.43098855</v>
      </c>
      <c r="D185" s="154">
        <f t="shared" si="37"/>
        <v>26353919.397276442</v>
      </c>
      <c r="E185" s="154">
        <f t="shared" si="37"/>
        <v>0</v>
      </c>
      <c r="F185" s="154">
        <f t="shared" si="37"/>
        <v>2830070.7238889043</v>
      </c>
      <c r="G185" s="154">
        <f t="shared" si="37"/>
        <v>51550244.237337515</v>
      </c>
      <c r="H185" s="154">
        <f t="shared" si="33"/>
        <v>46035995.563475341</v>
      </c>
      <c r="I185" s="154">
        <f t="shared" si="37"/>
        <v>0</v>
      </c>
      <c r="J185" s="154">
        <f t="shared" si="37"/>
        <v>0</v>
      </c>
      <c r="K185" s="154">
        <f t="shared" si="37"/>
        <v>0</v>
      </c>
      <c r="L185" s="154">
        <f t="shared" si="37"/>
        <v>0</v>
      </c>
      <c r="M185" s="154">
        <f t="shared" si="37"/>
        <v>0</v>
      </c>
      <c r="N185" s="154">
        <f t="shared" si="37"/>
        <v>57526776.728778355</v>
      </c>
      <c r="O185" s="154">
        <f t="shared" si="37"/>
        <v>0</v>
      </c>
      <c r="P185" s="154">
        <f t="shared" si="37"/>
        <v>0</v>
      </c>
      <c r="Q185" s="154">
        <f t="shared" si="37"/>
        <v>0</v>
      </c>
      <c r="R185" s="154">
        <f t="shared" si="37"/>
        <v>0</v>
      </c>
      <c r="S185" s="154">
        <f t="shared" si="37"/>
        <v>0</v>
      </c>
      <c r="T185" s="154">
        <f t="shared" si="34"/>
        <v>0</v>
      </c>
      <c r="U185" s="154">
        <f t="shared" si="37"/>
        <v>0</v>
      </c>
      <c r="V185" s="154">
        <f t="shared" si="37"/>
        <v>0</v>
      </c>
      <c r="W185" s="154">
        <f t="shared" si="37"/>
        <v>0</v>
      </c>
      <c r="X185" s="154">
        <f t="shared" si="37"/>
        <v>0</v>
      </c>
      <c r="Y185" s="154">
        <f t="shared" si="37"/>
        <v>0</v>
      </c>
      <c r="Z185" s="154">
        <f t="shared" si="37"/>
        <v>0</v>
      </c>
      <c r="AA185" s="154">
        <f t="shared" si="37"/>
        <v>0</v>
      </c>
      <c r="AB185" s="154">
        <f t="shared" si="37"/>
        <v>0</v>
      </c>
      <c r="AC185" s="154">
        <f>AC184*(1+TechnicalInputs!$D$36)</f>
        <v>23922949.513733298</v>
      </c>
      <c r="AD185" s="157">
        <f t="shared" si="35"/>
        <v>554009642.28224456</v>
      </c>
      <c r="AE185" s="158"/>
      <c r="AG185" s="99"/>
    </row>
    <row r="186" spans="1:33">
      <c r="A186" s="143">
        <f>EconomicInputs!A91</f>
        <v>2033</v>
      </c>
      <c r="B186" s="154">
        <f t="shared" si="32"/>
        <v>237641474.85173896</v>
      </c>
      <c r="C186" s="154">
        <f t="shared" si="37"/>
        <v>104385546.58443949</v>
      </c>
      <c r="D186" s="154">
        <f t="shared" si="37"/>
        <v>26749106.033738367</v>
      </c>
      <c r="E186" s="154">
        <f t="shared" si="37"/>
        <v>0</v>
      </c>
      <c r="F186" s="154">
        <f t="shared" si="37"/>
        <v>2796061.7180385748</v>
      </c>
      <c r="G186" s="154">
        <f t="shared" si="37"/>
        <v>51960703.791012637</v>
      </c>
      <c r="H186" s="154">
        <f t="shared" si="33"/>
        <v>46118396.238998033</v>
      </c>
      <c r="I186" s="154">
        <f t="shared" si="37"/>
        <v>0</v>
      </c>
      <c r="J186" s="154">
        <f t="shared" si="37"/>
        <v>0</v>
      </c>
      <c r="K186" s="154">
        <f t="shared" si="37"/>
        <v>0</v>
      </c>
      <c r="L186" s="154">
        <f t="shared" si="37"/>
        <v>0</v>
      </c>
      <c r="M186" s="154">
        <f t="shared" si="37"/>
        <v>0</v>
      </c>
      <c r="N186" s="154">
        <f t="shared" si="37"/>
        <v>59297992.466652468</v>
      </c>
      <c r="O186" s="154">
        <f t="shared" si="37"/>
        <v>0</v>
      </c>
      <c r="P186" s="154">
        <f t="shared" si="37"/>
        <v>0</v>
      </c>
      <c r="Q186" s="154">
        <f t="shared" si="37"/>
        <v>0</v>
      </c>
      <c r="R186" s="154">
        <f t="shared" si="37"/>
        <v>0</v>
      </c>
      <c r="S186" s="154">
        <f t="shared" si="37"/>
        <v>0</v>
      </c>
      <c r="T186" s="154">
        <f t="shared" si="34"/>
        <v>0</v>
      </c>
      <c r="U186" s="154">
        <f t="shared" si="37"/>
        <v>0</v>
      </c>
      <c r="V186" s="154">
        <f t="shared" si="37"/>
        <v>0</v>
      </c>
      <c r="W186" s="154">
        <f t="shared" si="37"/>
        <v>0</v>
      </c>
      <c r="X186" s="154">
        <f t="shared" si="37"/>
        <v>0</v>
      </c>
      <c r="Y186" s="154">
        <f t="shared" si="37"/>
        <v>0</v>
      </c>
      <c r="Z186" s="154">
        <f t="shared" si="37"/>
        <v>0</v>
      </c>
      <c r="AA186" s="154">
        <f t="shared" si="37"/>
        <v>0</v>
      </c>
      <c r="AB186" s="154">
        <f t="shared" si="37"/>
        <v>0</v>
      </c>
      <c r="AC186" s="154">
        <f>AC185*(1+TechnicalInputs!$D$36)</f>
        <v>24162179.008870631</v>
      </c>
      <c r="AD186" s="157">
        <f t="shared" si="35"/>
        <v>553111460.69348919</v>
      </c>
      <c r="AE186" s="158"/>
      <c r="AG186" s="99"/>
    </row>
    <row r="187" spans="1:33">
      <c r="A187" s="143">
        <f>EconomicInputs!A92</f>
        <v>2034</v>
      </c>
      <c r="B187" s="154">
        <f t="shared" si="32"/>
        <v>232474709.83789602</v>
      </c>
      <c r="C187" s="154">
        <f t="shared" si="37"/>
        <v>105977734.13537125</v>
      </c>
      <c r="D187" s="154">
        <f t="shared" si="37"/>
        <v>27157199.563567959</v>
      </c>
      <c r="E187" s="154">
        <f t="shared" si="37"/>
        <v>0</v>
      </c>
      <c r="F187" s="154">
        <f t="shared" si="37"/>
        <v>2760323.6996133602</v>
      </c>
      <c r="G187" s="154">
        <f t="shared" si="37"/>
        <v>52372123.511109881</v>
      </c>
      <c r="H187" s="154">
        <f t="shared" si="33"/>
        <v>46201003.091598451</v>
      </c>
      <c r="I187" s="154">
        <f t="shared" si="37"/>
        <v>0</v>
      </c>
      <c r="J187" s="154">
        <f t="shared" si="37"/>
        <v>0</v>
      </c>
      <c r="K187" s="154">
        <f t="shared" si="37"/>
        <v>0</v>
      </c>
      <c r="L187" s="154">
        <f t="shared" si="37"/>
        <v>0</v>
      </c>
      <c r="M187" s="154">
        <f t="shared" si="37"/>
        <v>0</v>
      </c>
      <c r="N187" s="154">
        <f t="shared" si="37"/>
        <v>61123742.898950443</v>
      </c>
      <c r="O187" s="154">
        <f t="shared" si="37"/>
        <v>0</v>
      </c>
      <c r="P187" s="154">
        <f t="shared" si="37"/>
        <v>0</v>
      </c>
      <c r="Q187" s="154">
        <f t="shared" si="37"/>
        <v>0</v>
      </c>
      <c r="R187" s="154">
        <f t="shared" si="37"/>
        <v>0</v>
      </c>
      <c r="S187" s="154">
        <f t="shared" si="37"/>
        <v>0</v>
      </c>
      <c r="T187" s="154">
        <f t="shared" si="34"/>
        <v>0</v>
      </c>
      <c r="U187" s="154">
        <f t="shared" si="37"/>
        <v>0</v>
      </c>
      <c r="V187" s="154">
        <f t="shared" si="37"/>
        <v>0</v>
      </c>
      <c r="W187" s="154">
        <f t="shared" si="37"/>
        <v>0</v>
      </c>
      <c r="X187" s="154">
        <f t="shared" si="37"/>
        <v>0</v>
      </c>
      <c r="Y187" s="154">
        <f t="shared" si="37"/>
        <v>0</v>
      </c>
      <c r="Z187" s="154">
        <f t="shared" si="37"/>
        <v>0</v>
      </c>
      <c r="AA187" s="154">
        <f t="shared" si="37"/>
        <v>0</v>
      </c>
      <c r="AB187" s="154">
        <f t="shared" si="37"/>
        <v>0</v>
      </c>
      <c r="AC187" s="154">
        <f>AC186*(1+TechnicalInputs!$D$36)</f>
        <v>24403800.798959337</v>
      </c>
      <c r="AD187" s="157">
        <f t="shared" si="35"/>
        <v>552470637.5370667</v>
      </c>
      <c r="AE187" s="158"/>
      <c r="AG187" s="99"/>
    </row>
    <row r="188" spans="1:33">
      <c r="A188" s="143">
        <f>EconomicInputs!A93</f>
        <v>2035</v>
      </c>
      <c r="B188" s="154">
        <f t="shared" si="32"/>
        <v>227445547.94488752</v>
      </c>
      <c r="C188" s="154">
        <f t="shared" si="37"/>
        <v>107616712.05885519</v>
      </c>
      <c r="D188" s="154">
        <f t="shared" si="37"/>
        <v>27577285.73145951</v>
      </c>
      <c r="E188" s="154">
        <f t="shared" si="37"/>
        <v>0</v>
      </c>
      <c r="F188" s="154">
        <f t="shared" si="37"/>
        <v>2722799.6408002442</v>
      </c>
      <c r="G188" s="154">
        <f t="shared" si="37"/>
        <v>52784482.543710895</v>
      </c>
      <c r="H188" s="154">
        <f t="shared" si="33"/>
        <v>46283794.400411494</v>
      </c>
      <c r="I188" s="154">
        <f t="shared" si="37"/>
        <v>0</v>
      </c>
      <c r="J188" s="154">
        <f t="shared" si="37"/>
        <v>0</v>
      </c>
      <c r="K188" s="154">
        <f t="shared" si="37"/>
        <v>0</v>
      </c>
      <c r="L188" s="154">
        <f t="shared" si="37"/>
        <v>0</v>
      </c>
      <c r="M188" s="154">
        <f t="shared" si="37"/>
        <v>0</v>
      </c>
      <c r="N188" s="154">
        <f t="shared" si="37"/>
        <v>63005707.116949685</v>
      </c>
      <c r="O188" s="154">
        <f t="shared" si="37"/>
        <v>0</v>
      </c>
      <c r="P188" s="154">
        <f t="shared" si="37"/>
        <v>0</v>
      </c>
      <c r="Q188" s="154">
        <f t="shared" si="37"/>
        <v>0</v>
      </c>
      <c r="R188" s="154">
        <f t="shared" si="37"/>
        <v>0</v>
      </c>
      <c r="S188" s="154">
        <f t="shared" si="37"/>
        <v>0</v>
      </c>
      <c r="T188" s="154">
        <f t="shared" si="34"/>
        <v>0</v>
      </c>
      <c r="U188" s="154">
        <f t="shared" si="37"/>
        <v>0</v>
      </c>
      <c r="V188" s="154">
        <f t="shared" si="37"/>
        <v>0</v>
      </c>
      <c r="W188" s="154">
        <f t="shared" si="37"/>
        <v>0</v>
      </c>
      <c r="X188" s="154">
        <f t="shared" si="37"/>
        <v>0</v>
      </c>
      <c r="Y188" s="154">
        <f t="shared" si="37"/>
        <v>0</v>
      </c>
      <c r="Z188" s="154">
        <f t="shared" si="37"/>
        <v>0</v>
      </c>
      <c r="AA188" s="154">
        <f t="shared" si="37"/>
        <v>0</v>
      </c>
      <c r="AB188" s="154">
        <f t="shared" si="37"/>
        <v>0</v>
      </c>
      <c r="AC188" s="154">
        <f>AC187*(1+TechnicalInputs!$D$36)</f>
        <v>24647838.80694893</v>
      </c>
      <c r="AD188" s="157">
        <f t="shared" si="35"/>
        <v>552084168.24402344</v>
      </c>
      <c r="AE188" s="158"/>
      <c r="AG188" s="99"/>
    </row>
    <row r="189" spans="1:33">
      <c r="A189" s="1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7"/>
      <c r="AE189" s="98"/>
      <c r="AG189" s="99"/>
    </row>
    <row r="190" spans="1:33">
      <c r="A190" s="1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  <c r="AD190" s="97"/>
      <c r="AE190" s="98"/>
      <c r="AG190" s="99"/>
    </row>
    <row r="191" spans="1:33">
      <c r="A191" s="1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7"/>
      <c r="AE191" s="98"/>
      <c r="AG191" s="99"/>
    </row>
    <row r="192" spans="1:33">
      <c r="A192" s="279" t="s">
        <v>348</v>
      </c>
      <c r="B192" s="280"/>
      <c r="C192" s="280"/>
      <c r="D192" s="280"/>
      <c r="E192" s="280"/>
      <c r="F192" s="280"/>
      <c r="G192" s="280"/>
      <c r="H192" s="280"/>
      <c r="I192" s="280"/>
      <c r="J192" s="280"/>
      <c r="K192" s="280"/>
      <c r="L192" s="280"/>
      <c r="M192" s="280"/>
      <c r="N192" s="280"/>
      <c r="O192" s="280"/>
      <c r="P192" s="280"/>
      <c r="Q192" s="280"/>
      <c r="R192" s="280"/>
      <c r="S192" s="280"/>
      <c r="T192" s="280"/>
      <c r="U192" s="280"/>
      <c r="V192" s="280"/>
      <c r="W192" s="280"/>
      <c r="X192" s="280"/>
      <c r="Y192" s="280"/>
      <c r="Z192" s="280"/>
      <c r="AA192" s="280"/>
      <c r="AB192" s="280"/>
      <c r="AC192" s="281"/>
      <c r="AD192" s="266" t="s">
        <v>141</v>
      </c>
      <c r="AE192" s="266" t="s">
        <v>142</v>
      </c>
      <c r="AG192" s="99"/>
    </row>
    <row r="193" spans="1:33" ht="31.5">
      <c r="A193" s="170" t="s">
        <v>91</v>
      </c>
      <c r="B193" s="270" t="s">
        <v>44</v>
      </c>
      <c r="C193" s="270"/>
      <c r="D193" s="270"/>
      <c r="E193" s="171" t="s">
        <v>1</v>
      </c>
      <c r="F193" s="171" t="s">
        <v>31</v>
      </c>
      <c r="G193" s="171" t="s">
        <v>11</v>
      </c>
      <c r="H193" s="171" t="s">
        <v>11</v>
      </c>
      <c r="I193" s="171" t="s">
        <v>23</v>
      </c>
      <c r="J193" s="171" t="s">
        <v>34</v>
      </c>
      <c r="K193" s="171" t="s">
        <v>29</v>
      </c>
      <c r="L193" s="171" t="s">
        <v>32</v>
      </c>
      <c r="M193" s="171" t="s">
        <v>36</v>
      </c>
      <c r="N193" s="171" t="s">
        <v>15</v>
      </c>
      <c r="O193" s="171" t="s">
        <v>17</v>
      </c>
      <c r="P193" s="171" t="s">
        <v>59</v>
      </c>
      <c r="Q193" s="171" t="s">
        <v>3</v>
      </c>
      <c r="R193" s="171" t="s">
        <v>4</v>
      </c>
      <c r="S193" s="171" t="s">
        <v>58</v>
      </c>
      <c r="T193" s="171" t="s">
        <v>21</v>
      </c>
      <c r="U193" s="171" t="s">
        <v>5</v>
      </c>
      <c r="V193" s="171" t="s">
        <v>7</v>
      </c>
      <c r="W193" s="171" t="s">
        <v>9</v>
      </c>
      <c r="X193" s="171" t="s">
        <v>13</v>
      </c>
      <c r="Y193" s="171" t="s">
        <v>19</v>
      </c>
      <c r="Z193" s="171" t="s">
        <v>25</v>
      </c>
      <c r="AA193" s="171" t="s">
        <v>25</v>
      </c>
      <c r="AB193" s="171" t="s">
        <v>25</v>
      </c>
      <c r="AC193" s="171" t="s">
        <v>62</v>
      </c>
      <c r="AD193" s="267"/>
      <c r="AE193" s="267"/>
      <c r="AG193" s="99"/>
    </row>
    <row r="194" spans="1:33" ht="63">
      <c r="A194" s="170" t="s">
        <v>86</v>
      </c>
      <c r="B194" s="170" t="s">
        <v>40</v>
      </c>
      <c r="C194" s="170" t="s">
        <v>41</v>
      </c>
      <c r="D194" s="170" t="s">
        <v>42</v>
      </c>
      <c r="E194" s="170" t="s">
        <v>2</v>
      </c>
      <c r="F194" s="171" t="s">
        <v>53</v>
      </c>
      <c r="G194" s="172" t="s">
        <v>12</v>
      </c>
      <c r="H194" s="172" t="s">
        <v>157</v>
      </c>
      <c r="I194" s="171" t="s">
        <v>24</v>
      </c>
      <c r="J194" s="171" t="s">
        <v>35</v>
      </c>
      <c r="K194" s="171" t="s">
        <v>30</v>
      </c>
      <c r="L194" s="171" t="s">
        <v>33</v>
      </c>
      <c r="M194" s="171" t="s">
        <v>37</v>
      </c>
      <c r="N194" s="171" t="s">
        <v>16</v>
      </c>
      <c r="O194" s="171" t="s">
        <v>18</v>
      </c>
      <c r="P194" s="170" t="s">
        <v>46</v>
      </c>
      <c r="Q194" s="170" t="s">
        <v>49</v>
      </c>
      <c r="R194" s="170" t="s">
        <v>50</v>
      </c>
      <c r="S194" s="171" t="s">
        <v>51</v>
      </c>
      <c r="T194" s="171" t="s">
        <v>22</v>
      </c>
      <c r="U194" s="171" t="s">
        <v>6</v>
      </c>
      <c r="V194" s="171" t="s">
        <v>8</v>
      </c>
      <c r="W194" s="171" t="s">
        <v>10</v>
      </c>
      <c r="X194" s="171" t="s">
        <v>14</v>
      </c>
      <c r="Y194" s="171" t="s">
        <v>20</v>
      </c>
      <c r="Z194" s="171" t="s">
        <v>26</v>
      </c>
      <c r="AA194" s="171" t="s">
        <v>27</v>
      </c>
      <c r="AB194" s="171" t="s">
        <v>28</v>
      </c>
      <c r="AC194" s="171" t="s">
        <v>371</v>
      </c>
      <c r="AD194" s="268"/>
      <c r="AE194" s="269"/>
      <c r="AG194" s="99"/>
    </row>
    <row r="195" spans="1:33">
      <c r="A195" s="143">
        <f>EconomicInputs!A100</f>
        <v>2010</v>
      </c>
      <c r="B195" s="154">
        <f>B131+B163</f>
        <v>567222742.5573051</v>
      </c>
      <c r="C195" s="154">
        <f t="shared" ref="C195:AC204" si="38">C131+C163</f>
        <v>171225501.81972066</v>
      </c>
      <c r="D195" s="154">
        <f t="shared" si="38"/>
        <v>95729037.421712339</v>
      </c>
      <c r="E195" s="154">
        <f t="shared" si="38"/>
        <v>0</v>
      </c>
      <c r="F195" s="154">
        <f t="shared" si="38"/>
        <v>9693690.4343124833</v>
      </c>
      <c r="G195" s="154">
        <f t="shared" si="38"/>
        <v>125077413.2898849</v>
      </c>
      <c r="H195" s="154">
        <f t="shared" si="38"/>
        <v>81655345.762956753</v>
      </c>
      <c r="I195" s="154">
        <f t="shared" si="38"/>
        <v>0</v>
      </c>
      <c r="J195" s="154">
        <f t="shared" si="38"/>
        <v>0</v>
      </c>
      <c r="K195" s="154">
        <f t="shared" si="38"/>
        <v>0</v>
      </c>
      <c r="L195" s="154">
        <f t="shared" si="38"/>
        <v>0</v>
      </c>
      <c r="M195" s="154">
        <f t="shared" si="38"/>
        <v>0</v>
      </c>
      <c r="N195" s="154">
        <f t="shared" si="38"/>
        <v>51908670.271518059</v>
      </c>
      <c r="O195" s="154">
        <f t="shared" si="38"/>
        <v>0</v>
      </c>
      <c r="P195" s="154">
        <f t="shared" si="38"/>
        <v>0</v>
      </c>
      <c r="Q195" s="154">
        <f t="shared" si="38"/>
        <v>0</v>
      </c>
      <c r="R195" s="154">
        <f t="shared" si="38"/>
        <v>0</v>
      </c>
      <c r="S195" s="154">
        <f t="shared" si="38"/>
        <v>0</v>
      </c>
      <c r="T195" s="154">
        <f t="shared" si="38"/>
        <v>12190784.587477507</v>
      </c>
      <c r="U195" s="154">
        <f t="shared" si="38"/>
        <v>0</v>
      </c>
      <c r="V195" s="154">
        <f t="shared" si="38"/>
        <v>0</v>
      </c>
      <c r="W195" s="154">
        <f t="shared" si="38"/>
        <v>0</v>
      </c>
      <c r="X195" s="154">
        <f t="shared" si="38"/>
        <v>0</v>
      </c>
      <c r="Y195" s="154">
        <f t="shared" si="38"/>
        <v>0</v>
      </c>
      <c r="Z195" s="154">
        <f t="shared" si="38"/>
        <v>0</v>
      </c>
      <c r="AA195" s="154">
        <f t="shared" si="38"/>
        <v>0</v>
      </c>
      <c r="AB195" s="154">
        <f t="shared" si="38"/>
        <v>0</v>
      </c>
      <c r="AC195" s="154">
        <f t="shared" si="38"/>
        <v>58400000</v>
      </c>
      <c r="AD195" s="157">
        <f>SUM(B195:AC195)</f>
        <v>1173103186.1448877</v>
      </c>
      <c r="AE195" s="158"/>
      <c r="AG195" s="99"/>
    </row>
    <row r="196" spans="1:33">
      <c r="A196" s="143">
        <f>EconomicInputs!A101</f>
        <v>2011</v>
      </c>
      <c r="B196" s="154">
        <f t="shared" ref="B196:Q220" si="39">B132+B164</f>
        <v>533085482.9852767</v>
      </c>
      <c r="C196" s="154">
        <f t="shared" si="39"/>
        <v>170913992.94832832</v>
      </c>
      <c r="D196" s="154">
        <f t="shared" si="39"/>
        <v>95554445.671452984</v>
      </c>
      <c r="E196" s="154">
        <f t="shared" si="39"/>
        <v>0</v>
      </c>
      <c r="F196" s="154">
        <f t="shared" si="39"/>
        <v>9621376.9987064246</v>
      </c>
      <c r="G196" s="154">
        <f t="shared" si="39"/>
        <v>126345225.14354059</v>
      </c>
      <c r="H196" s="154">
        <f t="shared" si="39"/>
        <v>87786342.686823964</v>
      </c>
      <c r="I196" s="154">
        <f t="shared" si="39"/>
        <v>0</v>
      </c>
      <c r="J196" s="154">
        <f t="shared" si="39"/>
        <v>0</v>
      </c>
      <c r="K196" s="154">
        <f t="shared" si="39"/>
        <v>0</v>
      </c>
      <c r="L196" s="154">
        <f t="shared" si="39"/>
        <v>0</v>
      </c>
      <c r="M196" s="154">
        <f t="shared" si="39"/>
        <v>0</v>
      </c>
      <c r="N196" s="154">
        <f t="shared" si="39"/>
        <v>55794811.674021415</v>
      </c>
      <c r="O196" s="154">
        <f t="shared" si="39"/>
        <v>0</v>
      </c>
      <c r="P196" s="154">
        <f t="shared" si="39"/>
        <v>0</v>
      </c>
      <c r="Q196" s="154">
        <f t="shared" si="39"/>
        <v>0</v>
      </c>
      <c r="R196" s="154">
        <f t="shared" si="38"/>
        <v>0</v>
      </c>
      <c r="S196" s="154">
        <f t="shared" si="38"/>
        <v>0</v>
      </c>
      <c r="T196" s="154">
        <f t="shared" si="38"/>
        <v>13319815.864333576</v>
      </c>
      <c r="U196" s="154">
        <f t="shared" si="38"/>
        <v>0</v>
      </c>
      <c r="V196" s="154">
        <f t="shared" si="38"/>
        <v>0</v>
      </c>
      <c r="W196" s="154">
        <f t="shared" si="38"/>
        <v>0</v>
      </c>
      <c r="X196" s="154">
        <f t="shared" si="38"/>
        <v>0</v>
      </c>
      <c r="Y196" s="154">
        <f t="shared" si="38"/>
        <v>0</v>
      </c>
      <c r="Z196" s="154">
        <f t="shared" si="38"/>
        <v>0</v>
      </c>
      <c r="AA196" s="154">
        <f t="shared" si="38"/>
        <v>0</v>
      </c>
      <c r="AB196" s="154">
        <f t="shared" si="38"/>
        <v>0</v>
      </c>
      <c r="AC196" s="154">
        <f t="shared" si="38"/>
        <v>58400000</v>
      </c>
      <c r="AD196" s="157">
        <f t="shared" ref="AD196:AD220" si="40">SUM(B196:AC196)</f>
        <v>1150821493.9724841</v>
      </c>
      <c r="AE196" s="158"/>
      <c r="AG196" s="99"/>
    </row>
    <row r="197" spans="1:33">
      <c r="A197" s="143">
        <f>EconomicInputs!A102</f>
        <v>2012</v>
      </c>
      <c r="B197" s="154">
        <f t="shared" si="39"/>
        <v>525645547.8392024</v>
      </c>
      <c r="C197" s="154">
        <f t="shared" si="38"/>
        <v>171264706.53375629</v>
      </c>
      <c r="D197" s="154">
        <f t="shared" si="38"/>
        <v>95744678.104698285</v>
      </c>
      <c r="E197" s="154">
        <f t="shared" si="38"/>
        <v>0</v>
      </c>
      <c r="F197" s="154">
        <f t="shared" si="38"/>
        <v>9431773.4021155164</v>
      </c>
      <c r="G197" s="154">
        <f t="shared" si="38"/>
        <v>127546879.25698482</v>
      </c>
      <c r="H197" s="154">
        <f t="shared" si="38"/>
        <v>89892197.213113755</v>
      </c>
      <c r="I197" s="154">
        <f t="shared" si="38"/>
        <v>0</v>
      </c>
      <c r="J197" s="154">
        <f t="shared" si="38"/>
        <v>0</v>
      </c>
      <c r="K197" s="154">
        <f t="shared" si="38"/>
        <v>0</v>
      </c>
      <c r="L197" s="154">
        <f t="shared" si="38"/>
        <v>0</v>
      </c>
      <c r="M197" s="154">
        <f t="shared" si="38"/>
        <v>0</v>
      </c>
      <c r="N197" s="154">
        <f t="shared" si="38"/>
        <v>59309140.917586558</v>
      </c>
      <c r="O197" s="154">
        <f t="shared" si="38"/>
        <v>0</v>
      </c>
      <c r="P197" s="154">
        <f t="shared" si="38"/>
        <v>0</v>
      </c>
      <c r="Q197" s="154">
        <f t="shared" si="38"/>
        <v>0</v>
      </c>
      <c r="R197" s="154">
        <f t="shared" si="38"/>
        <v>0</v>
      </c>
      <c r="S197" s="154">
        <f t="shared" si="38"/>
        <v>0</v>
      </c>
      <c r="T197" s="154">
        <f t="shared" si="38"/>
        <v>15913479.202635162</v>
      </c>
      <c r="U197" s="154">
        <f t="shared" si="38"/>
        <v>0</v>
      </c>
      <c r="V197" s="154">
        <f t="shared" si="38"/>
        <v>0</v>
      </c>
      <c r="W197" s="154">
        <f t="shared" si="38"/>
        <v>0</v>
      </c>
      <c r="X197" s="154">
        <f t="shared" si="38"/>
        <v>0</v>
      </c>
      <c r="Y197" s="154">
        <f t="shared" si="38"/>
        <v>0</v>
      </c>
      <c r="Z197" s="154">
        <f t="shared" si="38"/>
        <v>0</v>
      </c>
      <c r="AA197" s="154">
        <f t="shared" si="38"/>
        <v>0</v>
      </c>
      <c r="AB197" s="154">
        <f t="shared" si="38"/>
        <v>0</v>
      </c>
      <c r="AC197" s="154">
        <f t="shared" si="38"/>
        <v>58400000</v>
      </c>
      <c r="AD197" s="157">
        <f t="shared" si="40"/>
        <v>1153148402.4700925</v>
      </c>
      <c r="AE197" s="158"/>
      <c r="AG197" s="99"/>
    </row>
    <row r="198" spans="1:33">
      <c r="A198" s="143">
        <f>EconomicInputs!A103</f>
        <v>2013</v>
      </c>
      <c r="B198" s="154">
        <f t="shared" si="39"/>
        <v>522872205.99150336</v>
      </c>
      <c r="C198" s="154">
        <f t="shared" si="38"/>
        <v>174560250.0554938</v>
      </c>
      <c r="D198" s="154">
        <f t="shared" si="38"/>
        <v>97586704.026462361</v>
      </c>
      <c r="E198" s="154">
        <f t="shared" si="38"/>
        <v>0</v>
      </c>
      <c r="F198" s="154">
        <f t="shared" si="38"/>
        <v>9318666.4096912704</v>
      </c>
      <c r="G198" s="154">
        <f t="shared" si="38"/>
        <v>129076772.39552616</v>
      </c>
      <c r="H198" s="154">
        <f t="shared" si="38"/>
        <v>91790075.686446697</v>
      </c>
      <c r="I198" s="154">
        <f t="shared" si="38"/>
        <v>0</v>
      </c>
      <c r="J198" s="154">
        <f t="shared" si="38"/>
        <v>0</v>
      </c>
      <c r="K198" s="154">
        <f t="shared" si="38"/>
        <v>0</v>
      </c>
      <c r="L198" s="154">
        <f t="shared" si="38"/>
        <v>0</v>
      </c>
      <c r="M198" s="154">
        <f t="shared" si="38"/>
        <v>0</v>
      </c>
      <c r="N198" s="154">
        <f t="shared" si="38"/>
        <v>61716063.845796354</v>
      </c>
      <c r="O198" s="154">
        <f t="shared" si="38"/>
        <v>0</v>
      </c>
      <c r="P198" s="154">
        <f t="shared" si="38"/>
        <v>0</v>
      </c>
      <c r="Q198" s="154">
        <f t="shared" si="38"/>
        <v>0</v>
      </c>
      <c r="R198" s="154">
        <f t="shared" si="38"/>
        <v>0</v>
      </c>
      <c r="S198" s="154">
        <f t="shared" si="38"/>
        <v>0</v>
      </c>
      <c r="T198" s="154">
        <f t="shared" si="38"/>
        <v>15949340.683088712</v>
      </c>
      <c r="U198" s="154">
        <f t="shared" si="38"/>
        <v>0</v>
      </c>
      <c r="V198" s="154">
        <f t="shared" si="38"/>
        <v>0</v>
      </c>
      <c r="W198" s="154">
        <f t="shared" si="38"/>
        <v>0</v>
      </c>
      <c r="X198" s="154">
        <f t="shared" si="38"/>
        <v>0</v>
      </c>
      <c r="Y198" s="154">
        <f t="shared" si="38"/>
        <v>0</v>
      </c>
      <c r="Z198" s="154">
        <f t="shared" si="38"/>
        <v>0</v>
      </c>
      <c r="AA198" s="154">
        <f t="shared" si="38"/>
        <v>0</v>
      </c>
      <c r="AB198" s="154">
        <f t="shared" si="38"/>
        <v>0</v>
      </c>
      <c r="AC198" s="154">
        <f t="shared" si="38"/>
        <v>58400000</v>
      </c>
      <c r="AD198" s="157">
        <f t="shared" si="40"/>
        <v>1161270079.0940087</v>
      </c>
      <c r="AE198" s="158"/>
      <c r="AG198" s="99"/>
    </row>
    <row r="199" spans="1:33">
      <c r="A199" s="143">
        <f>EconomicInputs!A104</f>
        <v>2014</v>
      </c>
      <c r="B199" s="154">
        <f t="shared" si="39"/>
        <v>516550160.37351131</v>
      </c>
      <c r="C199" s="154">
        <f t="shared" si="38"/>
        <v>175970803.95403177</v>
      </c>
      <c r="D199" s="154">
        <f t="shared" si="38"/>
        <v>98378008.994993001</v>
      </c>
      <c r="E199" s="154">
        <f t="shared" si="38"/>
        <v>0</v>
      </c>
      <c r="F199" s="154">
        <f t="shared" si="38"/>
        <v>9285544.379388243</v>
      </c>
      <c r="G199" s="154">
        <f t="shared" si="38"/>
        <v>130376399.52321056</v>
      </c>
      <c r="H199" s="154">
        <f t="shared" si="38"/>
        <v>94893152.976207584</v>
      </c>
      <c r="I199" s="154">
        <f t="shared" si="38"/>
        <v>0</v>
      </c>
      <c r="J199" s="154">
        <f t="shared" si="38"/>
        <v>0</v>
      </c>
      <c r="K199" s="154">
        <f t="shared" si="38"/>
        <v>0</v>
      </c>
      <c r="L199" s="154">
        <f t="shared" si="38"/>
        <v>0</v>
      </c>
      <c r="M199" s="154">
        <f t="shared" si="38"/>
        <v>0</v>
      </c>
      <c r="N199" s="154">
        <f t="shared" si="38"/>
        <v>63235037.603758022</v>
      </c>
      <c r="O199" s="154">
        <f t="shared" si="38"/>
        <v>0</v>
      </c>
      <c r="P199" s="154">
        <f t="shared" si="38"/>
        <v>0</v>
      </c>
      <c r="Q199" s="154">
        <f t="shared" si="38"/>
        <v>0</v>
      </c>
      <c r="R199" s="154">
        <f t="shared" si="38"/>
        <v>0</v>
      </c>
      <c r="S199" s="154">
        <f t="shared" si="38"/>
        <v>0</v>
      </c>
      <c r="T199" s="154">
        <f t="shared" si="38"/>
        <v>18140894.881885801</v>
      </c>
      <c r="U199" s="154">
        <f t="shared" si="38"/>
        <v>0</v>
      </c>
      <c r="V199" s="154">
        <f t="shared" si="38"/>
        <v>0</v>
      </c>
      <c r="W199" s="154">
        <f t="shared" si="38"/>
        <v>0</v>
      </c>
      <c r="X199" s="154">
        <f t="shared" si="38"/>
        <v>0</v>
      </c>
      <c r="Y199" s="154">
        <f t="shared" si="38"/>
        <v>0</v>
      </c>
      <c r="Z199" s="154">
        <f t="shared" si="38"/>
        <v>0</v>
      </c>
      <c r="AA199" s="154">
        <f t="shared" si="38"/>
        <v>0</v>
      </c>
      <c r="AB199" s="154">
        <f t="shared" si="38"/>
        <v>0</v>
      </c>
      <c r="AC199" s="154">
        <f t="shared" si="38"/>
        <v>58400000</v>
      </c>
      <c r="AD199" s="157">
        <f t="shared" si="40"/>
        <v>1165230002.6869862</v>
      </c>
      <c r="AE199" s="158"/>
      <c r="AG199" s="99"/>
    </row>
    <row r="200" spans="1:33">
      <c r="A200" s="143">
        <f>EconomicInputs!A105</f>
        <v>2015</v>
      </c>
      <c r="B200" s="154">
        <f t="shared" si="39"/>
        <v>496518877.45603251</v>
      </c>
      <c r="C200" s="154">
        <f t="shared" si="38"/>
        <v>177335125.53547171</v>
      </c>
      <c r="D200" s="154">
        <f t="shared" si="38"/>
        <v>99141168.980413646</v>
      </c>
      <c r="E200" s="154">
        <f t="shared" si="38"/>
        <v>0</v>
      </c>
      <c r="F200" s="154">
        <f t="shared" si="38"/>
        <v>9347684.791138811</v>
      </c>
      <c r="G200" s="154">
        <f t="shared" si="38"/>
        <v>131513736.36229086</v>
      </c>
      <c r="H200" s="154">
        <f t="shared" si="38"/>
        <v>93534277.257368088</v>
      </c>
      <c r="I200" s="154">
        <f t="shared" si="38"/>
        <v>0</v>
      </c>
      <c r="J200" s="154">
        <f t="shared" si="38"/>
        <v>0</v>
      </c>
      <c r="K200" s="154">
        <f t="shared" si="38"/>
        <v>0</v>
      </c>
      <c r="L200" s="154">
        <f t="shared" si="38"/>
        <v>0</v>
      </c>
      <c r="M200" s="154">
        <f t="shared" si="38"/>
        <v>0</v>
      </c>
      <c r="N200" s="154">
        <f t="shared" si="38"/>
        <v>65488687.903318688</v>
      </c>
      <c r="O200" s="154">
        <f t="shared" si="38"/>
        <v>0</v>
      </c>
      <c r="P200" s="154">
        <f t="shared" si="38"/>
        <v>0</v>
      </c>
      <c r="Q200" s="154">
        <f t="shared" si="38"/>
        <v>0</v>
      </c>
      <c r="R200" s="154">
        <f t="shared" si="38"/>
        <v>0</v>
      </c>
      <c r="S200" s="154">
        <f t="shared" si="38"/>
        <v>0</v>
      </c>
      <c r="T200" s="154">
        <f t="shared" si="38"/>
        <v>18999667.9639608</v>
      </c>
      <c r="U200" s="154">
        <f t="shared" si="38"/>
        <v>0</v>
      </c>
      <c r="V200" s="154">
        <f t="shared" si="38"/>
        <v>0</v>
      </c>
      <c r="W200" s="154">
        <f t="shared" si="38"/>
        <v>0</v>
      </c>
      <c r="X200" s="154">
        <f t="shared" si="38"/>
        <v>0</v>
      </c>
      <c r="Y200" s="154">
        <f t="shared" si="38"/>
        <v>0</v>
      </c>
      <c r="Z200" s="154">
        <f t="shared" si="38"/>
        <v>0</v>
      </c>
      <c r="AA200" s="154">
        <f t="shared" si="38"/>
        <v>0</v>
      </c>
      <c r="AB200" s="154">
        <f t="shared" si="38"/>
        <v>0</v>
      </c>
      <c r="AC200" s="154">
        <f t="shared" si="38"/>
        <v>58984000</v>
      </c>
      <c r="AD200" s="157">
        <f t="shared" si="40"/>
        <v>1150863226.249995</v>
      </c>
      <c r="AE200" s="158"/>
      <c r="AG200" s="99"/>
    </row>
    <row r="201" spans="1:33">
      <c r="A201" s="143">
        <f>EconomicInputs!A106</f>
        <v>2016</v>
      </c>
      <c r="B201" s="154">
        <f t="shared" si="39"/>
        <v>492577951.26705152</v>
      </c>
      <c r="C201" s="154">
        <f t="shared" si="38"/>
        <v>178761244.15556815</v>
      </c>
      <c r="D201" s="154">
        <f t="shared" si="38"/>
        <v>99938790.69274497</v>
      </c>
      <c r="E201" s="154">
        <f t="shared" si="38"/>
        <v>0</v>
      </c>
      <c r="F201" s="154">
        <f t="shared" si="38"/>
        <v>9317167.3586268593</v>
      </c>
      <c r="G201" s="154">
        <f t="shared" si="38"/>
        <v>132659520.22092623</v>
      </c>
      <c r="H201" s="154">
        <f t="shared" si="38"/>
        <v>94175470.879789591</v>
      </c>
      <c r="I201" s="154">
        <f t="shared" si="38"/>
        <v>0</v>
      </c>
      <c r="J201" s="154">
        <f t="shared" si="38"/>
        <v>0</v>
      </c>
      <c r="K201" s="154">
        <f t="shared" si="38"/>
        <v>0</v>
      </c>
      <c r="L201" s="154">
        <f t="shared" si="38"/>
        <v>0</v>
      </c>
      <c r="M201" s="154">
        <f t="shared" si="38"/>
        <v>0</v>
      </c>
      <c r="N201" s="154">
        <f t="shared" si="38"/>
        <v>68095007.018198162</v>
      </c>
      <c r="O201" s="154">
        <f t="shared" si="38"/>
        <v>0</v>
      </c>
      <c r="P201" s="154">
        <f t="shared" si="38"/>
        <v>0</v>
      </c>
      <c r="Q201" s="154">
        <f t="shared" si="38"/>
        <v>0</v>
      </c>
      <c r="R201" s="154">
        <f t="shared" si="38"/>
        <v>0</v>
      </c>
      <c r="S201" s="154">
        <f t="shared" si="38"/>
        <v>0</v>
      </c>
      <c r="T201" s="154">
        <f t="shared" si="38"/>
        <v>19643400.261650842</v>
      </c>
      <c r="U201" s="154">
        <f t="shared" si="38"/>
        <v>0</v>
      </c>
      <c r="V201" s="154">
        <f t="shared" si="38"/>
        <v>0</v>
      </c>
      <c r="W201" s="154">
        <f t="shared" si="38"/>
        <v>0</v>
      </c>
      <c r="X201" s="154">
        <f t="shared" si="38"/>
        <v>0</v>
      </c>
      <c r="Y201" s="154">
        <f t="shared" si="38"/>
        <v>0</v>
      </c>
      <c r="Z201" s="154">
        <f t="shared" si="38"/>
        <v>0</v>
      </c>
      <c r="AA201" s="154">
        <f t="shared" si="38"/>
        <v>0</v>
      </c>
      <c r="AB201" s="154">
        <f t="shared" si="38"/>
        <v>0</v>
      </c>
      <c r="AC201" s="154">
        <f t="shared" si="38"/>
        <v>59573840</v>
      </c>
      <c r="AD201" s="157">
        <f t="shared" si="40"/>
        <v>1154742391.8545563</v>
      </c>
      <c r="AE201" s="158"/>
      <c r="AG201" s="99"/>
    </row>
    <row r="202" spans="1:33">
      <c r="A202" s="143">
        <f>EconomicInputs!A107</f>
        <v>2017</v>
      </c>
      <c r="B202" s="154">
        <f t="shared" si="39"/>
        <v>762735031.20513749</v>
      </c>
      <c r="C202" s="154">
        <f t="shared" si="38"/>
        <v>179586884.3407445</v>
      </c>
      <c r="D202" s="154">
        <f t="shared" si="38"/>
        <v>100400760.45478952</v>
      </c>
      <c r="E202" s="154">
        <f t="shared" si="38"/>
        <v>0</v>
      </c>
      <c r="F202" s="154">
        <f t="shared" si="38"/>
        <v>9283732.4183515143</v>
      </c>
      <c r="G202" s="154">
        <f t="shared" si="38"/>
        <v>133812033.29722475</v>
      </c>
      <c r="H202" s="154">
        <f t="shared" si="38"/>
        <v>94891895.883984089</v>
      </c>
      <c r="I202" s="154">
        <f t="shared" si="38"/>
        <v>0</v>
      </c>
      <c r="J202" s="154">
        <f t="shared" si="38"/>
        <v>0</v>
      </c>
      <c r="K202" s="154">
        <f t="shared" si="38"/>
        <v>0</v>
      </c>
      <c r="L202" s="154">
        <f t="shared" si="38"/>
        <v>0</v>
      </c>
      <c r="M202" s="154">
        <f t="shared" si="38"/>
        <v>0</v>
      </c>
      <c r="N202" s="154">
        <f t="shared" si="38"/>
        <v>70533395.742689878</v>
      </c>
      <c r="O202" s="154">
        <f t="shared" si="38"/>
        <v>0</v>
      </c>
      <c r="P202" s="154">
        <f t="shared" si="38"/>
        <v>0</v>
      </c>
      <c r="Q202" s="154">
        <f t="shared" si="38"/>
        <v>0</v>
      </c>
      <c r="R202" s="154">
        <f t="shared" si="38"/>
        <v>0</v>
      </c>
      <c r="S202" s="154">
        <f t="shared" si="38"/>
        <v>0</v>
      </c>
      <c r="T202" s="154">
        <f t="shared" si="38"/>
        <v>20392813.68957258</v>
      </c>
      <c r="U202" s="154">
        <f t="shared" si="38"/>
        <v>0</v>
      </c>
      <c r="V202" s="154">
        <f t="shared" si="38"/>
        <v>0</v>
      </c>
      <c r="W202" s="154">
        <f t="shared" si="38"/>
        <v>0</v>
      </c>
      <c r="X202" s="154">
        <f t="shared" si="38"/>
        <v>0</v>
      </c>
      <c r="Y202" s="154">
        <f t="shared" si="38"/>
        <v>0</v>
      </c>
      <c r="Z202" s="154">
        <f t="shared" si="38"/>
        <v>0</v>
      </c>
      <c r="AA202" s="154">
        <f t="shared" si="38"/>
        <v>0</v>
      </c>
      <c r="AB202" s="154">
        <f t="shared" si="38"/>
        <v>0</v>
      </c>
      <c r="AC202" s="154">
        <f t="shared" si="38"/>
        <v>60169578.399999999</v>
      </c>
      <c r="AD202" s="157">
        <f t="shared" si="40"/>
        <v>1431806125.4324944</v>
      </c>
      <c r="AE202" s="158"/>
      <c r="AG202" s="99"/>
    </row>
    <row r="203" spans="1:33">
      <c r="A203" s="143">
        <f>EconomicInputs!A108</f>
        <v>2018</v>
      </c>
      <c r="B203" s="154">
        <f t="shared" si="39"/>
        <v>753100835.67598152</v>
      </c>
      <c r="C203" s="154">
        <f t="shared" si="38"/>
        <v>180606918.91605484</v>
      </c>
      <c r="D203" s="154">
        <f t="shared" si="38"/>
        <v>100971425.23755717</v>
      </c>
      <c r="E203" s="154">
        <f t="shared" si="38"/>
        <v>0</v>
      </c>
      <c r="F203" s="154">
        <f t="shared" si="38"/>
        <v>9247276.9279073402</v>
      </c>
      <c r="G203" s="154">
        <f t="shared" si="38"/>
        <v>134968837.92534953</v>
      </c>
      <c r="H203" s="154">
        <f t="shared" si="38"/>
        <v>95262383.804197311</v>
      </c>
      <c r="I203" s="154">
        <f t="shared" si="38"/>
        <v>0</v>
      </c>
      <c r="J203" s="154">
        <f t="shared" si="38"/>
        <v>0</v>
      </c>
      <c r="K203" s="154">
        <f t="shared" si="38"/>
        <v>0</v>
      </c>
      <c r="L203" s="154">
        <f t="shared" si="38"/>
        <v>0</v>
      </c>
      <c r="M203" s="154">
        <f t="shared" si="38"/>
        <v>0</v>
      </c>
      <c r="N203" s="154">
        <f t="shared" si="38"/>
        <v>73073290.275465488</v>
      </c>
      <c r="O203" s="154">
        <f t="shared" si="38"/>
        <v>0</v>
      </c>
      <c r="P203" s="154">
        <f t="shared" si="38"/>
        <v>0</v>
      </c>
      <c r="Q203" s="154">
        <f t="shared" si="38"/>
        <v>0</v>
      </c>
      <c r="R203" s="154">
        <f t="shared" si="38"/>
        <v>0</v>
      </c>
      <c r="S203" s="154">
        <f t="shared" si="38"/>
        <v>0</v>
      </c>
      <c r="T203" s="154">
        <f t="shared" si="38"/>
        <v>21111475.710642848</v>
      </c>
      <c r="U203" s="154">
        <f t="shared" si="38"/>
        <v>0</v>
      </c>
      <c r="V203" s="154">
        <f t="shared" si="38"/>
        <v>0</v>
      </c>
      <c r="W203" s="154">
        <f t="shared" si="38"/>
        <v>0</v>
      </c>
      <c r="X203" s="154">
        <f t="shared" si="38"/>
        <v>0</v>
      </c>
      <c r="Y203" s="154">
        <f t="shared" si="38"/>
        <v>0</v>
      </c>
      <c r="Z203" s="154">
        <f t="shared" si="38"/>
        <v>0</v>
      </c>
      <c r="AA203" s="154">
        <f t="shared" si="38"/>
        <v>0</v>
      </c>
      <c r="AB203" s="154">
        <f t="shared" si="38"/>
        <v>0</v>
      </c>
      <c r="AC203" s="154">
        <f t="shared" si="38"/>
        <v>60771274.184</v>
      </c>
      <c r="AD203" s="157">
        <f t="shared" si="40"/>
        <v>1429113718.657156</v>
      </c>
      <c r="AE203" s="158"/>
      <c r="AG203" s="99"/>
    </row>
    <row r="204" spans="1:33">
      <c r="A204" s="143">
        <f>EconomicInputs!A109</f>
        <v>2019</v>
      </c>
      <c r="B204" s="154">
        <f t="shared" si="39"/>
        <v>743108200.96289706</v>
      </c>
      <c r="C204" s="154">
        <f t="shared" si="38"/>
        <v>182029580.5751467</v>
      </c>
      <c r="D204" s="154">
        <f t="shared" si="38"/>
        <v>101767173.317818</v>
      </c>
      <c r="E204" s="154">
        <f t="shared" si="38"/>
        <v>0</v>
      </c>
      <c r="F204" s="154">
        <f t="shared" si="38"/>
        <v>9207694.5551084261</v>
      </c>
      <c r="G204" s="154">
        <f t="shared" si="38"/>
        <v>136132509.8996889</v>
      </c>
      <c r="H204" s="154">
        <f t="shared" si="38"/>
        <v>95587594.927456468</v>
      </c>
      <c r="I204" s="154">
        <f t="shared" si="38"/>
        <v>0</v>
      </c>
      <c r="J204" s="154">
        <f t="shared" si="38"/>
        <v>0</v>
      </c>
      <c r="K204" s="154">
        <f t="shared" si="38"/>
        <v>0</v>
      </c>
      <c r="L204" s="154">
        <f t="shared" si="38"/>
        <v>0</v>
      </c>
      <c r="M204" s="154">
        <f t="shared" si="38"/>
        <v>0</v>
      </c>
      <c r="N204" s="154">
        <f t="shared" si="38"/>
        <v>75849150.077801093</v>
      </c>
      <c r="O204" s="154">
        <f t="shared" si="38"/>
        <v>0</v>
      </c>
      <c r="P204" s="154">
        <f t="shared" si="38"/>
        <v>0</v>
      </c>
      <c r="Q204" s="154">
        <f t="shared" si="38"/>
        <v>0</v>
      </c>
      <c r="R204" s="154">
        <f t="shared" si="38"/>
        <v>0</v>
      </c>
      <c r="S204" s="154">
        <f t="shared" si="38"/>
        <v>0</v>
      </c>
      <c r="T204" s="154">
        <f t="shared" si="38"/>
        <v>21698527.980203871</v>
      </c>
      <c r="U204" s="154">
        <f t="shared" si="38"/>
        <v>0</v>
      </c>
      <c r="V204" s="154">
        <f t="shared" si="38"/>
        <v>0</v>
      </c>
      <c r="W204" s="154">
        <f t="shared" si="38"/>
        <v>0</v>
      </c>
      <c r="X204" s="154">
        <f t="shared" si="38"/>
        <v>0</v>
      </c>
      <c r="Y204" s="154">
        <f t="shared" si="38"/>
        <v>0</v>
      </c>
      <c r="Z204" s="154">
        <f t="shared" si="38"/>
        <v>0</v>
      </c>
      <c r="AA204" s="154">
        <f t="shared" si="38"/>
        <v>0</v>
      </c>
      <c r="AB204" s="154">
        <f t="shared" si="38"/>
        <v>0</v>
      </c>
      <c r="AC204" s="154">
        <f t="shared" si="38"/>
        <v>61378986.925840005</v>
      </c>
      <c r="AD204" s="157">
        <f t="shared" si="40"/>
        <v>1426759419.2219603</v>
      </c>
      <c r="AE204" s="158"/>
      <c r="AG204" s="99"/>
    </row>
    <row r="205" spans="1:33">
      <c r="A205" s="143">
        <f>EconomicInputs!A110</f>
        <v>2020</v>
      </c>
      <c r="B205" s="154">
        <f t="shared" si="39"/>
        <v>732550667.02626157</v>
      </c>
      <c r="C205" s="154">
        <f t="shared" ref="C205:AC214" si="41">C141+C173</f>
        <v>183616009.66829056</v>
      </c>
      <c r="D205" s="154">
        <f t="shared" si="41"/>
        <v>102654483.45930956</v>
      </c>
      <c r="E205" s="154">
        <f t="shared" si="41"/>
        <v>0</v>
      </c>
      <c r="F205" s="154">
        <f t="shared" si="41"/>
        <v>9164875.5748235304</v>
      </c>
      <c r="G205" s="154">
        <f t="shared" si="41"/>
        <v>137302442.96302429</v>
      </c>
      <c r="H205" s="154">
        <f t="shared" si="41"/>
        <v>95876329.881406084</v>
      </c>
      <c r="I205" s="154">
        <f t="shared" si="41"/>
        <v>0</v>
      </c>
      <c r="J205" s="154">
        <f t="shared" si="41"/>
        <v>0</v>
      </c>
      <c r="K205" s="154">
        <f t="shared" si="41"/>
        <v>0</v>
      </c>
      <c r="L205" s="154">
        <f t="shared" si="41"/>
        <v>0</v>
      </c>
      <c r="M205" s="154">
        <f t="shared" si="41"/>
        <v>0</v>
      </c>
      <c r="N205" s="154">
        <f t="shared" si="41"/>
        <v>78608882.146234423</v>
      </c>
      <c r="O205" s="154">
        <f t="shared" si="41"/>
        <v>0</v>
      </c>
      <c r="P205" s="154">
        <f t="shared" si="41"/>
        <v>0</v>
      </c>
      <c r="Q205" s="154">
        <f t="shared" si="41"/>
        <v>0</v>
      </c>
      <c r="R205" s="154">
        <f t="shared" si="41"/>
        <v>0</v>
      </c>
      <c r="S205" s="154">
        <f t="shared" si="41"/>
        <v>0</v>
      </c>
      <c r="T205" s="154">
        <f t="shared" si="41"/>
        <v>22231347.902430162</v>
      </c>
      <c r="U205" s="154">
        <f t="shared" si="41"/>
        <v>0</v>
      </c>
      <c r="V205" s="154">
        <f t="shared" si="41"/>
        <v>0</v>
      </c>
      <c r="W205" s="154">
        <f t="shared" si="41"/>
        <v>0</v>
      </c>
      <c r="X205" s="154">
        <f t="shared" si="41"/>
        <v>0</v>
      </c>
      <c r="Y205" s="154">
        <f t="shared" si="41"/>
        <v>0</v>
      </c>
      <c r="Z205" s="154">
        <f t="shared" si="41"/>
        <v>0</v>
      </c>
      <c r="AA205" s="154">
        <f t="shared" si="41"/>
        <v>0</v>
      </c>
      <c r="AB205" s="154">
        <f t="shared" si="41"/>
        <v>0</v>
      </c>
      <c r="AC205" s="154">
        <f t="shared" si="41"/>
        <v>61992776.795098402</v>
      </c>
      <c r="AD205" s="157">
        <f t="shared" si="40"/>
        <v>1423997815.4168785</v>
      </c>
      <c r="AE205" s="158"/>
      <c r="AG205" s="99"/>
    </row>
    <row r="206" spans="1:33">
      <c r="A206" s="143">
        <f>EconomicInputs!A111</f>
        <v>2021</v>
      </c>
      <c r="B206" s="154">
        <f t="shared" si="39"/>
        <v>720728560.90954185</v>
      </c>
      <c r="C206" s="154">
        <f t="shared" si="41"/>
        <v>185366489.03031763</v>
      </c>
      <c r="D206" s="154">
        <f t="shared" si="41"/>
        <v>103633514.06429893</v>
      </c>
      <c r="E206" s="154">
        <f t="shared" si="41"/>
        <v>0</v>
      </c>
      <c r="F206" s="154">
        <f t="shared" si="41"/>
        <v>9117052.5902356543</v>
      </c>
      <c r="G206" s="154">
        <f t="shared" si="41"/>
        <v>138478009.06350145</v>
      </c>
      <c r="H206" s="154">
        <f t="shared" si="41"/>
        <v>96135573.167220935</v>
      </c>
      <c r="I206" s="154">
        <f t="shared" si="41"/>
        <v>0</v>
      </c>
      <c r="J206" s="154">
        <f t="shared" si="41"/>
        <v>0</v>
      </c>
      <c r="K206" s="154">
        <f t="shared" si="41"/>
        <v>0</v>
      </c>
      <c r="L206" s="154">
        <f t="shared" si="41"/>
        <v>0</v>
      </c>
      <c r="M206" s="154">
        <f t="shared" si="41"/>
        <v>0</v>
      </c>
      <c r="N206" s="154">
        <f t="shared" si="41"/>
        <v>81289790.826644391</v>
      </c>
      <c r="O206" s="154">
        <f t="shared" si="41"/>
        <v>0</v>
      </c>
      <c r="P206" s="154">
        <f t="shared" si="41"/>
        <v>0</v>
      </c>
      <c r="Q206" s="154">
        <f t="shared" si="41"/>
        <v>0</v>
      </c>
      <c r="R206" s="154">
        <f t="shared" si="41"/>
        <v>0</v>
      </c>
      <c r="S206" s="154">
        <f t="shared" si="41"/>
        <v>0</v>
      </c>
      <c r="T206" s="154">
        <f t="shared" si="41"/>
        <v>22713183.530878551</v>
      </c>
      <c r="U206" s="154">
        <f t="shared" si="41"/>
        <v>0</v>
      </c>
      <c r="V206" s="154">
        <f t="shared" si="41"/>
        <v>0</v>
      </c>
      <c r="W206" s="154">
        <f t="shared" si="41"/>
        <v>0</v>
      </c>
      <c r="X206" s="154">
        <f t="shared" si="41"/>
        <v>0</v>
      </c>
      <c r="Y206" s="154">
        <f t="shared" si="41"/>
        <v>0</v>
      </c>
      <c r="Z206" s="154">
        <f t="shared" si="41"/>
        <v>0</v>
      </c>
      <c r="AA206" s="154">
        <f t="shared" si="41"/>
        <v>0</v>
      </c>
      <c r="AB206" s="154">
        <f t="shared" si="41"/>
        <v>0</v>
      </c>
      <c r="AC206" s="154">
        <f t="shared" si="41"/>
        <v>62612704.563049391</v>
      </c>
      <c r="AD206" s="157">
        <f t="shared" si="40"/>
        <v>1420074877.7456887</v>
      </c>
      <c r="AE206" s="158"/>
      <c r="AG206" s="99"/>
    </row>
    <row r="207" spans="1:33">
      <c r="A207" s="143">
        <f>EconomicInputs!A112</f>
        <v>2022</v>
      </c>
      <c r="B207" s="154">
        <f t="shared" si="39"/>
        <v>707796298.37379563</v>
      </c>
      <c r="C207" s="154">
        <f t="shared" si="41"/>
        <v>187310089.27106163</v>
      </c>
      <c r="D207" s="154">
        <f t="shared" si="41"/>
        <v>104720515.05350101</v>
      </c>
      <c r="E207" s="154">
        <f t="shared" si="41"/>
        <v>0</v>
      </c>
      <c r="F207" s="154">
        <f t="shared" si="41"/>
        <v>9065780.7268327773</v>
      </c>
      <c r="G207" s="154">
        <f t="shared" si="41"/>
        <v>139658302.23501316</v>
      </c>
      <c r="H207" s="154">
        <f t="shared" si="41"/>
        <v>96370669.599780217</v>
      </c>
      <c r="I207" s="154">
        <f t="shared" si="41"/>
        <v>0</v>
      </c>
      <c r="J207" s="154">
        <f t="shared" si="41"/>
        <v>0</v>
      </c>
      <c r="K207" s="154">
        <f t="shared" si="41"/>
        <v>0</v>
      </c>
      <c r="L207" s="154">
        <f t="shared" si="41"/>
        <v>0</v>
      </c>
      <c r="M207" s="154">
        <f t="shared" si="41"/>
        <v>0</v>
      </c>
      <c r="N207" s="154">
        <f t="shared" si="41"/>
        <v>84136734.823361218</v>
      </c>
      <c r="O207" s="154">
        <f t="shared" si="41"/>
        <v>0</v>
      </c>
      <c r="P207" s="154">
        <f t="shared" si="41"/>
        <v>0</v>
      </c>
      <c r="Q207" s="154">
        <f t="shared" si="41"/>
        <v>0</v>
      </c>
      <c r="R207" s="154">
        <f t="shared" si="41"/>
        <v>0</v>
      </c>
      <c r="S207" s="154">
        <f t="shared" si="41"/>
        <v>0</v>
      </c>
      <c r="T207" s="154">
        <f t="shared" si="41"/>
        <v>23153462.211385567</v>
      </c>
      <c r="U207" s="154">
        <f t="shared" si="41"/>
        <v>0</v>
      </c>
      <c r="V207" s="154">
        <f t="shared" si="41"/>
        <v>0</v>
      </c>
      <c r="W207" s="154">
        <f t="shared" si="41"/>
        <v>0</v>
      </c>
      <c r="X207" s="154">
        <f t="shared" si="41"/>
        <v>0</v>
      </c>
      <c r="Y207" s="154">
        <f t="shared" si="41"/>
        <v>0</v>
      </c>
      <c r="Z207" s="154">
        <f t="shared" si="41"/>
        <v>0</v>
      </c>
      <c r="AA207" s="154">
        <f t="shared" si="41"/>
        <v>0</v>
      </c>
      <c r="AB207" s="154">
        <f t="shared" si="41"/>
        <v>0</v>
      </c>
      <c r="AC207" s="154">
        <f t="shared" si="41"/>
        <v>63238831.608679891</v>
      </c>
      <c r="AD207" s="157">
        <f t="shared" si="40"/>
        <v>1415450683.9034109</v>
      </c>
      <c r="AE207" s="158"/>
      <c r="AG207" s="99"/>
    </row>
    <row r="208" spans="1:33">
      <c r="A208" s="143">
        <f>EconomicInputs!A113</f>
        <v>2023</v>
      </c>
      <c r="B208" s="154">
        <f t="shared" si="39"/>
        <v>693899056.20102894</v>
      </c>
      <c r="C208" s="154">
        <f t="shared" si="41"/>
        <v>189463843.39856127</v>
      </c>
      <c r="D208" s="154">
        <f t="shared" si="41"/>
        <v>105925007.79910313</v>
      </c>
      <c r="E208" s="154">
        <f t="shared" si="41"/>
        <v>0</v>
      </c>
      <c r="F208" s="154">
        <f t="shared" si="41"/>
        <v>9010941.3499668241</v>
      </c>
      <c r="G208" s="154">
        <f t="shared" si="41"/>
        <v>140843261.47128677</v>
      </c>
      <c r="H208" s="154">
        <f t="shared" si="41"/>
        <v>96585661.041180581</v>
      </c>
      <c r="I208" s="154">
        <f t="shared" si="41"/>
        <v>0</v>
      </c>
      <c r="J208" s="154">
        <f t="shared" si="41"/>
        <v>0</v>
      </c>
      <c r="K208" s="154">
        <f t="shared" si="41"/>
        <v>0</v>
      </c>
      <c r="L208" s="154">
        <f t="shared" si="41"/>
        <v>0</v>
      </c>
      <c r="M208" s="154">
        <f t="shared" si="41"/>
        <v>0</v>
      </c>
      <c r="N208" s="154">
        <f t="shared" si="41"/>
        <v>87260543.984293669</v>
      </c>
      <c r="O208" s="154">
        <f t="shared" si="41"/>
        <v>0</v>
      </c>
      <c r="P208" s="154">
        <f t="shared" si="41"/>
        <v>0</v>
      </c>
      <c r="Q208" s="154">
        <f t="shared" si="41"/>
        <v>0</v>
      </c>
      <c r="R208" s="154">
        <f t="shared" si="41"/>
        <v>0</v>
      </c>
      <c r="S208" s="154">
        <f t="shared" si="41"/>
        <v>0</v>
      </c>
      <c r="T208" s="154">
        <f t="shared" si="41"/>
        <v>23558624.284461565</v>
      </c>
      <c r="U208" s="154">
        <f t="shared" si="41"/>
        <v>0</v>
      </c>
      <c r="V208" s="154">
        <f t="shared" si="41"/>
        <v>0</v>
      </c>
      <c r="W208" s="154">
        <f t="shared" si="41"/>
        <v>0</v>
      </c>
      <c r="X208" s="154">
        <f t="shared" si="41"/>
        <v>0</v>
      </c>
      <c r="Y208" s="154">
        <f t="shared" si="41"/>
        <v>0</v>
      </c>
      <c r="Z208" s="154">
        <f t="shared" si="41"/>
        <v>0</v>
      </c>
      <c r="AA208" s="154">
        <f t="shared" si="41"/>
        <v>0</v>
      </c>
      <c r="AB208" s="154">
        <f t="shared" si="41"/>
        <v>0</v>
      </c>
      <c r="AC208" s="154">
        <f t="shared" si="41"/>
        <v>63871219.92476669</v>
      </c>
      <c r="AD208" s="157">
        <f t="shared" si="40"/>
        <v>1410418159.4546494</v>
      </c>
      <c r="AE208" s="158"/>
      <c r="AG208" s="99"/>
    </row>
    <row r="209" spans="1:33">
      <c r="A209" s="143">
        <f>EconomicInputs!A114</f>
        <v>2024</v>
      </c>
      <c r="B209" s="154">
        <f t="shared" si="39"/>
        <v>679036847.9931308</v>
      </c>
      <c r="C209" s="154">
        <f t="shared" si="41"/>
        <v>191801837.57476723</v>
      </c>
      <c r="D209" s="154">
        <f t="shared" si="41"/>
        <v>107232507.28108303</v>
      </c>
      <c r="E209" s="154">
        <f t="shared" si="41"/>
        <v>0</v>
      </c>
      <c r="F209" s="154">
        <f t="shared" si="41"/>
        <v>8952412.0746646747</v>
      </c>
      <c r="G209" s="154">
        <f t="shared" si="41"/>
        <v>142031931.54678378</v>
      </c>
      <c r="H209" s="154">
        <f t="shared" si="41"/>
        <v>96783486.580674365</v>
      </c>
      <c r="I209" s="154">
        <f t="shared" si="41"/>
        <v>0</v>
      </c>
      <c r="J209" s="154">
        <f t="shared" si="41"/>
        <v>0</v>
      </c>
      <c r="K209" s="154">
        <f t="shared" si="41"/>
        <v>0</v>
      </c>
      <c r="L209" s="154">
        <f t="shared" si="41"/>
        <v>0</v>
      </c>
      <c r="M209" s="154">
        <f t="shared" si="41"/>
        <v>0</v>
      </c>
      <c r="N209" s="154">
        <f t="shared" si="41"/>
        <v>90539274.591505736</v>
      </c>
      <c r="O209" s="154">
        <f t="shared" si="41"/>
        <v>0</v>
      </c>
      <c r="P209" s="154">
        <f t="shared" si="41"/>
        <v>0</v>
      </c>
      <c r="Q209" s="154">
        <f t="shared" si="41"/>
        <v>0</v>
      </c>
      <c r="R209" s="154">
        <f t="shared" si="41"/>
        <v>0</v>
      </c>
      <c r="S209" s="154">
        <f t="shared" si="41"/>
        <v>0</v>
      </c>
      <c r="T209" s="154">
        <f t="shared" si="41"/>
        <v>23933756.999289867</v>
      </c>
      <c r="U209" s="154">
        <f t="shared" si="41"/>
        <v>0</v>
      </c>
      <c r="V209" s="154">
        <f t="shared" si="41"/>
        <v>0</v>
      </c>
      <c r="W209" s="154">
        <f t="shared" si="41"/>
        <v>0</v>
      </c>
      <c r="X209" s="154">
        <f t="shared" si="41"/>
        <v>0</v>
      </c>
      <c r="Y209" s="154">
        <f t="shared" si="41"/>
        <v>0</v>
      </c>
      <c r="Z209" s="154">
        <f t="shared" si="41"/>
        <v>0</v>
      </c>
      <c r="AA209" s="154">
        <f t="shared" si="41"/>
        <v>0</v>
      </c>
      <c r="AB209" s="154">
        <f t="shared" si="41"/>
        <v>0</v>
      </c>
      <c r="AC209" s="154">
        <f t="shared" si="41"/>
        <v>64509932.124014348</v>
      </c>
      <c r="AD209" s="157">
        <f t="shared" si="40"/>
        <v>1404821986.7659137</v>
      </c>
      <c r="AE209" s="158"/>
      <c r="AG209" s="99"/>
    </row>
    <row r="210" spans="1:33">
      <c r="A210" s="143">
        <f>EconomicInputs!A115</f>
        <v>2025</v>
      </c>
      <c r="B210" s="154">
        <f t="shared" si="39"/>
        <v>663432028.7014792</v>
      </c>
      <c r="C210" s="154">
        <f t="shared" si="41"/>
        <v>194280036.50132841</v>
      </c>
      <c r="D210" s="154">
        <f t="shared" si="41"/>
        <v>108618398.93623728</v>
      </c>
      <c r="E210" s="154">
        <f t="shared" si="41"/>
        <v>0</v>
      </c>
      <c r="F210" s="154">
        <f t="shared" si="41"/>
        <v>8890066.648816146</v>
      </c>
      <c r="G210" s="154">
        <f t="shared" si="41"/>
        <v>143223302.66716442</v>
      </c>
      <c r="H210" s="154">
        <f t="shared" si="41"/>
        <v>96966348.930688098</v>
      </c>
      <c r="I210" s="154">
        <f t="shared" si="41"/>
        <v>0</v>
      </c>
      <c r="J210" s="154">
        <f t="shared" si="41"/>
        <v>0</v>
      </c>
      <c r="K210" s="154">
        <f t="shared" si="41"/>
        <v>0</v>
      </c>
      <c r="L210" s="154">
        <f t="shared" si="41"/>
        <v>0</v>
      </c>
      <c r="M210" s="154">
        <f t="shared" si="41"/>
        <v>0</v>
      </c>
      <c r="N210" s="154">
        <f t="shared" si="41"/>
        <v>93942743.03313899</v>
      </c>
      <c r="O210" s="154">
        <f t="shared" si="41"/>
        <v>0</v>
      </c>
      <c r="P210" s="154">
        <f t="shared" si="41"/>
        <v>0</v>
      </c>
      <c r="Q210" s="154">
        <f t="shared" si="41"/>
        <v>0</v>
      </c>
      <c r="R210" s="154">
        <f t="shared" si="41"/>
        <v>0</v>
      </c>
      <c r="S210" s="154">
        <f t="shared" si="41"/>
        <v>0</v>
      </c>
      <c r="T210" s="154">
        <f t="shared" si="41"/>
        <v>24282881.883239441</v>
      </c>
      <c r="U210" s="154">
        <f t="shared" si="41"/>
        <v>0</v>
      </c>
      <c r="V210" s="154">
        <f t="shared" si="41"/>
        <v>0</v>
      </c>
      <c r="W210" s="154">
        <f t="shared" si="41"/>
        <v>0</v>
      </c>
      <c r="X210" s="154">
        <f t="shared" si="41"/>
        <v>0</v>
      </c>
      <c r="Y210" s="154">
        <f t="shared" si="41"/>
        <v>0</v>
      </c>
      <c r="Z210" s="154">
        <f t="shared" si="41"/>
        <v>0</v>
      </c>
      <c r="AA210" s="154">
        <f t="shared" si="41"/>
        <v>0</v>
      </c>
      <c r="AB210" s="154">
        <f t="shared" si="41"/>
        <v>0</v>
      </c>
      <c r="AC210" s="154">
        <f t="shared" si="41"/>
        <v>65155031.445254497</v>
      </c>
      <c r="AD210" s="157">
        <f t="shared" si="40"/>
        <v>1398790838.7473466</v>
      </c>
      <c r="AE210" s="158"/>
      <c r="AG210" s="99"/>
    </row>
    <row r="211" spans="1:33">
      <c r="A211" s="143">
        <f>EconomicInputs!A116</f>
        <v>2026</v>
      </c>
      <c r="B211" s="154">
        <f t="shared" si="39"/>
        <v>647994688.43734264</v>
      </c>
      <c r="C211" s="154">
        <f t="shared" si="41"/>
        <v>196855817.92327815</v>
      </c>
      <c r="D211" s="154">
        <f t="shared" si="41"/>
        <v>110058858.06588005</v>
      </c>
      <c r="E211" s="154">
        <f t="shared" si="41"/>
        <v>0</v>
      </c>
      <c r="F211" s="154">
        <f t="shared" si="41"/>
        <v>8822281.1377350688</v>
      </c>
      <c r="G211" s="154">
        <f t="shared" si="41"/>
        <v>144416725.35282996</v>
      </c>
      <c r="H211" s="154">
        <f t="shared" si="41"/>
        <v>97135982.039266244</v>
      </c>
      <c r="I211" s="154">
        <f t="shared" si="41"/>
        <v>0</v>
      </c>
      <c r="J211" s="154">
        <f t="shared" si="41"/>
        <v>0</v>
      </c>
      <c r="K211" s="154">
        <f t="shared" si="41"/>
        <v>0</v>
      </c>
      <c r="L211" s="154">
        <f t="shared" si="41"/>
        <v>0</v>
      </c>
      <c r="M211" s="154">
        <f t="shared" si="41"/>
        <v>0</v>
      </c>
      <c r="N211" s="154">
        <f t="shared" si="41"/>
        <v>97537483.262178957</v>
      </c>
      <c r="O211" s="154">
        <f t="shared" si="41"/>
        <v>0</v>
      </c>
      <c r="P211" s="154">
        <f t="shared" si="41"/>
        <v>0</v>
      </c>
      <c r="Q211" s="154">
        <f t="shared" si="41"/>
        <v>0</v>
      </c>
      <c r="R211" s="154">
        <f t="shared" si="41"/>
        <v>0</v>
      </c>
      <c r="S211" s="154">
        <f t="shared" si="41"/>
        <v>0</v>
      </c>
      <c r="T211" s="154">
        <f t="shared" si="41"/>
        <v>24609247.880512469</v>
      </c>
      <c r="U211" s="154">
        <f t="shared" si="41"/>
        <v>0</v>
      </c>
      <c r="V211" s="154">
        <f t="shared" si="41"/>
        <v>0</v>
      </c>
      <c r="W211" s="154">
        <f t="shared" si="41"/>
        <v>0</v>
      </c>
      <c r="X211" s="154">
        <f t="shared" si="41"/>
        <v>0</v>
      </c>
      <c r="Y211" s="154">
        <f t="shared" si="41"/>
        <v>0</v>
      </c>
      <c r="Z211" s="154">
        <f t="shared" si="41"/>
        <v>0</v>
      </c>
      <c r="AA211" s="154">
        <f t="shared" si="41"/>
        <v>0</v>
      </c>
      <c r="AB211" s="154">
        <f t="shared" si="41"/>
        <v>0</v>
      </c>
      <c r="AC211" s="154">
        <f t="shared" si="41"/>
        <v>65806581.759707041</v>
      </c>
      <c r="AD211" s="157">
        <f t="shared" si="40"/>
        <v>1393237665.8587306</v>
      </c>
      <c r="AE211" s="158"/>
      <c r="AG211" s="99"/>
    </row>
    <row r="212" spans="1:33">
      <c r="A212" s="143">
        <f>EconomicInputs!A117</f>
        <v>2027</v>
      </c>
      <c r="B212" s="154">
        <f t="shared" si="39"/>
        <v>633003175.36817634</v>
      </c>
      <c r="C212" s="154">
        <f t="shared" si="41"/>
        <v>199520631.51375178</v>
      </c>
      <c r="D212" s="154">
        <f t="shared" si="41"/>
        <v>111549105.5834319</v>
      </c>
      <c r="E212" s="154">
        <f t="shared" si="41"/>
        <v>0</v>
      </c>
      <c r="F212" s="154">
        <f t="shared" si="41"/>
        <v>8750438.3673700206</v>
      </c>
      <c r="G212" s="154">
        <f t="shared" si="41"/>
        <v>145612288.23744431</v>
      </c>
      <c r="H212" s="154">
        <f t="shared" si="41"/>
        <v>97293943.976714522</v>
      </c>
      <c r="I212" s="154">
        <f t="shared" si="41"/>
        <v>0</v>
      </c>
      <c r="J212" s="154">
        <f t="shared" si="41"/>
        <v>0</v>
      </c>
      <c r="K212" s="154">
        <f t="shared" si="41"/>
        <v>0</v>
      </c>
      <c r="L212" s="154">
        <f t="shared" si="41"/>
        <v>0</v>
      </c>
      <c r="M212" s="154">
        <f t="shared" si="41"/>
        <v>0</v>
      </c>
      <c r="N212" s="154">
        <f t="shared" si="41"/>
        <v>101339612.69452019</v>
      </c>
      <c r="O212" s="154">
        <f t="shared" si="41"/>
        <v>0</v>
      </c>
      <c r="P212" s="154">
        <f t="shared" si="41"/>
        <v>0</v>
      </c>
      <c r="Q212" s="154">
        <f t="shared" si="41"/>
        <v>0</v>
      </c>
      <c r="R212" s="154">
        <f t="shared" si="41"/>
        <v>0</v>
      </c>
      <c r="S212" s="154">
        <f t="shared" si="41"/>
        <v>0</v>
      </c>
      <c r="T212" s="154">
        <f t="shared" si="41"/>
        <v>24915558.760482851</v>
      </c>
      <c r="U212" s="154">
        <f t="shared" si="41"/>
        <v>0</v>
      </c>
      <c r="V212" s="154">
        <f t="shared" si="41"/>
        <v>0</v>
      </c>
      <c r="W212" s="154">
        <f t="shared" si="41"/>
        <v>0</v>
      </c>
      <c r="X212" s="154">
        <f t="shared" si="41"/>
        <v>0</v>
      </c>
      <c r="Y212" s="154">
        <f t="shared" si="41"/>
        <v>0</v>
      </c>
      <c r="Z212" s="154">
        <f t="shared" si="41"/>
        <v>0</v>
      </c>
      <c r="AA212" s="154">
        <f t="shared" si="41"/>
        <v>0</v>
      </c>
      <c r="AB212" s="154">
        <f t="shared" si="41"/>
        <v>0</v>
      </c>
      <c r="AC212" s="154">
        <f t="shared" si="41"/>
        <v>66464647.57730411</v>
      </c>
      <c r="AD212" s="157">
        <f t="shared" si="40"/>
        <v>1388449402.079196</v>
      </c>
      <c r="AE212" s="158"/>
      <c r="AG212" s="99"/>
    </row>
    <row r="213" spans="1:33">
      <c r="A213" s="143">
        <f>EconomicInputs!A118</f>
        <v>2028</v>
      </c>
      <c r="B213" s="154">
        <f t="shared" si="39"/>
        <v>618470041.45191324</v>
      </c>
      <c r="C213" s="154">
        <f t="shared" si="41"/>
        <v>202278024.27940395</v>
      </c>
      <c r="D213" s="154">
        <f t="shared" si="41"/>
        <v>113091124.63683397</v>
      </c>
      <c r="E213" s="154">
        <f t="shared" si="41"/>
        <v>0</v>
      </c>
      <c r="F213" s="154">
        <f t="shared" si="41"/>
        <v>8674401.8532390408</v>
      </c>
      <c r="G213" s="154">
        <f t="shared" si="41"/>
        <v>146809405.23170561</v>
      </c>
      <c r="H213" s="154">
        <f t="shared" si="41"/>
        <v>97441582.959137991</v>
      </c>
      <c r="I213" s="154">
        <f t="shared" si="41"/>
        <v>0</v>
      </c>
      <c r="J213" s="154">
        <f t="shared" si="41"/>
        <v>0</v>
      </c>
      <c r="K213" s="154">
        <f t="shared" si="41"/>
        <v>0</v>
      </c>
      <c r="L213" s="154">
        <f t="shared" si="41"/>
        <v>0</v>
      </c>
      <c r="M213" s="154">
        <f t="shared" si="41"/>
        <v>0</v>
      </c>
      <c r="N213" s="154">
        <f t="shared" si="41"/>
        <v>105195719.06447604</v>
      </c>
      <c r="O213" s="154">
        <f t="shared" si="41"/>
        <v>0</v>
      </c>
      <c r="P213" s="154">
        <f t="shared" si="41"/>
        <v>0</v>
      </c>
      <c r="Q213" s="154">
        <f t="shared" si="41"/>
        <v>0</v>
      </c>
      <c r="R213" s="154">
        <f t="shared" si="41"/>
        <v>0</v>
      </c>
      <c r="S213" s="154">
        <f t="shared" si="41"/>
        <v>0</v>
      </c>
      <c r="T213" s="154">
        <f t="shared" si="41"/>
        <v>25204077.512291744</v>
      </c>
      <c r="U213" s="154">
        <f t="shared" si="41"/>
        <v>0</v>
      </c>
      <c r="V213" s="154">
        <f t="shared" si="41"/>
        <v>0</v>
      </c>
      <c r="W213" s="154">
        <f t="shared" si="41"/>
        <v>0</v>
      </c>
      <c r="X213" s="154">
        <f t="shared" si="41"/>
        <v>0</v>
      </c>
      <c r="Y213" s="154">
        <f t="shared" si="41"/>
        <v>0</v>
      </c>
      <c r="Z213" s="154">
        <f t="shared" si="41"/>
        <v>0</v>
      </c>
      <c r="AA213" s="154">
        <f t="shared" si="41"/>
        <v>0</v>
      </c>
      <c r="AB213" s="154">
        <f t="shared" si="41"/>
        <v>0</v>
      </c>
      <c r="AC213" s="154">
        <f t="shared" si="41"/>
        <v>67129294.053077146</v>
      </c>
      <c r="AD213" s="157">
        <f t="shared" si="40"/>
        <v>1384293671.0420787</v>
      </c>
      <c r="AE213" s="158"/>
      <c r="AG213" s="99"/>
    </row>
    <row r="214" spans="1:33">
      <c r="A214" s="143">
        <f>EconomicInputs!A119</f>
        <v>2029</v>
      </c>
      <c r="B214" s="154">
        <f t="shared" si="39"/>
        <v>604403722.21987784</v>
      </c>
      <c r="C214" s="154">
        <f t="shared" si="41"/>
        <v>205115285.22536355</v>
      </c>
      <c r="D214" s="154">
        <f t="shared" si="41"/>
        <v>114677810.46716323</v>
      </c>
      <c r="E214" s="154">
        <f t="shared" si="41"/>
        <v>0</v>
      </c>
      <c r="F214" s="154">
        <f t="shared" si="41"/>
        <v>8594030.8339696415</v>
      </c>
      <c r="G214" s="154">
        <f t="shared" si="41"/>
        <v>148008512.05596763</v>
      </c>
      <c r="H214" s="154">
        <f t="shared" si="41"/>
        <v>97579942.550586551</v>
      </c>
      <c r="I214" s="154">
        <f t="shared" si="41"/>
        <v>0</v>
      </c>
      <c r="J214" s="154">
        <f t="shared" si="41"/>
        <v>0</v>
      </c>
      <c r="K214" s="154">
        <f t="shared" si="41"/>
        <v>0</v>
      </c>
      <c r="L214" s="154">
        <f t="shared" si="41"/>
        <v>0</v>
      </c>
      <c r="M214" s="154">
        <f t="shared" si="41"/>
        <v>0</v>
      </c>
      <c r="N214" s="154">
        <f t="shared" si="41"/>
        <v>109218141.40054817</v>
      </c>
      <c r="O214" s="154">
        <f t="shared" ref="C214:AC220" si="42">O150+O182</f>
        <v>0</v>
      </c>
      <c r="P214" s="154">
        <f t="shared" si="42"/>
        <v>0</v>
      </c>
      <c r="Q214" s="154">
        <f t="shared" si="42"/>
        <v>0</v>
      </c>
      <c r="R214" s="154">
        <f t="shared" si="42"/>
        <v>0</v>
      </c>
      <c r="S214" s="154">
        <f t="shared" si="42"/>
        <v>0</v>
      </c>
      <c r="T214" s="154">
        <f t="shared" si="42"/>
        <v>25476683.746446341</v>
      </c>
      <c r="U214" s="154">
        <f t="shared" si="42"/>
        <v>0</v>
      </c>
      <c r="V214" s="154">
        <f t="shared" si="42"/>
        <v>0</v>
      </c>
      <c r="W214" s="154">
        <f t="shared" si="42"/>
        <v>0</v>
      </c>
      <c r="X214" s="154">
        <f t="shared" si="42"/>
        <v>0</v>
      </c>
      <c r="Y214" s="154">
        <f t="shared" si="42"/>
        <v>0</v>
      </c>
      <c r="Z214" s="154">
        <f t="shared" si="42"/>
        <v>0</v>
      </c>
      <c r="AA214" s="154">
        <f t="shared" si="42"/>
        <v>0</v>
      </c>
      <c r="AB214" s="154">
        <f t="shared" si="42"/>
        <v>0</v>
      </c>
      <c r="AC214" s="154">
        <f t="shared" si="42"/>
        <v>67800586.993607923</v>
      </c>
      <c r="AD214" s="157">
        <f t="shared" si="40"/>
        <v>1380874715.493531</v>
      </c>
      <c r="AE214" s="158"/>
      <c r="AG214" s="99"/>
    </row>
    <row r="215" spans="1:33">
      <c r="A215" s="143">
        <f>EconomicInputs!A120</f>
        <v>2030</v>
      </c>
      <c r="B215" s="154">
        <f t="shared" si="39"/>
        <v>590800843.36611915</v>
      </c>
      <c r="C215" s="154">
        <f t="shared" si="42"/>
        <v>208069193.5875569</v>
      </c>
      <c r="D215" s="154">
        <f t="shared" si="42"/>
        <v>116329722.54399264</v>
      </c>
      <c r="E215" s="154">
        <f t="shared" si="42"/>
        <v>0</v>
      </c>
      <c r="F215" s="154">
        <f t="shared" si="42"/>
        <v>8509180.1389145795</v>
      </c>
      <c r="G215" s="154">
        <f t="shared" si="42"/>
        <v>149209979.24774459</v>
      </c>
      <c r="H215" s="154">
        <f t="shared" si="42"/>
        <v>97710166.041779414</v>
      </c>
      <c r="I215" s="154">
        <f t="shared" si="42"/>
        <v>0</v>
      </c>
      <c r="J215" s="154">
        <f t="shared" si="42"/>
        <v>0</v>
      </c>
      <c r="K215" s="154">
        <f t="shared" si="42"/>
        <v>0</v>
      </c>
      <c r="L215" s="154">
        <f t="shared" si="42"/>
        <v>0</v>
      </c>
      <c r="M215" s="154">
        <f t="shared" si="42"/>
        <v>0</v>
      </c>
      <c r="N215" s="154">
        <f t="shared" si="42"/>
        <v>113471882.46337943</v>
      </c>
      <c r="O215" s="154">
        <f t="shared" si="42"/>
        <v>0</v>
      </c>
      <c r="P215" s="154">
        <f t="shared" si="42"/>
        <v>0</v>
      </c>
      <c r="Q215" s="154">
        <f t="shared" si="42"/>
        <v>0</v>
      </c>
      <c r="R215" s="154">
        <f t="shared" si="42"/>
        <v>0</v>
      </c>
      <c r="S215" s="154">
        <f t="shared" si="42"/>
        <v>0</v>
      </c>
      <c r="T215" s="154">
        <f t="shared" si="42"/>
        <v>25735040.062556256</v>
      </c>
      <c r="U215" s="154">
        <f t="shared" si="42"/>
        <v>0</v>
      </c>
      <c r="V215" s="154">
        <f t="shared" si="42"/>
        <v>0</v>
      </c>
      <c r="W215" s="154">
        <f t="shared" si="42"/>
        <v>0</v>
      </c>
      <c r="X215" s="154">
        <f t="shared" si="42"/>
        <v>0</v>
      </c>
      <c r="Y215" s="154">
        <f t="shared" si="42"/>
        <v>0</v>
      </c>
      <c r="Z215" s="154">
        <f t="shared" si="42"/>
        <v>0</v>
      </c>
      <c r="AA215" s="154">
        <f t="shared" si="42"/>
        <v>0</v>
      </c>
      <c r="AB215" s="154">
        <f t="shared" si="42"/>
        <v>0</v>
      </c>
      <c r="AC215" s="154">
        <f t="shared" si="42"/>
        <v>68478592.863544002</v>
      </c>
      <c r="AD215" s="157">
        <f t="shared" si="40"/>
        <v>1378314600.3155868</v>
      </c>
      <c r="AE215" s="158"/>
      <c r="AG215" s="99"/>
    </row>
    <row r="216" spans="1:33">
      <c r="A216" s="143">
        <f>EconomicInputs!A121</f>
        <v>2031</v>
      </c>
      <c r="B216" s="154">
        <f t="shared" si="39"/>
        <v>577664516.04623008</v>
      </c>
      <c r="C216" s="154">
        <f t="shared" si="42"/>
        <v>211117108.77856338</v>
      </c>
      <c r="D216" s="154">
        <f t="shared" si="42"/>
        <v>118034205.69905755</v>
      </c>
      <c r="E216" s="154">
        <f t="shared" si="42"/>
        <v>0</v>
      </c>
      <c r="F216" s="154">
        <f t="shared" si="42"/>
        <v>8418841.2420413271</v>
      </c>
      <c r="G216" s="154">
        <f t="shared" si="42"/>
        <v>150412990.19003505</v>
      </c>
      <c r="H216" s="154">
        <f t="shared" si="42"/>
        <v>97832932.963593051</v>
      </c>
      <c r="I216" s="154">
        <f t="shared" si="42"/>
        <v>0</v>
      </c>
      <c r="J216" s="154">
        <f t="shared" si="42"/>
        <v>0</v>
      </c>
      <c r="K216" s="154">
        <f t="shared" si="42"/>
        <v>0</v>
      </c>
      <c r="L216" s="154">
        <f t="shared" si="42"/>
        <v>0</v>
      </c>
      <c r="M216" s="154">
        <f t="shared" si="42"/>
        <v>0</v>
      </c>
      <c r="N216" s="154">
        <f t="shared" si="42"/>
        <v>117815683.22461939</v>
      </c>
      <c r="O216" s="154">
        <f t="shared" si="42"/>
        <v>0</v>
      </c>
      <c r="P216" s="154">
        <f t="shared" si="42"/>
        <v>0</v>
      </c>
      <c r="Q216" s="154">
        <f t="shared" si="42"/>
        <v>0</v>
      </c>
      <c r="R216" s="154">
        <f t="shared" si="42"/>
        <v>0</v>
      </c>
      <c r="S216" s="154">
        <f t="shared" si="42"/>
        <v>0</v>
      </c>
      <c r="T216" s="154">
        <f t="shared" si="42"/>
        <v>25980491.788934942</v>
      </c>
      <c r="U216" s="154">
        <f t="shared" si="42"/>
        <v>0</v>
      </c>
      <c r="V216" s="154">
        <f t="shared" si="42"/>
        <v>0</v>
      </c>
      <c r="W216" s="154">
        <f t="shared" si="42"/>
        <v>0</v>
      </c>
      <c r="X216" s="154">
        <f t="shared" si="42"/>
        <v>0</v>
      </c>
      <c r="Y216" s="154">
        <f t="shared" si="42"/>
        <v>0</v>
      </c>
      <c r="Z216" s="154">
        <f t="shared" si="42"/>
        <v>0</v>
      </c>
      <c r="AA216" s="154">
        <f t="shared" si="42"/>
        <v>0</v>
      </c>
      <c r="AB216" s="154">
        <f t="shared" si="42"/>
        <v>0</v>
      </c>
      <c r="AC216" s="154">
        <f t="shared" si="42"/>
        <v>69163378.792179435</v>
      </c>
      <c r="AD216" s="157">
        <f t="shared" si="40"/>
        <v>1376440148.7252541</v>
      </c>
      <c r="AE216" s="158"/>
      <c r="AG216" s="99"/>
    </row>
    <row r="217" spans="1:33">
      <c r="A217" s="143">
        <f>EconomicInputs!A122</f>
        <v>2032</v>
      </c>
      <c r="B217" s="154">
        <f t="shared" si="39"/>
        <v>564990622.52736294</v>
      </c>
      <c r="C217" s="154">
        <f t="shared" si="42"/>
        <v>214257746.73122615</v>
      </c>
      <c r="D217" s="154">
        <f t="shared" si="42"/>
        <v>119790542.71489294</v>
      </c>
      <c r="E217" s="154">
        <f t="shared" si="42"/>
        <v>0</v>
      </c>
      <c r="F217" s="154">
        <f t="shared" si="42"/>
        <v>8323737.4232026599</v>
      </c>
      <c r="G217" s="154">
        <f t="shared" si="42"/>
        <v>151618365.40393388</v>
      </c>
      <c r="H217" s="154">
        <f t="shared" si="42"/>
        <v>97948926.730798602</v>
      </c>
      <c r="I217" s="154">
        <f t="shared" si="42"/>
        <v>0</v>
      </c>
      <c r="J217" s="154">
        <f t="shared" si="42"/>
        <v>0</v>
      </c>
      <c r="K217" s="154">
        <f t="shared" si="42"/>
        <v>0</v>
      </c>
      <c r="L217" s="154">
        <f t="shared" si="42"/>
        <v>0</v>
      </c>
      <c r="M217" s="154">
        <f t="shared" si="42"/>
        <v>0</v>
      </c>
      <c r="N217" s="154">
        <f t="shared" si="42"/>
        <v>122397397.2952731</v>
      </c>
      <c r="O217" s="154">
        <f t="shared" si="42"/>
        <v>0</v>
      </c>
      <c r="P217" s="154">
        <f t="shared" si="42"/>
        <v>0</v>
      </c>
      <c r="Q217" s="154">
        <f t="shared" si="42"/>
        <v>0</v>
      </c>
      <c r="R217" s="154">
        <f t="shared" si="42"/>
        <v>0</v>
      </c>
      <c r="S217" s="154">
        <f t="shared" si="42"/>
        <v>0</v>
      </c>
      <c r="T217" s="154">
        <f t="shared" si="42"/>
        <v>26214224.29082974</v>
      </c>
      <c r="U217" s="154">
        <f t="shared" si="42"/>
        <v>0</v>
      </c>
      <c r="V217" s="154">
        <f t="shared" si="42"/>
        <v>0</v>
      </c>
      <c r="W217" s="154">
        <f t="shared" si="42"/>
        <v>0</v>
      </c>
      <c r="X217" s="154">
        <f t="shared" si="42"/>
        <v>0</v>
      </c>
      <c r="Y217" s="154">
        <f t="shared" si="42"/>
        <v>0</v>
      </c>
      <c r="Z217" s="154">
        <f t="shared" si="42"/>
        <v>0</v>
      </c>
      <c r="AA217" s="154">
        <f t="shared" si="42"/>
        <v>0</v>
      </c>
      <c r="AB217" s="154">
        <f t="shared" si="42"/>
        <v>0</v>
      </c>
      <c r="AC217" s="154">
        <f t="shared" si="42"/>
        <v>69855012.580101237</v>
      </c>
      <c r="AD217" s="157">
        <f t="shared" si="40"/>
        <v>1375396575.6976211</v>
      </c>
      <c r="AE217" s="158"/>
      <c r="AG217" s="99"/>
    </row>
    <row r="218" spans="1:33">
      <c r="A218" s="143">
        <f>EconomicInputs!A123</f>
        <v>2033</v>
      </c>
      <c r="B218" s="154">
        <f t="shared" si="39"/>
        <v>552654592.67846262</v>
      </c>
      <c r="C218" s="154">
        <f t="shared" si="42"/>
        <v>217469888.71758226</v>
      </c>
      <c r="D218" s="154">
        <f t="shared" si="42"/>
        <v>121586845.60790169</v>
      </c>
      <c r="E218" s="154">
        <f t="shared" si="42"/>
        <v>0</v>
      </c>
      <c r="F218" s="154">
        <f t="shared" si="42"/>
        <v>8223710.9354075743</v>
      </c>
      <c r="G218" s="154">
        <f t="shared" si="42"/>
        <v>152825599.3853313</v>
      </c>
      <c r="H218" s="154">
        <f t="shared" si="42"/>
        <v>98124247.317017093</v>
      </c>
      <c r="I218" s="154">
        <f t="shared" si="42"/>
        <v>0</v>
      </c>
      <c r="J218" s="154">
        <f t="shared" si="42"/>
        <v>0</v>
      </c>
      <c r="K218" s="154">
        <f t="shared" si="42"/>
        <v>0</v>
      </c>
      <c r="L218" s="154">
        <f t="shared" si="42"/>
        <v>0</v>
      </c>
      <c r="M218" s="154">
        <f t="shared" si="42"/>
        <v>0</v>
      </c>
      <c r="N218" s="154">
        <f t="shared" si="42"/>
        <v>126165941.41840951</v>
      </c>
      <c r="O218" s="154">
        <f t="shared" si="42"/>
        <v>0</v>
      </c>
      <c r="P218" s="154">
        <f t="shared" si="42"/>
        <v>0</v>
      </c>
      <c r="Q218" s="154">
        <f t="shared" si="42"/>
        <v>0</v>
      </c>
      <c r="R218" s="154">
        <f t="shared" si="42"/>
        <v>0</v>
      </c>
      <c r="S218" s="154">
        <f t="shared" si="42"/>
        <v>0</v>
      </c>
      <c r="T218" s="154">
        <f t="shared" si="42"/>
        <v>26756364.073637567</v>
      </c>
      <c r="U218" s="154">
        <f t="shared" si="42"/>
        <v>0</v>
      </c>
      <c r="V218" s="154">
        <f t="shared" si="42"/>
        <v>0</v>
      </c>
      <c r="W218" s="154">
        <f t="shared" si="42"/>
        <v>0</v>
      </c>
      <c r="X218" s="154">
        <f t="shared" si="42"/>
        <v>0</v>
      </c>
      <c r="Y218" s="154">
        <f t="shared" si="42"/>
        <v>0</v>
      </c>
      <c r="Z218" s="154">
        <f t="shared" si="42"/>
        <v>0</v>
      </c>
      <c r="AA218" s="154">
        <f t="shared" si="42"/>
        <v>0</v>
      </c>
      <c r="AB218" s="154">
        <f t="shared" si="42"/>
        <v>0</v>
      </c>
      <c r="AC218" s="154">
        <f t="shared" si="42"/>
        <v>70553562.705902249</v>
      </c>
      <c r="AD218" s="157">
        <f t="shared" si="40"/>
        <v>1374360752.8396518</v>
      </c>
      <c r="AE218" s="158"/>
      <c r="AG218" s="99"/>
    </row>
    <row r="219" spans="1:33">
      <c r="A219" s="143">
        <f>EconomicInputs!A124</f>
        <v>2034</v>
      </c>
      <c r="B219" s="154">
        <f t="shared" si="39"/>
        <v>540638860.08813024</v>
      </c>
      <c r="C219" s="154">
        <f t="shared" si="42"/>
        <v>220786946.11535677</v>
      </c>
      <c r="D219" s="154">
        <f t="shared" si="42"/>
        <v>123441816.19803619</v>
      </c>
      <c r="E219" s="154">
        <f t="shared" si="42"/>
        <v>0</v>
      </c>
      <c r="F219" s="154">
        <f t="shared" si="42"/>
        <v>8118599.1165098846</v>
      </c>
      <c r="G219" s="154">
        <f t="shared" si="42"/>
        <v>154035657.38561732</v>
      </c>
      <c r="H219" s="154">
        <f t="shared" si="42"/>
        <v>98300006.577869058</v>
      </c>
      <c r="I219" s="154">
        <f t="shared" si="42"/>
        <v>0</v>
      </c>
      <c r="J219" s="154">
        <f t="shared" si="42"/>
        <v>0</v>
      </c>
      <c r="K219" s="154">
        <f t="shared" si="42"/>
        <v>0</v>
      </c>
      <c r="L219" s="154">
        <f t="shared" si="42"/>
        <v>0</v>
      </c>
      <c r="M219" s="154">
        <f t="shared" si="42"/>
        <v>0</v>
      </c>
      <c r="N219" s="154">
        <f t="shared" si="42"/>
        <v>130050516.80627754</v>
      </c>
      <c r="O219" s="154">
        <f t="shared" si="42"/>
        <v>0</v>
      </c>
      <c r="P219" s="154">
        <f t="shared" si="42"/>
        <v>0</v>
      </c>
      <c r="Q219" s="154">
        <f t="shared" si="42"/>
        <v>0</v>
      </c>
      <c r="R219" s="154">
        <f t="shared" si="42"/>
        <v>0</v>
      </c>
      <c r="S219" s="154">
        <f t="shared" si="42"/>
        <v>0</v>
      </c>
      <c r="T219" s="154">
        <f t="shared" si="42"/>
        <v>27309750.609895177</v>
      </c>
      <c r="U219" s="154">
        <f t="shared" si="42"/>
        <v>0</v>
      </c>
      <c r="V219" s="154">
        <f t="shared" si="42"/>
        <v>0</v>
      </c>
      <c r="W219" s="154">
        <f t="shared" si="42"/>
        <v>0</v>
      </c>
      <c r="X219" s="154">
        <f t="shared" si="42"/>
        <v>0</v>
      </c>
      <c r="Y219" s="154">
        <f t="shared" si="42"/>
        <v>0</v>
      </c>
      <c r="Z219" s="154">
        <f t="shared" si="42"/>
        <v>0</v>
      </c>
      <c r="AA219" s="154">
        <f t="shared" si="42"/>
        <v>0</v>
      </c>
      <c r="AB219" s="154">
        <f t="shared" si="42"/>
        <v>0</v>
      </c>
      <c r="AC219" s="154">
        <f t="shared" si="42"/>
        <v>71259098.332961261</v>
      </c>
      <c r="AD219" s="157">
        <f t="shared" si="40"/>
        <v>1373941251.2306538</v>
      </c>
      <c r="AE219" s="158"/>
      <c r="AG219" s="99"/>
    </row>
    <row r="220" spans="1:33">
      <c r="A220" s="143">
        <f>EconomicInputs!A125</f>
        <v>2035</v>
      </c>
      <c r="B220" s="154">
        <f t="shared" si="39"/>
        <v>528943134.75555229</v>
      </c>
      <c r="C220" s="154">
        <f t="shared" si="42"/>
        <v>224201483.45594832</v>
      </c>
      <c r="D220" s="154">
        <f t="shared" si="42"/>
        <v>125351298.77936143</v>
      </c>
      <c r="E220" s="154">
        <f t="shared" si="42"/>
        <v>0</v>
      </c>
      <c r="F220" s="154">
        <f t="shared" si="42"/>
        <v>8008234.2376477774</v>
      </c>
      <c r="G220" s="154">
        <f t="shared" si="42"/>
        <v>155248478.06973794</v>
      </c>
      <c r="H220" s="154">
        <f t="shared" si="42"/>
        <v>98476158.298747867</v>
      </c>
      <c r="I220" s="154">
        <f t="shared" si="42"/>
        <v>0</v>
      </c>
      <c r="J220" s="154">
        <f t="shared" si="42"/>
        <v>0</v>
      </c>
      <c r="K220" s="154">
        <f t="shared" si="42"/>
        <v>0</v>
      </c>
      <c r="L220" s="154">
        <f t="shared" si="42"/>
        <v>0</v>
      </c>
      <c r="M220" s="154">
        <f t="shared" si="42"/>
        <v>0</v>
      </c>
      <c r="N220" s="154">
        <f t="shared" si="42"/>
        <v>134054695.99350998</v>
      </c>
      <c r="O220" s="154">
        <f t="shared" si="42"/>
        <v>0</v>
      </c>
      <c r="P220" s="154">
        <f t="shared" si="42"/>
        <v>0</v>
      </c>
      <c r="Q220" s="154">
        <f t="shared" si="42"/>
        <v>0</v>
      </c>
      <c r="R220" s="154">
        <f t="shared" si="42"/>
        <v>0</v>
      </c>
      <c r="S220" s="154">
        <f t="shared" si="42"/>
        <v>0</v>
      </c>
      <c r="T220" s="154">
        <f t="shared" si="42"/>
        <v>27874604.499771222</v>
      </c>
      <c r="U220" s="154">
        <f t="shared" si="42"/>
        <v>0</v>
      </c>
      <c r="V220" s="154">
        <f t="shared" si="42"/>
        <v>0</v>
      </c>
      <c r="W220" s="154">
        <f t="shared" si="42"/>
        <v>0</v>
      </c>
      <c r="X220" s="154">
        <f t="shared" si="42"/>
        <v>0</v>
      </c>
      <c r="Y220" s="154">
        <f t="shared" si="42"/>
        <v>0</v>
      </c>
      <c r="Z220" s="154">
        <f t="shared" si="42"/>
        <v>0</v>
      </c>
      <c r="AA220" s="154">
        <f t="shared" si="42"/>
        <v>0</v>
      </c>
      <c r="AB220" s="154">
        <f t="shared" si="42"/>
        <v>0</v>
      </c>
      <c r="AC220" s="154">
        <f t="shared" si="42"/>
        <v>71971689.316290885</v>
      </c>
      <c r="AD220" s="157">
        <f t="shared" si="40"/>
        <v>1374129777.4065676</v>
      </c>
      <c r="AE220" s="158"/>
      <c r="AG220" s="99"/>
    </row>
    <row r="221" spans="1:33">
      <c r="A221" s="1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  <c r="AD221" s="97"/>
      <c r="AE221" s="98"/>
      <c r="AG221" s="99"/>
    </row>
    <row r="222" spans="1:33">
      <c r="A222" s="1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  <c r="AD222" s="97"/>
      <c r="AE222" s="98"/>
      <c r="AG222" s="99"/>
    </row>
    <row r="224" spans="1:33">
      <c r="B224" t="s">
        <v>322</v>
      </c>
      <c r="C224" t="s">
        <v>323</v>
      </c>
      <c r="D224" t="s">
        <v>170</v>
      </c>
      <c r="F224" t="s">
        <v>325</v>
      </c>
      <c r="G224" t="s">
        <v>327</v>
      </c>
      <c r="H224" t="s">
        <v>157</v>
      </c>
      <c r="N224" t="s">
        <v>332</v>
      </c>
      <c r="T224" t="s">
        <v>160</v>
      </c>
      <c r="AC224" t="s">
        <v>371</v>
      </c>
    </row>
    <row r="225" spans="1:29">
      <c r="B225" t="s">
        <v>322</v>
      </c>
      <c r="C225" t="s">
        <v>323</v>
      </c>
      <c r="D225" t="s">
        <v>170</v>
      </c>
      <c r="E225" t="s">
        <v>324</v>
      </c>
      <c r="F225" t="s">
        <v>325</v>
      </c>
      <c r="G225" t="s">
        <v>327</v>
      </c>
      <c r="H225" t="s">
        <v>157</v>
      </c>
      <c r="I225" t="s">
        <v>326</v>
      </c>
      <c r="J225" t="s">
        <v>328</v>
      </c>
      <c r="K225" t="s">
        <v>329</v>
      </c>
      <c r="L225" t="s">
        <v>33</v>
      </c>
      <c r="M225" t="s">
        <v>330</v>
      </c>
      <c r="N225" t="s">
        <v>332</v>
      </c>
      <c r="O225" t="s">
        <v>331</v>
      </c>
      <c r="P225" t="s">
        <v>315</v>
      </c>
      <c r="Q225" t="s">
        <v>333</v>
      </c>
      <c r="R225" t="s">
        <v>334</v>
      </c>
      <c r="S225" t="s">
        <v>335</v>
      </c>
      <c r="T225" t="s">
        <v>160</v>
      </c>
      <c r="U225" t="s">
        <v>336</v>
      </c>
      <c r="V225" t="s">
        <v>337</v>
      </c>
      <c r="W225" t="s">
        <v>338</v>
      </c>
      <c r="X225" t="s">
        <v>339</v>
      </c>
      <c r="Y225" t="s">
        <v>340</v>
      </c>
      <c r="Z225" t="s">
        <v>341</v>
      </c>
      <c r="AA225" t="s">
        <v>342</v>
      </c>
      <c r="AB225" t="s">
        <v>343</v>
      </c>
      <c r="AC225" t="s">
        <v>371</v>
      </c>
    </row>
    <row r="227" spans="1:29">
      <c r="A227" s="168" t="s">
        <v>71</v>
      </c>
      <c r="B227" s="168" t="s">
        <v>154</v>
      </c>
      <c r="C227" s="168" t="s">
        <v>155</v>
      </c>
    </row>
    <row r="228" spans="1:29">
      <c r="A228" s="143">
        <f>EconomicInputs!A68</f>
        <v>2010</v>
      </c>
      <c r="B228" s="154">
        <f t="shared" ref="B228:B253" si="43">SUM(B131:M131,P131,Q131,R131,S131,T131,U131,V131,W131,X131)</f>
        <v>631439919.69266927</v>
      </c>
      <c r="C228" s="154">
        <f t="shared" ref="C228:C253" si="44">SUM(N131:O131,Y131,Z131:AC131)</f>
        <v>65911595.243904576</v>
      </c>
    </row>
    <row r="229" spans="1:29">
      <c r="A229" s="143">
        <f>EconomicInputs!A69</f>
        <v>2011</v>
      </c>
      <c r="B229" s="154">
        <f t="shared" si="43"/>
        <v>616851004.16070509</v>
      </c>
      <c r="C229" s="154">
        <f t="shared" si="44"/>
        <v>67971250.187231347</v>
      </c>
    </row>
    <row r="230" spans="1:29">
      <c r="A230" s="143">
        <f>EconomicInputs!A70</f>
        <v>2012</v>
      </c>
      <c r="B230" s="154">
        <f t="shared" si="43"/>
        <v>617318713.06815493</v>
      </c>
      <c r="C230" s="154">
        <f t="shared" si="44"/>
        <v>69833844.686320871</v>
      </c>
    </row>
    <row r="231" spans="1:29">
      <c r="A231" s="143">
        <f>EconomicInputs!A71</f>
        <v>2013</v>
      </c>
      <c r="B231" s="154">
        <f t="shared" si="43"/>
        <v>620865186.99300325</v>
      </c>
      <c r="C231" s="154">
        <f t="shared" si="44"/>
        <v>71109513.838272065</v>
      </c>
    </row>
    <row r="232" spans="1:29">
      <c r="A232" s="143">
        <f>EconomicInputs!A72</f>
        <v>2014</v>
      </c>
      <c r="B232" s="154">
        <f t="shared" si="43"/>
        <v>623284405.42008352</v>
      </c>
      <c r="C232" s="154">
        <f t="shared" si="44"/>
        <v>71914569.929991752</v>
      </c>
    </row>
    <row r="233" spans="1:29">
      <c r="A233" s="143">
        <f>EconomicInputs!A73</f>
        <v>2015</v>
      </c>
      <c r="B233" s="154">
        <f t="shared" si="43"/>
        <v>614101510.10473585</v>
      </c>
      <c r="C233" s="154">
        <f t="shared" si="44"/>
        <v>73493004.588758916</v>
      </c>
    </row>
    <row r="234" spans="1:29">
      <c r="A234" s="143">
        <f>EconomicInputs!A74</f>
        <v>2016</v>
      </c>
      <c r="B234" s="154">
        <f t="shared" si="43"/>
        <v>614938549.55390012</v>
      </c>
      <c r="C234" s="154">
        <f t="shared" si="44"/>
        <v>75262193.719645023</v>
      </c>
    </row>
    <row r="235" spans="1:29">
      <c r="A235" s="143">
        <f>EconomicInputs!A75</f>
        <v>2017</v>
      </c>
      <c r="B235" s="154">
        <f t="shared" si="43"/>
        <v>771585464.67921579</v>
      </c>
      <c r="C235" s="154">
        <f t="shared" si="44"/>
        <v>76946258.143625632</v>
      </c>
    </row>
    <row r="236" spans="1:29">
      <c r="A236" s="143">
        <f>EconomicInputs!A76</f>
        <v>2018</v>
      </c>
      <c r="B236" s="154">
        <f t="shared" si="43"/>
        <v>768723960.78696954</v>
      </c>
      <c r="C236" s="154">
        <f t="shared" si="44"/>
        <v>78688037.829996705</v>
      </c>
    </row>
    <row r="237" spans="1:29">
      <c r="A237" s="143">
        <f>EconomicInputs!A77</f>
        <v>2019</v>
      </c>
      <c r="B237" s="154">
        <f t="shared" si="43"/>
        <v>765889939.86774766</v>
      </c>
      <c r="C237" s="154">
        <f t="shared" si="44"/>
        <v>80558835.465074584</v>
      </c>
    </row>
    <row r="238" spans="1:29">
      <c r="A238" s="143">
        <f>EconomicInputs!A78</f>
        <v>2020</v>
      </c>
      <c r="B238" s="154">
        <f t="shared" si="43"/>
        <v>762818935.30529666</v>
      </c>
      <c r="C238" s="154">
        <f t="shared" si="44"/>
        <v>82425081.320582658</v>
      </c>
    </row>
    <row r="239" spans="1:29">
      <c r="A239" s="143">
        <f>EconomicInputs!A79</f>
        <v>2021</v>
      </c>
      <c r="B239" s="154">
        <f t="shared" si="43"/>
        <v>759117772.98532915</v>
      </c>
      <c r="C239" s="154">
        <f t="shared" si="44"/>
        <v>84253586.659030721</v>
      </c>
    </row>
    <row r="240" spans="1:29">
      <c r="A240" s="143">
        <f>EconomicInputs!A80</f>
        <v>2022</v>
      </c>
      <c r="B240" s="154">
        <f t="shared" si="43"/>
        <v>754914950.08983374</v>
      </c>
      <c r="C240" s="154">
        <f t="shared" si="44"/>
        <v>86174166.952499732</v>
      </c>
    </row>
    <row r="241" spans="1:3">
      <c r="A241" s="143">
        <f>EconomicInputs!A81</f>
        <v>2023</v>
      </c>
      <c r="B241" s="154">
        <f t="shared" si="43"/>
        <v>750317965.18345344</v>
      </c>
      <c r="C241" s="154">
        <f t="shared" si="44"/>
        <v>88245602.782755107</v>
      </c>
    </row>
    <row r="242" spans="1:3">
      <c r="A242" s="143">
        <f>EconomicInputs!A82</f>
        <v>2024</v>
      </c>
      <c r="B242" s="154">
        <f t="shared" si="43"/>
        <v>745307986.25141156</v>
      </c>
      <c r="C242" s="154">
        <f t="shared" si="44"/>
        <v>90403305.149288297</v>
      </c>
    </row>
    <row r="243" spans="1:3">
      <c r="A243" s="143">
        <f>EconomicInputs!A83</f>
        <v>2025</v>
      </c>
      <c r="B243" s="154">
        <f t="shared" si="43"/>
        <v>739974097.07585025</v>
      </c>
      <c r="C243" s="154">
        <f t="shared" si="44"/>
        <v>92631318.319511831</v>
      </c>
    </row>
    <row r="244" spans="1:3">
      <c r="A244" s="143">
        <f>EconomicInputs!A84</f>
        <v>2026</v>
      </c>
      <c r="B244" s="154">
        <f t="shared" si="43"/>
        <v>734796969.66587281</v>
      </c>
      <c r="C244" s="154">
        <f t="shared" si="44"/>
        <v>94964947.286022499</v>
      </c>
    </row>
    <row r="245" spans="1:3">
      <c r="A245" s="143">
        <f>EconomicInputs!A85</f>
        <v>2027</v>
      </c>
      <c r="B245" s="154">
        <f t="shared" si="43"/>
        <v>729931589.32940745</v>
      </c>
      <c r="C245" s="154">
        <f t="shared" si="44"/>
        <v>97412776.696734026</v>
      </c>
    </row>
    <row r="246" spans="1:3">
      <c r="A246" s="143">
        <f>EconomicInputs!A86</f>
        <v>2028</v>
      </c>
      <c r="B246" s="154">
        <f t="shared" si="43"/>
        <v>725391002.62630939</v>
      </c>
      <c r="C246" s="154">
        <f t="shared" si="44"/>
        <v>99893540.892497003</v>
      </c>
    </row>
    <row r="247" spans="1:3">
      <c r="A247" s="143">
        <f>EconomicInputs!A87</f>
        <v>2029</v>
      </c>
      <c r="B247" s="154">
        <f t="shared" si="43"/>
        <v>721170493.75252259</v>
      </c>
      <c r="C247" s="154">
        <f t="shared" si="44"/>
        <v>102466822.82849848</v>
      </c>
    </row>
    <row r="248" spans="1:3">
      <c r="A248" s="143">
        <f>EconomicInputs!A88</f>
        <v>2030</v>
      </c>
      <c r="B248" s="154">
        <f t="shared" si="43"/>
        <v>717305718.22842622</v>
      </c>
      <c r="C248" s="154">
        <f t="shared" si="44"/>
        <v>105167117.67066112</v>
      </c>
    </row>
    <row r="249" spans="1:3">
      <c r="A249" s="143">
        <f>EconomicInputs!A89</f>
        <v>2031</v>
      </c>
      <c r="B249" s="154">
        <f t="shared" si="43"/>
        <v>713777306.16127861</v>
      </c>
      <c r="C249" s="154">
        <f t="shared" si="44"/>
        <v>107919602.27376901</v>
      </c>
    </row>
    <row r="250" spans="1:3">
      <c r="A250" s="143">
        <f>EconomicInputs!A90</f>
        <v>2032</v>
      </c>
      <c r="B250" s="154">
        <f t="shared" si="43"/>
        <v>710584249.7825141</v>
      </c>
      <c r="C250" s="154">
        <f t="shared" si="44"/>
        <v>110802683.63286269</v>
      </c>
    </row>
    <row r="251" spans="1:3">
      <c r="A251" s="143">
        <f>EconomicInputs!A91</f>
        <v>2033</v>
      </c>
      <c r="B251" s="154">
        <f t="shared" si="43"/>
        <v>707989959.49737406</v>
      </c>
      <c r="C251" s="154">
        <f t="shared" si="44"/>
        <v>113259332.64878866</v>
      </c>
    </row>
    <row r="252" spans="1:3">
      <c r="A252" s="143">
        <f>EconomicInputs!A92</f>
        <v>2034</v>
      </c>
      <c r="B252" s="154">
        <f t="shared" si="43"/>
        <v>705688542.25225782</v>
      </c>
      <c r="C252" s="154">
        <f t="shared" si="44"/>
        <v>115782071.44132903</v>
      </c>
    </row>
    <row r="253" spans="1:3">
      <c r="A253" s="143">
        <f>EconomicInputs!A93</f>
        <v>2035</v>
      </c>
      <c r="B253" s="154">
        <f t="shared" si="43"/>
        <v>703672769.77664208</v>
      </c>
      <c r="C253" s="154">
        <f t="shared" si="44"/>
        <v>118372839.38590223</v>
      </c>
    </row>
    <row r="257" spans="1:45">
      <c r="A257" s="283" t="s">
        <v>386</v>
      </c>
      <c r="B257" s="283"/>
      <c r="C257" s="283"/>
      <c r="D257" s="283"/>
      <c r="E257" s="283"/>
      <c r="F257" s="283"/>
      <c r="G257" s="283"/>
      <c r="H257" s="283"/>
      <c r="I257" s="283"/>
      <c r="J257" s="283"/>
      <c r="K257" s="283"/>
      <c r="L257" s="283"/>
      <c r="M257" s="283"/>
      <c r="N257" s="283"/>
      <c r="O257" s="283"/>
      <c r="P257" s="283"/>
      <c r="Q257" s="283"/>
      <c r="R257" s="283"/>
      <c r="S257" s="283"/>
      <c r="T257" s="283"/>
      <c r="U257" s="283"/>
      <c r="V257" s="283"/>
      <c r="W257" s="283"/>
      <c r="X257" s="283"/>
      <c r="Y257" s="283"/>
      <c r="Z257" s="283"/>
      <c r="AA257" s="283"/>
      <c r="AB257" s="283"/>
      <c r="AC257" s="283"/>
      <c r="AD257" s="266" t="s">
        <v>141</v>
      </c>
      <c r="AE257" s="266" t="s">
        <v>142</v>
      </c>
      <c r="AO257" s="230" t="s">
        <v>380</v>
      </c>
      <c r="AP257" s="230"/>
      <c r="AQ257" s="230"/>
      <c r="AR257" s="230"/>
      <c r="AS257" s="230"/>
    </row>
    <row r="258" spans="1:45" ht="30" customHeight="1">
      <c r="A258" s="170" t="s">
        <v>91</v>
      </c>
      <c r="B258" s="270" t="s">
        <v>44</v>
      </c>
      <c r="C258" s="270"/>
      <c r="D258" s="270"/>
      <c r="E258" s="171" t="s">
        <v>1</v>
      </c>
      <c r="F258" s="171" t="s">
        <v>31</v>
      </c>
      <c r="G258" s="171" t="s">
        <v>11</v>
      </c>
      <c r="H258" s="171" t="s">
        <v>11</v>
      </c>
      <c r="I258" s="171" t="s">
        <v>23</v>
      </c>
      <c r="J258" s="171" t="s">
        <v>34</v>
      </c>
      <c r="K258" s="171" t="s">
        <v>29</v>
      </c>
      <c r="L258" s="171" t="s">
        <v>32</v>
      </c>
      <c r="M258" s="171" t="s">
        <v>36</v>
      </c>
      <c r="N258" s="171" t="s">
        <v>15</v>
      </c>
      <c r="O258" s="171" t="s">
        <v>17</v>
      </c>
      <c r="P258" s="171" t="s">
        <v>59</v>
      </c>
      <c r="Q258" s="171" t="s">
        <v>3</v>
      </c>
      <c r="R258" s="171" t="s">
        <v>4</v>
      </c>
      <c r="S258" s="171" t="s">
        <v>58</v>
      </c>
      <c r="T258" s="171" t="s">
        <v>21</v>
      </c>
      <c r="U258" s="171" t="s">
        <v>5</v>
      </c>
      <c r="V258" s="171" t="s">
        <v>7</v>
      </c>
      <c r="W258" s="171" t="s">
        <v>9</v>
      </c>
      <c r="X258" s="171" t="s">
        <v>13</v>
      </c>
      <c r="Y258" s="171" t="s">
        <v>19</v>
      </c>
      <c r="Z258" s="171" t="s">
        <v>25</v>
      </c>
      <c r="AA258" s="171" t="s">
        <v>25</v>
      </c>
      <c r="AB258" s="171" t="s">
        <v>25</v>
      </c>
      <c r="AC258" s="171" t="s">
        <v>62</v>
      </c>
      <c r="AD258" s="267"/>
      <c r="AE258" s="267"/>
      <c r="AO258" s="223" t="s">
        <v>381</v>
      </c>
      <c r="AP258" s="233" t="s">
        <v>52</v>
      </c>
      <c r="AQ258" s="233" t="s">
        <v>56</v>
      </c>
      <c r="AR258" s="233" t="s">
        <v>382</v>
      </c>
      <c r="AS258" s="223" t="s">
        <v>60</v>
      </c>
    </row>
    <row r="259" spans="1:45" ht="63">
      <c r="A259" s="170" t="s">
        <v>86</v>
      </c>
      <c r="B259" s="170" t="s">
        <v>40</v>
      </c>
      <c r="C259" s="170" t="s">
        <v>41</v>
      </c>
      <c r="D259" s="170" t="s">
        <v>42</v>
      </c>
      <c r="E259" s="170" t="s">
        <v>2</v>
      </c>
      <c r="F259" s="171" t="s">
        <v>53</v>
      </c>
      <c r="G259" s="172" t="s">
        <v>12</v>
      </c>
      <c r="H259" s="172" t="s">
        <v>157</v>
      </c>
      <c r="I259" s="171" t="s">
        <v>24</v>
      </c>
      <c r="J259" s="171" t="s">
        <v>35</v>
      </c>
      <c r="K259" s="171" t="s">
        <v>30</v>
      </c>
      <c r="L259" s="171" t="s">
        <v>33</v>
      </c>
      <c r="M259" s="171" t="s">
        <v>37</v>
      </c>
      <c r="N259" s="171" t="s">
        <v>16</v>
      </c>
      <c r="O259" s="171" t="s">
        <v>18</v>
      </c>
      <c r="P259" s="170" t="s">
        <v>46</v>
      </c>
      <c r="Q259" s="170" t="s">
        <v>49</v>
      </c>
      <c r="R259" s="170" t="s">
        <v>50</v>
      </c>
      <c r="S259" s="171" t="s">
        <v>51</v>
      </c>
      <c r="T259" s="171" t="s">
        <v>22</v>
      </c>
      <c r="U259" s="171" t="s">
        <v>6</v>
      </c>
      <c r="V259" s="171" t="s">
        <v>8</v>
      </c>
      <c r="W259" s="171" t="s">
        <v>10</v>
      </c>
      <c r="X259" s="171" t="s">
        <v>14</v>
      </c>
      <c r="Y259" s="171" t="s">
        <v>20</v>
      </c>
      <c r="Z259" s="171" t="s">
        <v>26</v>
      </c>
      <c r="AA259" s="171" t="s">
        <v>27</v>
      </c>
      <c r="AB259" s="171" t="s">
        <v>28</v>
      </c>
      <c r="AC259" s="171" t="s">
        <v>371</v>
      </c>
      <c r="AD259" s="268"/>
      <c r="AE259" s="269"/>
      <c r="AG259" s="94" t="s">
        <v>318</v>
      </c>
      <c r="AO259" s="223"/>
      <c r="AP259" s="233"/>
      <c r="AQ259" s="233"/>
      <c r="AR259" s="233"/>
      <c r="AS259" s="223"/>
    </row>
    <row r="260" spans="1:45">
      <c r="A260" s="143">
        <v>2010</v>
      </c>
      <c r="B260" s="154">
        <f>B131/(1+TechnicalInputs!$D$2)^(TabularOutputs!$A260-TabularOutputs!$A$265)</f>
        <v>365803467.59657729</v>
      </c>
      <c r="C260" s="154">
        <f>C131/(1+TechnicalInputs!$D$2)^(TabularOutputs!$A260-TabularOutputs!$A$265)</f>
        <v>100737488.28787829</v>
      </c>
      <c r="D260" s="154">
        <f>D131/(1+TechnicalInputs!$D$2)^(TabularOutputs!$A260-TabularOutputs!$A$265)</f>
        <v>84480722.937810645</v>
      </c>
      <c r="E260" s="154">
        <f>E131/(1+TechnicalInputs!$D$2)^(TabularOutputs!$A260-TabularOutputs!$A$265)</f>
        <v>0</v>
      </c>
      <c r="F260" s="154">
        <f>F131/(1+TechnicalInputs!$D$2)^(TabularOutputs!$A260-TabularOutputs!$A$265)</f>
        <v>7238563.8405962838</v>
      </c>
      <c r="G260" s="154">
        <f>G131/(1+TechnicalInputs!$D$2)^(TabularOutputs!$A260-TabularOutputs!$A$265)</f>
        <v>93398984.344571903</v>
      </c>
      <c r="H260" s="154">
        <f>H131/(1+TechnicalInputs!$D$2)^(TabularOutputs!$A260-TabularOutputs!$A$265)</f>
        <v>48964330.275995463</v>
      </c>
      <c r="I260" s="154">
        <f>I131/(1+TechnicalInputs!$D$2)^(TabularOutputs!$A260-TabularOutputs!$A$265)</f>
        <v>0</v>
      </c>
      <c r="J260" s="154">
        <f>J131/(1+TechnicalInputs!$D$2)^(TabularOutputs!$A260-TabularOutputs!$A$265)</f>
        <v>0</v>
      </c>
      <c r="K260" s="154">
        <f>K131/(1+TechnicalInputs!$D$2)^(TabularOutputs!$A260-TabularOutputs!$A$265)</f>
        <v>0</v>
      </c>
      <c r="L260" s="154">
        <f>L131/(1+TechnicalInputs!$D$2)^(TabularOutputs!$A260-TabularOutputs!$A$265)</f>
        <v>0</v>
      </c>
      <c r="M260" s="154">
        <f>M131/(1+TechnicalInputs!$D$2)^(TabularOutputs!$A260-TabularOutputs!$A$265)</f>
        <v>0</v>
      </c>
      <c r="N260" s="154">
        <f>N131/(1+TechnicalInputs!$D$2)^(TabularOutputs!$A260-TabularOutputs!$A$265)</f>
        <v>31126844.808676284</v>
      </c>
      <c r="O260" s="154">
        <f>O131/(1+TechnicalInputs!$D$2)^(TabularOutputs!$A260-TabularOutputs!$A$265)</f>
        <v>0</v>
      </c>
      <c r="P260" s="154">
        <f>P131/(1+TechnicalInputs!$D$2)^(TabularOutputs!$A260-TabularOutputs!$A$265)</f>
        <v>0</v>
      </c>
      <c r="Q260" s="154">
        <f>Q131/(1+TechnicalInputs!$D$2)^(TabularOutputs!$A260-TabularOutputs!$A$265)</f>
        <v>0</v>
      </c>
      <c r="R260" s="154">
        <f>R131/(1+TechnicalInputs!$D$2)^(TabularOutputs!$A260-TabularOutputs!$A$265)</f>
        <v>0</v>
      </c>
      <c r="S260" s="154">
        <f>S131/(1+TechnicalInputs!$D$2)^(TabularOutputs!$A260-TabularOutputs!$A$265)</f>
        <v>0</v>
      </c>
      <c r="T260" s="154">
        <f>T131/(1+TechnicalInputs!$D$2)^(TabularOutputs!$A260-TabularOutputs!$A$265)</f>
        <v>13792753.803852499</v>
      </c>
      <c r="U260" s="154">
        <f>U131/(1+TechnicalInputs!$D$2)^(TabularOutputs!$A260-TabularOutputs!$A$265)</f>
        <v>0</v>
      </c>
      <c r="V260" s="154">
        <f>V131/(1+TechnicalInputs!$D$2)^(TabularOutputs!$A260-TabularOutputs!$A$265)</f>
        <v>0</v>
      </c>
      <c r="W260" s="154">
        <f>W131/(1+TechnicalInputs!$D$2)^(TabularOutputs!$A260-TabularOutputs!$A$265)</f>
        <v>0</v>
      </c>
      <c r="X260" s="154">
        <f>X131/(1+TechnicalInputs!$D$2)^(TabularOutputs!$A260-TabularOutputs!$A$265)</f>
        <v>0</v>
      </c>
      <c r="Y260" s="154">
        <f>Y131/(1+TechnicalInputs!$D$2)^(TabularOutputs!$A260-TabularOutputs!$A$265)</f>
        <v>0</v>
      </c>
      <c r="Z260" s="154">
        <f>Z131/(1+TechnicalInputs!$D$2)^(TabularOutputs!$A260-TabularOutputs!$A$265)</f>
        <v>0</v>
      </c>
      <c r="AA260" s="154">
        <f>AA131/(1+TechnicalInputs!$D$2)^(TabularOutputs!$A260-TabularOutputs!$A$265)</f>
        <v>0</v>
      </c>
      <c r="AB260" s="154">
        <f>AB131/(1+TechnicalInputs!$D$2)^(TabularOutputs!$A260-TabularOutputs!$A$265)</f>
        <v>0</v>
      </c>
      <c r="AC260" s="154">
        <f>AC131/(1+TechnicalInputs!$D$2)^(TabularOutputs!$A260-TabularOutputs!$A$265)</f>
        <v>43446075.374999993</v>
      </c>
      <c r="AD260" s="154">
        <f>SUM(B260:AC260)</f>
        <v>788989231.27095866</v>
      </c>
      <c r="AE260" s="158"/>
      <c r="AG260" s="142">
        <v>792955674.44068778</v>
      </c>
      <c r="AO260" s="154">
        <f>SUM(B260:E260)</f>
        <v>551021678.82226622</v>
      </c>
      <c r="AP260" s="154">
        <f>SUM(F260:M260)</f>
        <v>149601878.46116364</v>
      </c>
      <c r="AQ260" s="154">
        <f>SUM(N260:O260)</f>
        <v>31126844.808676284</v>
      </c>
      <c r="AR260" s="154">
        <f>SUM(P260:T260)</f>
        <v>13792753.803852499</v>
      </c>
      <c r="AS260" s="154">
        <f>SUM(U260:AC260)</f>
        <v>43446075.374999993</v>
      </c>
    </row>
    <row r="261" spans="1:45">
      <c r="A261" s="143">
        <f>A260+1</f>
        <v>2011</v>
      </c>
      <c r="B261" s="154">
        <f>B132/(1+TechnicalInputs!$D$2)^(TabularOutputs!$A261-TabularOutputs!$A$265)</f>
        <v>335403177.91679531</v>
      </c>
      <c r="C261" s="154">
        <f>C132/(1+TechnicalInputs!$D$2)^(TabularOutputs!$A261-TabularOutputs!$A$265)</f>
        <v>98101675.674368665</v>
      </c>
      <c r="D261" s="154">
        <f>D132/(1+TechnicalInputs!$D$2)^(TabularOutputs!$A261-TabularOutputs!$A$265)</f>
        <v>82269898.533167288</v>
      </c>
      <c r="E261" s="154">
        <f>E132/(1+TechnicalInputs!$D$2)^(TabularOutputs!$A261-TabularOutputs!$A$265)</f>
        <v>0</v>
      </c>
      <c r="F261" s="154">
        <f>F132/(1+TechnicalInputs!$D$2)^(TabularOutputs!$A261-TabularOutputs!$A$265)</f>
        <v>7009331.9714451144</v>
      </c>
      <c r="G261" s="154">
        <f>G132/(1+TechnicalInputs!$D$2)^(TabularOutputs!$A261-TabularOutputs!$A$265)</f>
        <v>92044582.200356245</v>
      </c>
      <c r="H261" s="154">
        <f>H132/(1+TechnicalInputs!$D$2)^(TabularOutputs!$A261-TabularOutputs!$A$265)</f>
        <v>51356839.239626184</v>
      </c>
      <c r="I261" s="154">
        <f>I132/(1+TechnicalInputs!$D$2)^(TabularOutputs!$A261-TabularOutputs!$A$265)</f>
        <v>0</v>
      </c>
      <c r="J261" s="154">
        <f>J132/(1+TechnicalInputs!$D$2)^(TabularOutputs!$A261-TabularOutputs!$A$265)</f>
        <v>0</v>
      </c>
      <c r="K261" s="154">
        <f>K132/(1+TechnicalInputs!$D$2)^(TabularOutputs!$A261-TabularOutputs!$A$265)</f>
        <v>0</v>
      </c>
      <c r="L261" s="154">
        <f>L132/(1+TechnicalInputs!$D$2)^(TabularOutputs!$A261-TabularOutputs!$A$265)</f>
        <v>0</v>
      </c>
      <c r="M261" s="154">
        <f>M132/(1+TechnicalInputs!$D$2)^(TabularOutputs!$A261-TabularOutputs!$A$265)</f>
        <v>0</v>
      </c>
      <c r="N261" s="154">
        <f>N132/(1+TechnicalInputs!$D$2)^(TabularOutputs!$A261-TabularOutputs!$A$265)</f>
        <v>32641127.148562901</v>
      </c>
      <c r="O261" s="154">
        <f>O132/(1+TechnicalInputs!$D$2)^(TabularOutputs!$A261-TabularOutputs!$A$265)</f>
        <v>0</v>
      </c>
      <c r="P261" s="154">
        <f>P132/(1+TechnicalInputs!$D$2)^(TabularOutputs!$A261-TabularOutputs!$A$265)</f>
        <v>0</v>
      </c>
      <c r="Q261" s="154">
        <f>Q132/(1+TechnicalInputs!$D$2)^(TabularOutputs!$A261-TabularOutputs!$A$265)</f>
        <v>0</v>
      </c>
      <c r="R261" s="154">
        <f>R132/(1+TechnicalInputs!$D$2)^(TabularOutputs!$A261-TabularOutputs!$A$265)</f>
        <v>0</v>
      </c>
      <c r="S261" s="154">
        <f>S132/(1+TechnicalInputs!$D$2)^(TabularOutputs!$A261-TabularOutputs!$A$265)</f>
        <v>0</v>
      </c>
      <c r="T261" s="154">
        <f>T132/(1+TechnicalInputs!$D$2)^(TabularOutputs!$A261-TabularOutputs!$A$265)</f>
        <v>14702584.451802773</v>
      </c>
      <c r="U261" s="154">
        <f>U132/(1+TechnicalInputs!$D$2)^(TabularOutputs!$A261-TabularOutputs!$A$265)</f>
        <v>0</v>
      </c>
      <c r="V261" s="154">
        <f>V132/(1+TechnicalInputs!$D$2)^(TabularOutputs!$A261-TabularOutputs!$A$265)</f>
        <v>0</v>
      </c>
      <c r="W261" s="154">
        <f>W132/(1+TechnicalInputs!$D$2)^(TabularOutputs!$A261-TabularOutputs!$A$265)</f>
        <v>0</v>
      </c>
      <c r="X261" s="154">
        <f>X132/(1+TechnicalInputs!$D$2)^(TabularOutputs!$A261-TabularOutputs!$A$265)</f>
        <v>0</v>
      </c>
      <c r="Y261" s="154">
        <f>Y132/(1+TechnicalInputs!$D$2)^(TabularOutputs!$A261-TabularOutputs!$A$265)</f>
        <v>0</v>
      </c>
      <c r="Z261" s="154">
        <f>Z132/(1+TechnicalInputs!$D$2)^(TabularOutputs!$A261-TabularOutputs!$A$265)</f>
        <v>0</v>
      </c>
      <c r="AA261" s="154">
        <f>AA132/(1+TechnicalInputs!$D$2)^(TabularOutputs!$A261-TabularOutputs!$A$265)</f>
        <v>0</v>
      </c>
      <c r="AB261" s="154">
        <f>AB132/(1+TechnicalInputs!$D$2)^(TabularOutputs!$A261-TabularOutputs!$A$265)</f>
        <v>0</v>
      </c>
      <c r="AC261" s="154">
        <f>AC132/(1+TechnicalInputs!$D$2)^(TabularOutputs!$A261-TabularOutputs!$A$265)</f>
        <v>42386414.999999985</v>
      </c>
      <c r="AD261" s="154">
        <f t="shared" ref="AD261:AD285" si="45">SUM(B261:AC261)</f>
        <v>755915632.13612449</v>
      </c>
      <c r="AE261" s="158"/>
      <c r="AG261" s="142">
        <v>759825704.77037764</v>
      </c>
      <c r="AO261" s="154">
        <f t="shared" ref="AO261:AO285" si="46">SUM(B261:E261)</f>
        <v>515774752.1243313</v>
      </c>
      <c r="AP261" s="154">
        <f t="shared" ref="AP261:AP285" si="47">SUM(F261:M261)</f>
        <v>150410753.41142756</v>
      </c>
      <c r="AQ261" s="154">
        <f t="shared" ref="AQ261:AQ285" si="48">SUM(N261:O261)</f>
        <v>32641127.148562901</v>
      </c>
      <c r="AR261" s="154">
        <f t="shared" ref="AR261:AR285" si="49">SUM(P261:T261)</f>
        <v>14702584.451802773</v>
      </c>
      <c r="AS261" s="154">
        <f t="shared" ref="AS261:AS285" si="50">SUM(U261:AC261)</f>
        <v>42386414.999999985</v>
      </c>
    </row>
    <row r="262" spans="1:45">
      <c r="A262" s="143">
        <f t="shared" ref="A262:A285" si="51">A261+1</f>
        <v>2012</v>
      </c>
      <c r="B262" s="154">
        <f>B133/(1+TechnicalInputs!$D$2)^(TabularOutputs!$A262-TabularOutputs!$A$265)</f>
        <v>322655774.64838481</v>
      </c>
      <c r="C262" s="154">
        <f>C133/(1+TechnicalInputs!$D$2)^(TabularOutputs!$A262-TabularOutputs!$A$265)</f>
        <v>95905345.566980749</v>
      </c>
      <c r="D262" s="154">
        <f>D133/(1+TechnicalInputs!$D$2)^(TabularOutputs!$A262-TabularOutputs!$A$265)</f>
        <v>80423106.070782036</v>
      </c>
      <c r="E262" s="154">
        <f>E133/(1+TechnicalInputs!$D$2)^(TabularOutputs!$A262-TabularOutputs!$A$265)</f>
        <v>0</v>
      </c>
      <c r="F262" s="154">
        <f>F133/(1+TechnicalInputs!$D$2)^(TabularOutputs!$A262-TabularOutputs!$A$265)</f>
        <v>6703612.3135492848</v>
      </c>
      <c r="G262" s="154">
        <f>G133/(1+TechnicalInputs!$D$2)^(TabularOutputs!$A262-TabularOutputs!$A$265)</f>
        <v>90653665.423103571</v>
      </c>
      <c r="H262" s="154">
        <f>H133/(1+TechnicalInputs!$D$2)^(TabularOutputs!$A262-TabularOutputs!$A$265)</f>
        <v>51306154.152910255</v>
      </c>
      <c r="I262" s="154">
        <f>I133/(1+TechnicalInputs!$D$2)^(TabularOutputs!$A262-TabularOutputs!$A$265)</f>
        <v>0</v>
      </c>
      <c r="J262" s="154">
        <f>J133/(1+TechnicalInputs!$D$2)^(TabularOutputs!$A262-TabularOutputs!$A$265)</f>
        <v>0</v>
      </c>
      <c r="K262" s="154">
        <f>K133/(1+TechnicalInputs!$D$2)^(TabularOutputs!$A262-TabularOutputs!$A$265)</f>
        <v>0</v>
      </c>
      <c r="L262" s="154">
        <f>L133/(1+TechnicalInputs!$D$2)^(TabularOutputs!$A262-TabularOutputs!$A$265)</f>
        <v>0</v>
      </c>
      <c r="M262" s="154">
        <f>M133/(1+TechnicalInputs!$D$2)^(TabularOutputs!$A262-TabularOutputs!$A$265)</f>
        <v>0</v>
      </c>
      <c r="N262" s="154">
        <f>N133/(1+TechnicalInputs!$D$2)^(TabularOutputs!$A262-TabularOutputs!$A$265)</f>
        <v>33850812.650405012</v>
      </c>
      <c r="O262" s="154">
        <f>O133/(1+TechnicalInputs!$D$2)^(TabularOutputs!$A262-TabularOutputs!$A$265)</f>
        <v>0</v>
      </c>
      <c r="P262" s="154">
        <f>P133/(1+TechnicalInputs!$D$2)^(TabularOutputs!$A262-TabularOutputs!$A$265)</f>
        <v>0</v>
      </c>
      <c r="Q262" s="154">
        <f>Q133/(1+TechnicalInputs!$D$2)^(TabularOutputs!$A262-TabularOutputs!$A$265)</f>
        <v>0</v>
      </c>
      <c r="R262" s="154">
        <f>R133/(1+TechnicalInputs!$D$2)^(TabularOutputs!$A262-TabularOutputs!$A$265)</f>
        <v>0</v>
      </c>
      <c r="S262" s="154">
        <f>S133/(1+TechnicalInputs!$D$2)^(TabularOutputs!$A262-TabularOutputs!$A$265)</f>
        <v>0</v>
      </c>
      <c r="T262" s="154">
        <f>T133/(1+TechnicalInputs!$D$2)^(TabularOutputs!$A262-TabularOutputs!$A$265)</f>
        <v>17137076.564450279</v>
      </c>
      <c r="U262" s="154">
        <f>U133/(1+TechnicalInputs!$D$2)^(TabularOutputs!$A262-TabularOutputs!$A$265)</f>
        <v>0</v>
      </c>
      <c r="V262" s="154">
        <f>V133/(1+TechnicalInputs!$D$2)^(TabularOutputs!$A262-TabularOutputs!$A$265)</f>
        <v>0</v>
      </c>
      <c r="W262" s="154">
        <f>W133/(1+TechnicalInputs!$D$2)^(TabularOutputs!$A262-TabularOutputs!$A$265)</f>
        <v>0</v>
      </c>
      <c r="X262" s="154">
        <f>X133/(1+TechnicalInputs!$D$2)^(TabularOutputs!$A262-TabularOutputs!$A$265)</f>
        <v>0</v>
      </c>
      <c r="Y262" s="154">
        <f>Y133/(1+TechnicalInputs!$D$2)^(TabularOutputs!$A262-TabularOutputs!$A$265)</f>
        <v>0</v>
      </c>
      <c r="Z262" s="154">
        <f>Z133/(1+TechnicalInputs!$D$2)^(TabularOutputs!$A262-TabularOutputs!$A$265)</f>
        <v>0</v>
      </c>
      <c r="AA262" s="154">
        <f>AA133/(1+TechnicalInputs!$D$2)^(TabularOutputs!$A262-TabularOutputs!$A$265)</f>
        <v>0</v>
      </c>
      <c r="AB262" s="154">
        <f>AB133/(1+TechnicalInputs!$D$2)^(TabularOutputs!$A262-TabularOutputs!$A$265)</f>
        <v>0</v>
      </c>
      <c r="AC262" s="154">
        <f>AC133/(1+TechnicalInputs!$D$2)^(TabularOutputs!$A262-TabularOutputs!$A$265)</f>
        <v>41352599.999999993</v>
      </c>
      <c r="AD262" s="154">
        <f t="shared" si="45"/>
        <v>739988147.39056599</v>
      </c>
      <c r="AE262" s="158"/>
      <c r="AG262" s="142">
        <v>743823957.77056468</v>
      </c>
      <c r="AO262" s="154">
        <f t="shared" si="46"/>
        <v>498984226.28614759</v>
      </c>
      <c r="AP262" s="154">
        <f t="shared" si="47"/>
        <v>148663431.88956311</v>
      </c>
      <c r="AQ262" s="154">
        <f t="shared" si="48"/>
        <v>33850812.650405012</v>
      </c>
      <c r="AR262" s="154">
        <f t="shared" si="49"/>
        <v>17137076.564450279</v>
      </c>
      <c r="AS262" s="154">
        <f t="shared" si="50"/>
        <v>41352599.999999993</v>
      </c>
    </row>
    <row r="263" spans="1:45">
      <c r="A263" s="143">
        <f t="shared" si="51"/>
        <v>2013</v>
      </c>
      <c r="B263" s="154">
        <f>B134/(1+TechnicalInputs!$D$2)^(TabularOutputs!$A263-TabularOutputs!$A$265)</f>
        <v>313125288.50929922</v>
      </c>
      <c r="C263" s="154">
        <f>C134/(1+TechnicalInputs!$D$2)^(TabularOutputs!$A263-TabularOutputs!$A$265)</f>
        <v>95366628.611567661</v>
      </c>
      <c r="D263" s="154">
        <f>D134/(1+TechnicalInputs!$D$2)^(TabularOutputs!$A263-TabularOutputs!$A$265)</f>
        <v>79971084.115885571</v>
      </c>
      <c r="E263" s="154">
        <f>E134/(1+TechnicalInputs!$D$2)^(TabularOutputs!$A263-TabularOutputs!$A$265)</f>
        <v>0</v>
      </c>
      <c r="F263" s="154">
        <f>F134/(1+TechnicalInputs!$D$2)^(TabularOutputs!$A263-TabularOutputs!$A$265)</f>
        <v>6461679.7718100483</v>
      </c>
      <c r="G263" s="154">
        <f>G134/(1+TechnicalInputs!$D$2)^(TabularOutputs!$A263-TabularOutputs!$A$265)</f>
        <v>89503447.438712791</v>
      </c>
      <c r="H263" s="154">
        <f>H134/(1+TechnicalInputs!$D$2)^(TabularOutputs!$A263-TabularOutputs!$A$265)</f>
        <v>51111582.582078725</v>
      </c>
      <c r="I263" s="154">
        <f>I134/(1+TechnicalInputs!$D$2)^(TabularOutputs!$A263-TabularOutputs!$A$265)</f>
        <v>0</v>
      </c>
      <c r="J263" s="154">
        <f>J134/(1+TechnicalInputs!$D$2)^(TabularOutputs!$A263-TabularOutputs!$A$265)</f>
        <v>0</v>
      </c>
      <c r="K263" s="154">
        <f>K134/(1+TechnicalInputs!$D$2)^(TabularOutputs!$A263-TabularOutputs!$A$265)</f>
        <v>0</v>
      </c>
      <c r="L263" s="154">
        <f>L134/(1+TechnicalInputs!$D$2)^(TabularOutputs!$A263-TabularOutputs!$A$265)</f>
        <v>0</v>
      </c>
      <c r="M263" s="154">
        <f>M134/(1+TechnicalInputs!$D$2)^(TabularOutputs!$A263-TabularOutputs!$A$265)</f>
        <v>0</v>
      </c>
      <c r="N263" s="154">
        <f>N134/(1+TechnicalInputs!$D$2)^(TabularOutputs!$A263-TabularOutputs!$A$265)</f>
        <v>34365432.976334594</v>
      </c>
      <c r="O263" s="154">
        <f>O134/(1+TechnicalInputs!$D$2)^(TabularOutputs!$A263-TabularOutputs!$A$265)</f>
        <v>0</v>
      </c>
      <c r="P263" s="154">
        <f>P134/(1+TechnicalInputs!$D$2)^(TabularOutputs!$A263-TabularOutputs!$A$265)</f>
        <v>0</v>
      </c>
      <c r="Q263" s="154">
        <f>Q134/(1+TechnicalInputs!$D$2)^(TabularOutputs!$A263-TabularOutputs!$A$265)</f>
        <v>0</v>
      </c>
      <c r="R263" s="154">
        <f>R134/(1+TechnicalInputs!$D$2)^(TabularOutputs!$A263-TabularOutputs!$A$265)</f>
        <v>0</v>
      </c>
      <c r="S263" s="154">
        <f>S134/(1+TechnicalInputs!$D$2)^(TabularOutputs!$A263-TabularOutputs!$A$265)</f>
        <v>0</v>
      </c>
      <c r="T263" s="154">
        <f>T134/(1+TechnicalInputs!$D$2)^(TabularOutputs!$A263-TabularOutputs!$A$265)</f>
        <v>16756776.055170078</v>
      </c>
      <c r="U263" s="154">
        <f>U134/(1+TechnicalInputs!$D$2)^(TabularOutputs!$A263-TabularOutputs!$A$265)</f>
        <v>0</v>
      </c>
      <c r="V263" s="154">
        <f>V134/(1+TechnicalInputs!$D$2)^(TabularOutputs!$A263-TabularOutputs!$A$265)</f>
        <v>0</v>
      </c>
      <c r="W263" s="154">
        <f>W134/(1+TechnicalInputs!$D$2)^(TabularOutputs!$A263-TabularOutputs!$A$265)</f>
        <v>0</v>
      </c>
      <c r="X263" s="154">
        <f>X134/(1+TechnicalInputs!$D$2)^(TabularOutputs!$A263-TabularOutputs!$A$265)</f>
        <v>0</v>
      </c>
      <c r="Y263" s="154">
        <f>Y134/(1+TechnicalInputs!$D$2)^(TabularOutputs!$A263-TabularOutputs!$A$265)</f>
        <v>0</v>
      </c>
      <c r="Z263" s="154">
        <f>Z134/(1+TechnicalInputs!$D$2)^(TabularOutputs!$A263-TabularOutputs!$A$265)</f>
        <v>0</v>
      </c>
      <c r="AA263" s="154">
        <f>AA134/(1+TechnicalInputs!$D$2)^(TabularOutputs!$A263-TabularOutputs!$A$265)</f>
        <v>0</v>
      </c>
      <c r="AB263" s="154">
        <f>AB134/(1+TechnicalInputs!$D$2)^(TabularOutputs!$A263-TabularOutputs!$A$265)</f>
        <v>0</v>
      </c>
      <c r="AC263" s="154">
        <f>AC134/(1+TechnicalInputs!$D$2)^(TabularOutputs!$A263-TabularOutputs!$A$265)</f>
        <v>40344000</v>
      </c>
      <c r="AD263" s="154">
        <f t="shared" si="45"/>
        <v>727005920.06085861</v>
      </c>
      <c r="AE263" s="158"/>
      <c r="AG263" s="142">
        <v>730785860.77409852</v>
      </c>
      <c r="AO263" s="154">
        <f t="shared" si="46"/>
        <v>488463001.23675245</v>
      </c>
      <c r="AP263" s="154">
        <f t="shared" si="47"/>
        <v>147076709.79260159</v>
      </c>
      <c r="AQ263" s="154">
        <f t="shared" si="48"/>
        <v>34365432.976334594</v>
      </c>
      <c r="AR263" s="154">
        <f t="shared" si="49"/>
        <v>16756776.055170078</v>
      </c>
      <c r="AS263" s="154">
        <f t="shared" si="50"/>
        <v>40344000</v>
      </c>
    </row>
    <row r="264" spans="1:45">
      <c r="A264" s="143">
        <f t="shared" si="51"/>
        <v>2014</v>
      </c>
      <c r="B264" s="154">
        <f>B135/(1+TechnicalInputs!$D$2)^(TabularOutputs!$A264-TabularOutputs!$A$265)</f>
        <v>301794431.19822389</v>
      </c>
      <c r="C264" s="154">
        <f>C135/(1+TechnicalInputs!$D$2)^(TabularOutputs!$A264-TabularOutputs!$A$265)</f>
        <v>93792438.507498935</v>
      </c>
      <c r="D264" s="154">
        <f>D135/(1+TechnicalInputs!$D$2)^(TabularOutputs!$A264-TabularOutputs!$A$265)</f>
        <v>78653218.191496909</v>
      </c>
      <c r="E264" s="154">
        <f>E135/(1+TechnicalInputs!$D$2)^(TabularOutputs!$A264-TabularOutputs!$A$265)</f>
        <v>0</v>
      </c>
      <c r="F264" s="154">
        <f>F135/(1+TechnicalInputs!$D$2)^(TabularOutputs!$A264-TabularOutputs!$A$265)</f>
        <v>6281670.7726561464</v>
      </c>
      <c r="G264" s="154">
        <f>G135/(1+TechnicalInputs!$D$2)^(TabularOutputs!$A264-TabularOutputs!$A$265)</f>
        <v>88199634.277451947</v>
      </c>
      <c r="H264" s="154">
        <f>H135/(1+TechnicalInputs!$D$2)^(TabularOutputs!$A264-TabularOutputs!$A$265)</f>
        <v>51550705.354324766</v>
      </c>
      <c r="I264" s="154">
        <f>I135/(1+TechnicalInputs!$D$2)^(TabularOutputs!$A264-TabularOutputs!$A$265)</f>
        <v>0</v>
      </c>
      <c r="J264" s="154">
        <f>J135/(1+TechnicalInputs!$D$2)^(TabularOutputs!$A264-TabularOutputs!$A$265)</f>
        <v>0</v>
      </c>
      <c r="K264" s="154">
        <f>K135/(1+TechnicalInputs!$D$2)^(TabularOutputs!$A264-TabularOutputs!$A$265)</f>
        <v>0</v>
      </c>
      <c r="L264" s="154">
        <f>L135/(1+TechnicalInputs!$D$2)^(TabularOutputs!$A264-TabularOutputs!$A$265)</f>
        <v>0</v>
      </c>
      <c r="M264" s="154">
        <f>M135/(1+TechnicalInputs!$D$2)^(TabularOutputs!$A264-TabularOutputs!$A$265)</f>
        <v>0</v>
      </c>
      <c r="N264" s="154">
        <f>N135/(1+TechnicalInputs!$D$2)^(TabularOutputs!$A264-TabularOutputs!$A$265)</f>
        <v>34352434.178241543</v>
      </c>
      <c r="O264" s="154">
        <f>O135/(1+TechnicalInputs!$D$2)^(TabularOutputs!$A264-TabularOutputs!$A$265)</f>
        <v>0</v>
      </c>
      <c r="P264" s="154">
        <f>P135/(1+TechnicalInputs!$D$2)^(TabularOutputs!$A264-TabularOutputs!$A$265)</f>
        <v>0</v>
      </c>
      <c r="Q264" s="154">
        <f>Q135/(1+TechnicalInputs!$D$2)^(TabularOutputs!$A264-TabularOutputs!$A$265)</f>
        <v>0</v>
      </c>
      <c r="R264" s="154">
        <f>R135/(1+TechnicalInputs!$D$2)^(TabularOutputs!$A264-TabularOutputs!$A$265)</f>
        <v>0</v>
      </c>
      <c r="S264" s="154">
        <f>S135/(1+TechnicalInputs!$D$2)^(TabularOutputs!$A264-TabularOutputs!$A$265)</f>
        <v>0</v>
      </c>
      <c r="T264" s="154">
        <f>T135/(1+TechnicalInputs!$D$2)^(TabularOutputs!$A264-TabularOutputs!$A$265)</f>
        <v>18594417.253932945</v>
      </c>
      <c r="U264" s="154">
        <f>U135/(1+TechnicalInputs!$D$2)^(TabularOutputs!$A264-TabularOutputs!$A$265)</f>
        <v>0</v>
      </c>
      <c r="V264" s="154">
        <f>V135/(1+TechnicalInputs!$D$2)^(TabularOutputs!$A264-TabularOutputs!$A$265)</f>
        <v>0</v>
      </c>
      <c r="W264" s="154">
        <f>W135/(1+TechnicalInputs!$D$2)^(TabularOutputs!$A264-TabularOutputs!$A$265)</f>
        <v>0</v>
      </c>
      <c r="X264" s="154">
        <f>X135/(1+TechnicalInputs!$D$2)^(TabularOutputs!$A264-TabularOutputs!$A$265)</f>
        <v>0</v>
      </c>
      <c r="Y264" s="154">
        <f>Y135/(1+TechnicalInputs!$D$2)^(TabularOutputs!$A264-TabularOutputs!$A$265)</f>
        <v>0</v>
      </c>
      <c r="Z264" s="154">
        <f>Z135/(1+TechnicalInputs!$D$2)^(TabularOutputs!$A264-TabularOutputs!$A$265)</f>
        <v>0</v>
      </c>
      <c r="AA264" s="154">
        <f>AA135/(1+TechnicalInputs!$D$2)^(TabularOutputs!$A264-TabularOutputs!$A$265)</f>
        <v>0</v>
      </c>
      <c r="AB264" s="154">
        <f>AB135/(1+TechnicalInputs!$D$2)^(TabularOutputs!$A264-TabularOutputs!$A$265)</f>
        <v>0</v>
      </c>
      <c r="AC264" s="154">
        <f>AC135/(1+TechnicalInputs!$D$2)^(TabularOutputs!$A264-TabularOutputs!$A$265)</f>
        <v>39360000</v>
      </c>
      <c r="AD264" s="154">
        <f t="shared" si="45"/>
        <v>712578949.73382711</v>
      </c>
      <c r="AE264" s="158"/>
      <c r="AG264" s="142">
        <v>716322812.2519083</v>
      </c>
      <c r="AO264" s="154">
        <f t="shared" si="46"/>
        <v>474240087.89721972</v>
      </c>
      <c r="AP264" s="154">
        <f t="shared" si="47"/>
        <v>146032010.40443286</v>
      </c>
      <c r="AQ264" s="154">
        <f t="shared" si="48"/>
        <v>34352434.178241543</v>
      </c>
      <c r="AR264" s="154">
        <f t="shared" si="49"/>
        <v>18594417.253932945</v>
      </c>
      <c r="AS264" s="154">
        <f t="shared" si="50"/>
        <v>39360000</v>
      </c>
    </row>
    <row r="265" spans="1:45">
      <c r="A265" s="143">
        <f t="shared" si="51"/>
        <v>2015</v>
      </c>
      <c r="B265" s="154">
        <f>B136/(1+TechnicalInputs!$D$2)^(TabularOutputs!$A265-TabularOutputs!$A$265)</f>
        <v>283015760.14993852</v>
      </c>
      <c r="C265" s="154">
        <f>C136/(1+TechnicalInputs!$D$2)^(TabularOutputs!$A265-TabularOutputs!$A$265)</f>
        <v>92214265.278445289</v>
      </c>
      <c r="D265" s="154">
        <f>D136/(1+TechnicalInputs!$D$2)^(TabularOutputs!$A265-TabularOutputs!$A$265)</f>
        <v>77330111.804722652</v>
      </c>
      <c r="E265" s="154">
        <f>E136/(1+TechnicalInputs!$D$2)^(TabularOutputs!$A265-TabularOutputs!$A$265)</f>
        <v>0</v>
      </c>
      <c r="F265" s="154">
        <f>F136/(1+TechnicalInputs!$D$2)^(TabularOutputs!$A265-TabularOutputs!$A$265)</f>
        <v>6169471.9621516159</v>
      </c>
      <c r="G265" s="154">
        <f>G136/(1+TechnicalInputs!$D$2)^(TabularOutputs!$A265-TabularOutputs!$A$265)</f>
        <v>86799065.999111965</v>
      </c>
      <c r="H265" s="154">
        <f>H136/(1+TechnicalInputs!$D$2)^(TabularOutputs!$A265-TabularOutputs!$A$265)</f>
        <v>49573166.94640509</v>
      </c>
      <c r="I265" s="154">
        <f>I136/(1+TechnicalInputs!$D$2)^(TabularOutputs!$A265-TabularOutputs!$A$265)</f>
        <v>0</v>
      </c>
      <c r="J265" s="154">
        <f>J136/(1+TechnicalInputs!$D$2)^(TabularOutputs!$A265-TabularOutputs!$A$265)</f>
        <v>0</v>
      </c>
      <c r="K265" s="154">
        <f>K136/(1+TechnicalInputs!$D$2)^(TabularOutputs!$A265-TabularOutputs!$A$265)</f>
        <v>0</v>
      </c>
      <c r="L265" s="154">
        <f>L136/(1+TechnicalInputs!$D$2)^(TabularOutputs!$A265-TabularOutputs!$A$265)</f>
        <v>0</v>
      </c>
      <c r="M265" s="154">
        <f>M136/(1+TechnicalInputs!$D$2)^(TabularOutputs!$A265-TabularOutputs!$A$265)</f>
        <v>0</v>
      </c>
      <c r="N265" s="154">
        <f>N136/(1+TechnicalInputs!$D$2)^(TabularOutputs!$A265-TabularOutputs!$A$265)</f>
        <v>34709004.588758908</v>
      </c>
      <c r="O265" s="154">
        <f>O136/(1+TechnicalInputs!$D$2)^(TabularOutputs!$A265-TabularOutputs!$A$265)</f>
        <v>0</v>
      </c>
      <c r="P265" s="154">
        <f>P136/(1+TechnicalInputs!$D$2)^(TabularOutputs!$A265-TabularOutputs!$A$265)</f>
        <v>0</v>
      </c>
      <c r="Q265" s="154">
        <f>Q136/(1+TechnicalInputs!$D$2)^(TabularOutputs!$A265-TabularOutputs!$A$265)</f>
        <v>0</v>
      </c>
      <c r="R265" s="154">
        <f>R136/(1+TechnicalInputs!$D$2)^(TabularOutputs!$A265-TabularOutputs!$A$265)</f>
        <v>0</v>
      </c>
      <c r="S265" s="154">
        <f>S136/(1+TechnicalInputs!$D$2)^(TabularOutputs!$A265-TabularOutputs!$A$265)</f>
        <v>0</v>
      </c>
      <c r="T265" s="154">
        <f>T136/(1+TechnicalInputs!$D$2)^(TabularOutputs!$A265-TabularOutputs!$A$265)</f>
        <v>18999667.9639608</v>
      </c>
      <c r="U265" s="154">
        <f>U136/(1+TechnicalInputs!$D$2)^(TabularOutputs!$A265-TabularOutputs!$A$265)</f>
        <v>0</v>
      </c>
      <c r="V265" s="154">
        <f>V136/(1+TechnicalInputs!$D$2)^(TabularOutputs!$A265-TabularOutputs!$A$265)</f>
        <v>0</v>
      </c>
      <c r="W265" s="154">
        <f>W136/(1+TechnicalInputs!$D$2)^(TabularOutputs!$A265-TabularOutputs!$A$265)</f>
        <v>0</v>
      </c>
      <c r="X265" s="154">
        <f>X136/(1+TechnicalInputs!$D$2)^(TabularOutputs!$A265-TabularOutputs!$A$265)</f>
        <v>0</v>
      </c>
      <c r="Y265" s="154">
        <f>Y136/(1+TechnicalInputs!$D$2)^(TabularOutputs!$A265-TabularOutputs!$A$265)</f>
        <v>0</v>
      </c>
      <c r="Z265" s="154">
        <f>Z136/(1+TechnicalInputs!$D$2)^(TabularOutputs!$A265-TabularOutputs!$A$265)</f>
        <v>0</v>
      </c>
      <c r="AA265" s="154">
        <f>AA136/(1+TechnicalInputs!$D$2)^(TabularOutputs!$A265-TabularOutputs!$A$265)</f>
        <v>0</v>
      </c>
      <c r="AB265" s="154">
        <f>AB136/(1+TechnicalInputs!$D$2)^(TabularOutputs!$A265-TabularOutputs!$A$265)</f>
        <v>0</v>
      </c>
      <c r="AC265" s="154">
        <f>AC136/(1+TechnicalInputs!$D$2)^(TabularOutputs!$A265-TabularOutputs!$A$265)</f>
        <v>38784000</v>
      </c>
      <c r="AD265" s="154">
        <f t="shared" si="45"/>
        <v>687594514.6934948</v>
      </c>
      <c r="AE265" s="158"/>
      <c r="AG265" s="142">
        <v>691380044.08221364</v>
      </c>
      <c r="AO265" s="154">
        <f t="shared" si="46"/>
        <v>452560137.23310649</v>
      </c>
      <c r="AP265" s="154">
        <f t="shared" si="47"/>
        <v>142541704.90766868</v>
      </c>
      <c r="AQ265" s="154">
        <f t="shared" si="48"/>
        <v>34709004.588758908</v>
      </c>
      <c r="AR265" s="154">
        <f t="shared" si="49"/>
        <v>18999667.9639608</v>
      </c>
      <c r="AS265" s="154">
        <f t="shared" si="50"/>
        <v>38784000</v>
      </c>
    </row>
    <row r="266" spans="1:45">
      <c r="A266" s="143">
        <f t="shared" si="51"/>
        <v>2016</v>
      </c>
      <c r="B266" s="154">
        <f>B137/(1+TechnicalInputs!$D$2)^(TabularOutputs!$A266-TabularOutputs!$A$265)</f>
        <v>273921397.2899701</v>
      </c>
      <c r="C266" s="154">
        <f>C137/(1+TechnicalInputs!$D$2)^(TabularOutputs!$A266-TabularOutputs!$A$265)</f>
        <v>90688631.181361422</v>
      </c>
      <c r="D266" s="154">
        <f>D137/(1+TechnicalInputs!$D$2)^(TabularOutputs!$A266-TabularOutputs!$A$265)</f>
        <v>76050982.185698628</v>
      </c>
      <c r="E266" s="154">
        <f>E137/(1+TechnicalInputs!$D$2)^(TabularOutputs!$A266-TabularOutputs!$A$265)</f>
        <v>0</v>
      </c>
      <c r="F266" s="154">
        <f>F137/(1+TechnicalInputs!$D$2)^(TabularOutputs!$A266-TabularOutputs!$A$265)</f>
        <v>5999346.7870182712</v>
      </c>
      <c r="G266" s="154">
        <f>G137/(1+TechnicalInputs!$D$2)^(TabularOutputs!$A266-TabularOutputs!$A$265)</f>
        <v>85419788.630059823</v>
      </c>
      <c r="H266" s="154">
        <f>H137/(1+TechnicalInputs!$D$2)^(TabularOutputs!$A266-TabularOutputs!$A$265)</f>
        <v>48695609.332964383</v>
      </c>
      <c r="I266" s="154">
        <f>I137/(1+TechnicalInputs!$D$2)^(TabularOutputs!$A266-TabularOutputs!$A$265)</f>
        <v>0</v>
      </c>
      <c r="J266" s="154">
        <f>J137/(1+TechnicalInputs!$D$2)^(TabularOutputs!$A266-TabularOutputs!$A$265)</f>
        <v>0</v>
      </c>
      <c r="K266" s="154">
        <f>K137/(1+TechnicalInputs!$D$2)^(TabularOutputs!$A266-TabularOutputs!$A$265)</f>
        <v>0</v>
      </c>
      <c r="L266" s="154">
        <f>L137/(1+TechnicalInputs!$D$2)^(TabularOutputs!$A266-TabularOutputs!$A$265)</f>
        <v>0</v>
      </c>
      <c r="M266" s="154">
        <f>M137/(1+TechnicalInputs!$D$2)^(TabularOutputs!$A266-TabularOutputs!$A$265)</f>
        <v>0</v>
      </c>
      <c r="N266" s="154">
        <f>N137/(1+TechnicalInputs!$D$2)^(TabularOutputs!$A266-TabularOutputs!$A$265)</f>
        <v>35210101.189897597</v>
      </c>
      <c r="O266" s="154">
        <f>O137/(1+TechnicalInputs!$D$2)^(TabularOutputs!$A266-TabularOutputs!$A$265)</f>
        <v>0</v>
      </c>
      <c r="P266" s="154">
        <f>P137/(1+TechnicalInputs!$D$2)^(TabularOutputs!$A266-TabularOutputs!$A$265)</f>
        <v>0</v>
      </c>
      <c r="Q266" s="154">
        <f>Q137/(1+TechnicalInputs!$D$2)^(TabularOutputs!$A266-TabularOutputs!$A$265)</f>
        <v>0</v>
      </c>
      <c r="R266" s="154">
        <f>R137/(1+TechnicalInputs!$D$2)^(TabularOutputs!$A266-TabularOutputs!$A$265)</f>
        <v>0</v>
      </c>
      <c r="S266" s="154">
        <f>S137/(1+TechnicalInputs!$D$2)^(TabularOutputs!$A266-TabularOutputs!$A$265)</f>
        <v>0</v>
      </c>
      <c r="T266" s="154">
        <f>T137/(1+TechnicalInputs!$D$2)^(TabularOutputs!$A266-TabularOutputs!$A$265)</f>
        <v>19164292.938195944</v>
      </c>
      <c r="U266" s="154">
        <f>U137/(1+TechnicalInputs!$D$2)^(TabularOutputs!$A266-TabularOutputs!$A$265)</f>
        <v>0</v>
      </c>
      <c r="V266" s="154">
        <f>V137/(1+TechnicalInputs!$D$2)^(TabularOutputs!$A266-TabularOutputs!$A$265)</f>
        <v>0</v>
      </c>
      <c r="W266" s="154">
        <f>W137/(1+TechnicalInputs!$D$2)^(TabularOutputs!$A266-TabularOutputs!$A$265)</f>
        <v>0</v>
      </c>
      <c r="X266" s="154">
        <f>X137/(1+TechnicalInputs!$D$2)^(TabularOutputs!$A266-TabularOutputs!$A$265)</f>
        <v>0</v>
      </c>
      <c r="Y266" s="154">
        <f>Y137/(1+TechnicalInputs!$D$2)^(TabularOutputs!$A266-TabularOutputs!$A$265)</f>
        <v>0</v>
      </c>
      <c r="Z266" s="154">
        <f>Z137/(1+TechnicalInputs!$D$2)^(TabularOutputs!$A266-TabularOutputs!$A$265)</f>
        <v>0</v>
      </c>
      <c r="AA266" s="154">
        <f>AA137/(1+TechnicalInputs!$D$2)^(TabularOutputs!$A266-TabularOutputs!$A$265)</f>
        <v>0</v>
      </c>
      <c r="AB266" s="154">
        <f>AB137/(1+TechnicalInputs!$D$2)^(TabularOutputs!$A266-TabularOutputs!$A$265)</f>
        <v>0</v>
      </c>
      <c r="AC266" s="154">
        <f>AC137/(1+TechnicalInputs!$D$2)^(TabularOutputs!$A266-TabularOutputs!$A$265)</f>
        <v>38216429.268292688</v>
      </c>
      <c r="AD266" s="154">
        <f t="shared" si="45"/>
        <v>673366578.80345893</v>
      </c>
      <c r="AE266" s="158"/>
      <c r="AG266" s="142">
        <v>677190736.27779222</v>
      </c>
      <c r="AO266" s="154">
        <f t="shared" si="46"/>
        <v>440661010.65703017</v>
      </c>
      <c r="AP266" s="154">
        <f t="shared" si="47"/>
        <v>140114744.75004247</v>
      </c>
      <c r="AQ266" s="154">
        <f t="shared" si="48"/>
        <v>35210101.189897597</v>
      </c>
      <c r="AR266" s="154">
        <f t="shared" si="49"/>
        <v>19164292.938195944</v>
      </c>
      <c r="AS266" s="154">
        <f t="shared" si="50"/>
        <v>38216429.268292688</v>
      </c>
    </row>
    <row r="267" spans="1:45">
      <c r="A267" s="143">
        <f t="shared" si="51"/>
        <v>2017</v>
      </c>
      <c r="B267" s="154">
        <f>B138/(1+TechnicalInputs!$D$2)^(TabularOutputs!$A267-TabularOutputs!$A$265)</f>
        <v>413809844.41349518</v>
      </c>
      <c r="C267" s="154">
        <f>C138/(1+TechnicalInputs!$D$2)^(TabularOutputs!$A267-TabularOutputs!$A$265)</f>
        <v>88885358.579119235</v>
      </c>
      <c r="D267" s="154">
        <f>D138/(1+TechnicalInputs!$D$2)^(TabularOutputs!$A267-TabularOutputs!$A$265)</f>
        <v>74539053.567862779</v>
      </c>
      <c r="E267" s="154">
        <f>E138/(1+TechnicalInputs!$D$2)^(TabularOutputs!$A267-TabularOutputs!$A$265)</f>
        <v>0</v>
      </c>
      <c r="F267" s="154">
        <f>F138/(1+TechnicalInputs!$D$2)^(TabularOutputs!$A267-TabularOutputs!$A$265)</f>
        <v>5832017.5096842358</v>
      </c>
      <c r="G267" s="154">
        <f>G138/(1+TechnicalInputs!$D$2)^(TabularOutputs!$A267-TabularOutputs!$A$265)</f>
        <v>84060384.98623994</v>
      </c>
      <c r="H267" s="154">
        <f>H138/(1+TechnicalInputs!$D$2)^(TabularOutputs!$A267-TabularOutputs!$A$265)</f>
        <v>47869320.46973142</v>
      </c>
      <c r="I267" s="154">
        <f>I138/(1+TechnicalInputs!$D$2)^(TabularOutputs!$A267-TabularOutputs!$A$265)</f>
        <v>0</v>
      </c>
      <c r="J267" s="154">
        <f>J138/(1+TechnicalInputs!$D$2)^(TabularOutputs!$A267-TabularOutputs!$A$265)</f>
        <v>0</v>
      </c>
      <c r="K267" s="154">
        <f>K138/(1+TechnicalInputs!$D$2)^(TabularOutputs!$A267-TabularOutputs!$A$265)</f>
        <v>0</v>
      </c>
      <c r="L267" s="154">
        <f>L138/(1+TechnicalInputs!$D$2)^(TabularOutputs!$A267-TabularOutputs!$A$265)</f>
        <v>0</v>
      </c>
      <c r="M267" s="154">
        <f>M138/(1+TechnicalInputs!$D$2)^(TabularOutputs!$A267-TabularOutputs!$A$265)</f>
        <v>0</v>
      </c>
      <c r="N267" s="154">
        <f>N138/(1+TechnicalInputs!$D$2)^(TabularOutputs!$A267-TabularOutputs!$A$265)</f>
        <v>35581391.78453362</v>
      </c>
      <c r="O267" s="154">
        <f>O138/(1+TechnicalInputs!$D$2)^(TabularOutputs!$A267-TabularOutputs!$A$265)</f>
        <v>0</v>
      </c>
      <c r="P267" s="154">
        <f>P138/(1+TechnicalInputs!$D$2)^(TabularOutputs!$A267-TabularOutputs!$A$265)</f>
        <v>0</v>
      </c>
      <c r="Q267" s="154">
        <f>Q138/(1+TechnicalInputs!$D$2)^(TabularOutputs!$A267-TabularOutputs!$A$265)</f>
        <v>0</v>
      </c>
      <c r="R267" s="154">
        <f>R138/(1+TechnicalInputs!$D$2)^(TabularOutputs!$A267-TabularOutputs!$A$265)</f>
        <v>0</v>
      </c>
      <c r="S267" s="154">
        <f>S138/(1+TechnicalInputs!$D$2)^(TabularOutputs!$A267-TabularOutputs!$A$265)</f>
        <v>0</v>
      </c>
      <c r="T267" s="154">
        <f>T138/(1+TechnicalInputs!$D$2)^(TabularOutputs!$A267-TabularOutputs!$A$265)</f>
        <v>19410173.64861162</v>
      </c>
      <c r="U267" s="154">
        <f>U138/(1+TechnicalInputs!$D$2)^(TabularOutputs!$A267-TabularOutputs!$A$265)</f>
        <v>0</v>
      </c>
      <c r="V267" s="154">
        <f>V138/(1+TechnicalInputs!$D$2)^(TabularOutputs!$A267-TabularOutputs!$A$265)</f>
        <v>0</v>
      </c>
      <c r="W267" s="154">
        <f>W138/(1+TechnicalInputs!$D$2)^(TabularOutputs!$A267-TabularOutputs!$A$265)</f>
        <v>0</v>
      </c>
      <c r="X267" s="154">
        <f>X138/(1+TechnicalInputs!$D$2)^(TabularOutputs!$A267-TabularOutputs!$A$265)</f>
        <v>0</v>
      </c>
      <c r="Y267" s="154">
        <f>Y138/(1+TechnicalInputs!$D$2)^(TabularOutputs!$A267-TabularOutputs!$A$265)</f>
        <v>0</v>
      </c>
      <c r="Z267" s="154">
        <f>Z138/(1+TechnicalInputs!$D$2)^(TabularOutputs!$A267-TabularOutputs!$A$265)</f>
        <v>0</v>
      </c>
      <c r="AA267" s="154">
        <f>AA138/(1+TechnicalInputs!$D$2)^(TabularOutputs!$A267-TabularOutputs!$A$265)</f>
        <v>0</v>
      </c>
      <c r="AB267" s="154">
        <f>AB138/(1+TechnicalInputs!$D$2)^(TabularOutputs!$A267-TabularOutputs!$A$265)</f>
        <v>0</v>
      </c>
      <c r="AC267" s="154">
        <f>AC138/(1+TechnicalInputs!$D$2)^(TabularOutputs!$A267-TabularOutputs!$A$265)</f>
        <v>37657164.449732304</v>
      </c>
      <c r="AD267" s="154">
        <f t="shared" si="45"/>
        <v>807644709.40901029</v>
      </c>
      <c r="AE267" s="158"/>
      <c r="AG267" s="142">
        <v>661698895.57368517</v>
      </c>
      <c r="AO267" s="154">
        <f t="shared" si="46"/>
        <v>577234256.56047714</v>
      </c>
      <c r="AP267" s="154">
        <f t="shared" si="47"/>
        <v>137761722.9656556</v>
      </c>
      <c r="AQ267" s="154">
        <f t="shared" si="48"/>
        <v>35581391.78453362</v>
      </c>
      <c r="AR267" s="154">
        <f t="shared" si="49"/>
        <v>19410173.64861162</v>
      </c>
      <c r="AS267" s="154">
        <f t="shared" si="50"/>
        <v>37657164.449732304</v>
      </c>
    </row>
    <row r="268" spans="1:45">
      <c r="A268" s="143">
        <f t="shared" si="51"/>
        <v>2018</v>
      </c>
      <c r="B268" s="154">
        <f>B139/(1+TechnicalInputs!$D$2)^(TabularOutputs!$A268-TabularOutputs!$A$265)</f>
        <v>398617525.65197557</v>
      </c>
      <c r="C268" s="154">
        <f>C139/(1+TechnicalInputs!$D$2)^(TabularOutputs!$A268-TabularOutputs!$A$265)</f>
        <v>87209968.827009276</v>
      </c>
      <c r="D268" s="154">
        <f>D139/(1+TechnicalInputs!$D$2)^(TabularOutputs!$A268-TabularOutputs!$A$265)</f>
        <v>73134364.676351979</v>
      </c>
      <c r="E268" s="154">
        <f>E139/(1+TechnicalInputs!$D$2)^(TabularOutputs!$A268-TabularOutputs!$A$265)</f>
        <v>0</v>
      </c>
      <c r="F268" s="154">
        <f>F139/(1+TechnicalInputs!$D$2)^(TabularOutputs!$A268-TabularOutputs!$A$265)</f>
        <v>5667430.4991919165</v>
      </c>
      <c r="G268" s="154">
        <f>G139/(1+TechnicalInputs!$D$2)^(TabularOutputs!$A268-TabularOutputs!$A$265)</f>
        <v>82719109.037401736</v>
      </c>
      <c r="H268" s="154">
        <f>H139/(1+TechnicalInputs!$D$2)^(TabularOutputs!$A268-TabularOutputs!$A$265)</f>
        <v>46884114.546195984</v>
      </c>
      <c r="I268" s="154">
        <f>I139/(1+TechnicalInputs!$D$2)^(TabularOutputs!$A268-TabularOutputs!$A$265)</f>
        <v>0</v>
      </c>
      <c r="J268" s="154">
        <f>J139/(1+TechnicalInputs!$D$2)^(TabularOutputs!$A268-TabularOutputs!$A$265)</f>
        <v>0</v>
      </c>
      <c r="K268" s="154">
        <f>K139/(1+TechnicalInputs!$D$2)^(TabularOutputs!$A268-TabularOutputs!$A$265)</f>
        <v>0</v>
      </c>
      <c r="L268" s="154">
        <f>L139/(1+TechnicalInputs!$D$2)^(TabularOutputs!$A268-TabularOutputs!$A$265)</f>
        <v>0</v>
      </c>
      <c r="M268" s="154">
        <f>M139/(1+TechnicalInputs!$D$2)^(TabularOutputs!$A268-TabularOutputs!$A$265)</f>
        <v>0</v>
      </c>
      <c r="N268" s="154">
        <f>N139/(1+TechnicalInputs!$D$2)^(TabularOutputs!$A268-TabularOutputs!$A$265)</f>
        <v>35963581.580995478</v>
      </c>
      <c r="O268" s="154">
        <f>O139/(1+TechnicalInputs!$D$2)^(TabularOutputs!$A268-TabularOutputs!$A$265)</f>
        <v>0</v>
      </c>
      <c r="P268" s="154">
        <f>P139/(1+TechnicalInputs!$D$2)^(TabularOutputs!$A268-TabularOutputs!$A$265)</f>
        <v>0</v>
      </c>
      <c r="Q268" s="154">
        <f>Q139/(1+TechnicalInputs!$D$2)^(TabularOutputs!$A268-TabularOutputs!$A$265)</f>
        <v>0</v>
      </c>
      <c r="R268" s="154">
        <f>R139/(1+TechnicalInputs!$D$2)^(TabularOutputs!$A268-TabularOutputs!$A$265)</f>
        <v>0</v>
      </c>
      <c r="S268" s="154">
        <f>S139/(1+TechnicalInputs!$D$2)^(TabularOutputs!$A268-TabularOutputs!$A$265)</f>
        <v>0</v>
      </c>
      <c r="T268" s="154">
        <f>T139/(1+TechnicalInputs!$D$2)^(TabularOutputs!$A268-TabularOutputs!$A$265)</f>
        <v>19604103.908549532</v>
      </c>
      <c r="U268" s="154">
        <f>U139/(1+TechnicalInputs!$D$2)^(TabularOutputs!$A268-TabularOutputs!$A$265)</f>
        <v>0</v>
      </c>
      <c r="V268" s="154">
        <f>V139/(1+TechnicalInputs!$D$2)^(TabularOutputs!$A268-TabularOutputs!$A$265)</f>
        <v>0</v>
      </c>
      <c r="W268" s="154">
        <f>W139/(1+TechnicalInputs!$D$2)^(TabularOutputs!$A268-TabularOutputs!$A$265)</f>
        <v>0</v>
      </c>
      <c r="X268" s="154">
        <f>X139/(1+TechnicalInputs!$D$2)^(TabularOutputs!$A268-TabularOutputs!$A$265)</f>
        <v>0</v>
      </c>
      <c r="Y268" s="154">
        <f>Y139/(1+TechnicalInputs!$D$2)^(TabularOutputs!$A268-TabularOutputs!$A$265)</f>
        <v>0</v>
      </c>
      <c r="Z268" s="154">
        <f>Z139/(1+TechnicalInputs!$D$2)^(TabularOutputs!$A268-TabularOutputs!$A$265)</f>
        <v>0</v>
      </c>
      <c r="AA268" s="154">
        <f>AA139/(1+TechnicalInputs!$D$2)^(TabularOutputs!$A268-TabularOutputs!$A$265)</f>
        <v>0</v>
      </c>
      <c r="AB268" s="154">
        <f>AB139/(1+TechnicalInputs!$D$2)^(TabularOutputs!$A268-TabularOutputs!$A$265)</f>
        <v>0</v>
      </c>
      <c r="AC268" s="154">
        <f>AC139/(1+TechnicalInputs!$D$2)^(TabularOutputs!$A268-TabularOutputs!$A$265)</f>
        <v>37106083.994370371</v>
      </c>
      <c r="AD268" s="154">
        <f t="shared" si="45"/>
        <v>786906282.72204185</v>
      </c>
      <c r="AE268" s="158"/>
      <c r="AG268" s="142">
        <v>646426167.38669121</v>
      </c>
      <c r="AO268" s="154">
        <f t="shared" si="46"/>
        <v>558961859.15533686</v>
      </c>
      <c r="AP268" s="154">
        <f t="shared" si="47"/>
        <v>135270654.08278963</v>
      </c>
      <c r="AQ268" s="154">
        <f t="shared" si="48"/>
        <v>35963581.580995478</v>
      </c>
      <c r="AR268" s="154">
        <f t="shared" si="49"/>
        <v>19604103.908549532</v>
      </c>
      <c r="AS268" s="154">
        <f t="shared" si="50"/>
        <v>37106083.994370371</v>
      </c>
    </row>
    <row r="269" spans="1:45">
      <c r="A269" s="143">
        <f t="shared" si="51"/>
        <v>2019</v>
      </c>
      <c r="B269" s="154">
        <f>B140/(1+TechnicalInputs!$D$2)^(TabularOutputs!$A269-TabularOutputs!$A$265)</f>
        <v>383735031.67644382</v>
      </c>
      <c r="C269" s="154">
        <f>C140/(1+TechnicalInputs!$D$2)^(TabularOutputs!$A269-TabularOutputs!$A$265)</f>
        <v>85753104.265235215</v>
      </c>
      <c r="D269" s="154">
        <f>D140/(1+TechnicalInputs!$D$2)^(TabularOutputs!$A269-TabularOutputs!$A$265)</f>
        <v>71912908.303645998</v>
      </c>
      <c r="E269" s="154">
        <f>E140/(1+TechnicalInputs!$D$2)^(TabularOutputs!$A269-TabularOutputs!$A$265)</f>
        <v>0</v>
      </c>
      <c r="F269" s="154">
        <f>F140/(1+TechnicalInputs!$D$2)^(TabularOutputs!$A269-TabularOutputs!$A$265)</f>
        <v>5505533.1007509837</v>
      </c>
      <c r="G269" s="154">
        <f>G140/(1+TechnicalInputs!$D$2)^(TabularOutputs!$A269-TabularOutputs!$A$265)</f>
        <v>81397361.180409238</v>
      </c>
      <c r="H269" s="154">
        <f>H140/(1+TechnicalInputs!$D$2)^(TabularOutputs!$A269-TabularOutputs!$A$265)</f>
        <v>45896750.927475102</v>
      </c>
      <c r="I269" s="154">
        <f>I140/(1+TechnicalInputs!$D$2)^(TabularOutputs!$A269-TabularOutputs!$A$265)</f>
        <v>0</v>
      </c>
      <c r="J269" s="154">
        <f>J140/(1+TechnicalInputs!$D$2)^(TabularOutputs!$A269-TabularOutputs!$A$265)</f>
        <v>0</v>
      </c>
      <c r="K269" s="154">
        <f>K140/(1+TechnicalInputs!$D$2)^(TabularOutputs!$A269-TabularOutputs!$A$265)</f>
        <v>0</v>
      </c>
      <c r="L269" s="154">
        <f>L140/(1+TechnicalInputs!$D$2)^(TabularOutputs!$A269-TabularOutputs!$A$265)</f>
        <v>0</v>
      </c>
      <c r="M269" s="154">
        <f>M140/(1+TechnicalInputs!$D$2)^(TabularOutputs!$A269-TabularOutputs!$A$265)</f>
        <v>0</v>
      </c>
      <c r="N269" s="154">
        <f>N140/(1+TechnicalInputs!$D$2)^(TabularOutputs!$A269-TabularOutputs!$A$265)</f>
        <v>36419260.802863568</v>
      </c>
      <c r="O269" s="154">
        <f>O140/(1+TechnicalInputs!$D$2)^(TabularOutputs!$A269-TabularOutputs!$A$265)</f>
        <v>0</v>
      </c>
      <c r="P269" s="154">
        <f>P140/(1+TechnicalInputs!$D$2)^(TabularOutputs!$A269-TabularOutputs!$A$265)</f>
        <v>0</v>
      </c>
      <c r="Q269" s="154">
        <f>Q140/(1+TechnicalInputs!$D$2)^(TabularOutputs!$A269-TabularOutputs!$A$265)</f>
        <v>0</v>
      </c>
      <c r="R269" s="154">
        <f>R140/(1+TechnicalInputs!$D$2)^(TabularOutputs!$A269-TabularOutputs!$A$265)</f>
        <v>0</v>
      </c>
      <c r="S269" s="154">
        <f>S140/(1+TechnicalInputs!$D$2)^(TabularOutputs!$A269-TabularOutputs!$A$265)</f>
        <v>0</v>
      </c>
      <c r="T269" s="154">
        <f>T140/(1+TechnicalInputs!$D$2)^(TabularOutputs!$A269-TabularOutputs!$A$265)</f>
        <v>19657795.414871223</v>
      </c>
      <c r="U269" s="154">
        <f>U140/(1+TechnicalInputs!$D$2)^(TabularOutputs!$A269-TabularOutputs!$A$265)</f>
        <v>0</v>
      </c>
      <c r="V269" s="154">
        <f>V140/(1+TechnicalInputs!$D$2)^(TabularOutputs!$A269-TabularOutputs!$A$265)</f>
        <v>0</v>
      </c>
      <c r="W269" s="154">
        <f>W140/(1+TechnicalInputs!$D$2)^(TabularOutputs!$A269-TabularOutputs!$A$265)</f>
        <v>0</v>
      </c>
      <c r="X269" s="154">
        <f>X140/(1+TechnicalInputs!$D$2)^(TabularOutputs!$A269-TabularOutputs!$A$265)</f>
        <v>0</v>
      </c>
      <c r="Y269" s="154">
        <f>Y140/(1+TechnicalInputs!$D$2)^(TabularOutputs!$A269-TabularOutputs!$A$265)</f>
        <v>0</v>
      </c>
      <c r="Z269" s="154">
        <f>Z140/(1+TechnicalInputs!$D$2)^(TabularOutputs!$A269-TabularOutputs!$A$265)</f>
        <v>0</v>
      </c>
      <c r="AA269" s="154">
        <f>AA140/(1+TechnicalInputs!$D$2)^(TabularOutputs!$A269-TabularOutputs!$A$265)</f>
        <v>0</v>
      </c>
      <c r="AB269" s="154">
        <f>AB140/(1+TechnicalInputs!$D$2)^(TabularOutputs!$A269-TabularOutputs!$A$265)</f>
        <v>0</v>
      </c>
      <c r="AC269" s="154">
        <f>AC140/(1+TechnicalInputs!$D$2)^(TabularOutputs!$A269-TabularOutputs!$A$265)</f>
        <v>36563068.131038129</v>
      </c>
      <c r="AD269" s="154">
        <f t="shared" si="45"/>
        <v>766840813.80273318</v>
      </c>
      <c r="AE269" s="158"/>
      <c r="AG269" s="142">
        <v>631715259.03926468</v>
      </c>
      <c r="AO269" s="154">
        <f t="shared" si="46"/>
        <v>541401044.24532497</v>
      </c>
      <c r="AP269" s="154">
        <f t="shared" si="47"/>
        <v>132799645.20863533</v>
      </c>
      <c r="AQ269" s="154">
        <f t="shared" si="48"/>
        <v>36419260.802863568</v>
      </c>
      <c r="AR269" s="154">
        <f t="shared" si="49"/>
        <v>19657795.414871223</v>
      </c>
      <c r="AS269" s="154">
        <f t="shared" si="50"/>
        <v>36563068.131038129</v>
      </c>
    </row>
    <row r="270" spans="1:45">
      <c r="A270" s="143">
        <f t="shared" si="51"/>
        <v>2020</v>
      </c>
      <c r="B270" s="154">
        <f>B141/(1+TechnicalInputs!$D$2)^(TabularOutputs!$A270-TabularOutputs!$A$265)</f>
        <v>369056787.32715261</v>
      </c>
      <c r="C270" s="154">
        <f>C141/(1+TechnicalInputs!$D$2)^(TabularOutputs!$A270-TabularOutputs!$A$265)</f>
        <v>84390694.657915965</v>
      </c>
      <c r="D270" s="154">
        <f>D141/(1+TechnicalInputs!$D$2)^(TabularOutputs!$A270-TabularOutputs!$A$265)</f>
        <v>70770652.171323791</v>
      </c>
      <c r="E270" s="154">
        <f>E141/(1+TechnicalInputs!$D$2)^(TabularOutputs!$A270-TabularOutputs!$A$265)</f>
        <v>0</v>
      </c>
      <c r="F270" s="154">
        <f>F141/(1+TechnicalInputs!$D$2)^(TabularOutputs!$A270-TabularOutputs!$A$265)</f>
        <v>5346273.6176622408</v>
      </c>
      <c r="G270" s="154">
        <f>G141/(1+TechnicalInputs!$D$2)^(TabularOutputs!$A270-TabularOutputs!$A$265)</f>
        <v>80094532.922005937</v>
      </c>
      <c r="H270" s="154">
        <f>H141/(1+TechnicalInputs!$D$2)^(TabularOutputs!$A270-TabularOutputs!$A$265)</f>
        <v>44912573.780350976</v>
      </c>
      <c r="I270" s="154">
        <f>I141/(1+TechnicalInputs!$D$2)^(TabularOutputs!$A270-TabularOutputs!$A$265)</f>
        <v>0</v>
      </c>
      <c r="J270" s="154">
        <f>J141/(1+TechnicalInputs!$D$2)^(TabularOutputs!$A270-TabularOutputs!$A$265)</f>
        <v>0</v>
      </c>
      <c r="K270" s="154">
        <f>K141/(1+TechnicalInputs!$D$2)^(TabularOutputs!$A270-TabularOutputs!$A$265)</f>
        <v>0</v>
      </c>
      <c r="L270" s="154">
        <f>L141/(1+TechnicalInputs!$D$2)^(TabularOutputs!$A270-TabularOutputs!$A$265)</f>
        <v>0</v>
      </c>
      <c r="M270" s="154">
        <f>M141/(1+TechnicalInputs!$D$2)^(TabularOutputs!$A270-TabularOutputs!$A$265)</f>
        <v>0</v>
      </c>
      <c r="N270" s="154">
        <f>N141/(1+TechnicalInputs!$D$2)^(TabularOutputs!$A270-TabularOutputs!$A$265)</f>
        <v>36823762.690444477</v>
      </c>
      <c r="O270" s="154">
        <f>O141/(1+TechnicalInputs!$D$2)^(TabularOutputs!$A270-TabularOutputs!$A$265)</f>
        <v>0</v>
      </c>
      <c r="P270" s="154">
        <f>P141/(1+TechnicalInputs!$D$2)^(TabularOutputs!$A270-TabularOutputs!$A$265)</f>
        <v>0</v>
      </c>
      <c r="Q270" s="154">
        <f>Q141/(1+TechnicalInputs!$D$2)^(TabularOutputs!$A270-TabularOutputs!$A$265)</f>
        <v>0</v>
      </c>
      <c r="R270" s="154">
        <f>R141/(1+TechnicalInputs!$D$2)^(TabularOutputs!$A270-TabularOutputs!$A$265)</f>
        <v>0</v>
      </c>
      <c r="S270" s="154">
        <f>S141/(1+TechnicalInputs!$D$2)^(TabularOutputs!$A270-TabularOutputs!$A$265)</f>
        <v>0</v>
      </c>
      <c r="T270" s="154">
        <f>T141/(1+TechnicalInputs!$D$2)^(TabularOutputs!$A270-TabularOutputs!$A$265)</f>
        <v>19649272.162901744</v>
      </c>
      <c r="U270" s="154">
        <f>U141/(1+TechnicalInputs!$D$2)^(TabularOutputs!$A270-TabularOutputs!$A$265)</f>
        <v>0</v>
      </c>
      <c r="V270" s="154">
        <f>V141/(1+TechnicalInputs!$D$2)^(TabularOutputs!$A270-TabularOutputs!$A$265)</f>
        <v>0</v>
      </c>
      <c r="W270" s="154">
        <f>W141/(1+TechnicalInputs!$D$2)^(TabularOutputs!$A270-TabularOutputs!$A$265)</f>
        <v>0</v>
      </c>
      <c r="X270" s="154">
        <f>X141/(1+TechnicalInputs!$D$2)^(TabularOutputs!$A270-TabularOutputs!$A$265)</f>
        <v>0</v>
      </c>
      <c r="Y270" s="154">
        <f>Y141/(1+TechnicalInputs!$D$2)^(TabularOutputs!$A270-TabularOutputs!$A$265)</f>
        <v>0</v>
      </c>
      <c r="Z270" s="154">
        <f>Z141/(1+TechnicalInputs!$D$2)^(TabularOutputs!$A270-TabularOutputs!$A$265)</f>
        <v>0</v>
      </c>
      <c r="AA270" s="154">
        <f>AA141/(1+TechnicalInputs!$D$2)^(TabularOutputs!$A270-TabularOutputs!$A$265)</f>
        <v>0</v>
      </c>
      <c r="AB270" s="154">
        <f>AB141/(1+TechnicalInputs!$D$2)^(TabularOutputs!$A270-TabularOutputs!$A$265)</f>
        <v>0</v>
      </c>
      <c r="AC270" s="154">
        <f>AC141/(1+TechnicalInputs!$D$2)^(TabularOutputs!$A270-TabularOutputs!$A$265)</f>
        <v>36027998.84131562</v>
      </c>
      <c r="AD270" s="154">
        <f t="shared" si="45"/>
        <v>747072548.17107332</v>
      </c>
      <c r="AE270" s="158"/>
      <c r="AG270" s="142">
        <v>617228615.28099585</v>
      </c>
      <c r="AO270" s="154">
        <f t="shared" si="46"/>
        <v>524218134.15639234</v>
      </c>
      <c r="AP270" s="154">
        <f t="shared" si="47"/>
        <v>130353380.32001916</v>
      </c>
      <c r="AQ270" s="154">
        <f t="shared" si="48"/>
        <v>36823762.690444477</v>
      </c>
      <c r="AR270" s="154">
        <f t="shared" si="49"/>
        <v>19649272.162901744</v>
      </c>
      <c r="AS270" s="154">
        <f t="shared" si="50"/>
        <v>36027998.84131562</v>
      </c>
    </row>
    <row r="271" spans="1:45">
      <c r="A271" s="143">
        <f t="shared" si="51"/>
        <v>2021</v>
      </c>
      <c r="B271" s="154">
        <f>B142/(1+TechnicalInputs!$D$2)^(TabularOutputs!$A271-TabularOutputs!$A$265)</f>
        <v>354244728.18989784</v>
      </c>
      <c r="C271" s="154">
        <f>C142/(1+TechnicalInputs!$D$2)^(TabularOutputs!$A271-TabularOutputs!$A$265)</f>
        <v>83117290.123371482</v>
      </c>
      <c r="D271" s="154">
        <f>D142/(1+TechnicalInputs!$D$2)^(TabularOutputs!$A271-TabularOutputs!$A$265)</f>
        <v>69703026.421172708</v>
      </c>
      <c r="E271" s="154">
        <f>E142/(1+TechnicalInputs!$D$2)^(TabularOutputs!$A271-TabularOutputs!$A$265)</f>
        <v>0</v>
      </c>
      <c r="F271" s="154">
        <f>F142/(1+TechnicalInputs!$D$2)^(TabularOutputs!$A271-TabularOutputs!$A$265)</f>
        <v>5188659.8777358215</v>
      </c>
      <c r="G271" s="154">
        <f>G142/(1+TechnicalInputs!$D$2)^(TabularOutputs!$A271-TabularOutputs!$A$265)</f>
        <v>78810041.125139058</v>
      </c>
      <c r="H271" s="154">
        <f>H142/(1+TechnicalInputs!$D$2)^(TabularOutputs!$A271-TabularOutputs!$A$265)</f>
        <v>43935623.828188039</v>
      </c>
      <c r="I271" s="154">
        <f>I142/(1+TechnicalInputs!$D$2)^(TabularOutputs!$A271-TabularOutputs!$A$265)</f>
        <v>0</v>
      </c>
      <c r="J271" s="154">
        <f>J142/(1+TechnicalInputs!$D$2)^(TabularOutputs!$A271-TabularOutputs!$A$265)</f>
        <v>0</v>
      </c>
      <c r="K271" s="154">
        <f>K142/(1+TechnicalInputs!$D$2)^(TabularOutputs!$A271-TabularOutputs!$A$265)</f>
        <v>0</v>
      </c>
      <c r="L271" s="154">
        <f>L142/(1+TechnicalInputs!$D$2)^(TabularOutputs!$A271-TabularOutputs!$A$265)</f>
        <v>0</v>
      </c>
      <c r="M271" s="154">
        <f>M142/(1+TechnicalInputs!$D$2)^(TabularOutputs!$A271-TabularOutputs!$A$265)</f>
        <v>0</v>
      </c>
      <c r="N271" s="154">
        <f>N142/(1+TechnicalInputs!$D$2)^(TabularOutputs!$A271-TabularOutputs!$A$265)</f>
        <v>37150843.888132237</v>
      </c>
      <c r="O271" s="154">
        <f>O142/(1+TechnicalInputs!$D$2)^(TabularOutputs!$A271-TabularOutputs!$A$265)</f>
        <v>0</v>
      </c>
      <c r="P271" s="154">
        <f>P142/(1+TechnicalInputs!$D$2)^(TabularOutputs!$A271-TabularOutputs!$A$265)</f>
        <v>0</v>
      </c>
      <c r="Q271" s="154">
        <f>Q142/(1+TechnicalInputs!$D$2)^(TabularOutputs!$A271-TabularOutputs!$A$265)</f>
        <v>0</v>
      </c>
      <c r="R271" s="154">
        <f>R142/(1+TechnicalInputs!$D$2)^(TabularOutputs!$A271-TabularOutputs!$A$265)</f>
        <v>0</v>
      </c>
      <c r="S271" s="154">
        <f>S142/(1+TechnicalInputs!$D$2)^(TabularOutputs!$A271-TabularOutputs!$A$265)</f>
        <v>0</v>
      </c>
      <c r="T271" s="154">
        <f>T142/(1+TechnicalInputs!$D$2)^(TabularOutputs!$A271-TabularOutputs!$A$265)</f>
        <v>19585506.974662323</v>
      </c>
      <c r="U271" s="154">
        <f>U142/(1+TechnicalInputs!$D$2)^(TabularOutputs!$A271-TabularOutputs!$A$265)</f>
        <v>0</v>
      </c>
      <c r="V271" s="154">
        <f>V142/(1+TechnicalInputs!$D$2)^(TabularOutputs!$A271-TabularOutputs!$A$265)</f>
        <v>0</v>
      </c>
      <c r="W271" s="154">
        <f>W142/(1+TechnicalInputs!$D$2)^(TabularOutputs!$A271-TabularOutputs!$A$265)</f>
        <v>0</v>
      </c>
      <c r="X271" s="154">
        <f>X142/(1+TechnicalInputs!$D$2)^(TabularOutputs!$A271-TabularOutputs!$A$265)</f>
        <v>0</v>
      </c>
      <c r="Y271" s="154">
        <f>Y142/(1+TechnicalInputs!$D$2)^(TabularOutputs!$A271-TabularOutputs!$A$265)</f>
        <v>0</v>
      </c>
      <c r="Z271" s="154">
        <f>Z142/(1+TechnicalInputs!$D$2)^(TabularOutputs!$A271-TabularOutputs!$A$265)</f>
        <v>0</v>
      </c>
      <c r="AA271" s="154">
        <f>AA142/(1+TechnicalInputs!$D$2)^(TabularOutputs!$A271-TabularOutputs!$A$265)</f>
        <v>0</v>
      </c>
      <c r="AB271" s="154">
        <f>AB142/(1+TechnicalInputs!$D$2)^(TabularOutputs!$A271-TabularOutputs!$A$265)</f>
        <v>0</v>
      </c>
      <c r="AC271" s="154">
        <f>AC142/(1+TechnicalInputs!$D$2)^(TabularOutputs!$A271-TabularOutputs!$A$265)</f>
        <v>35500759.833881743</v>
      </c>
      <c r="AD271" s="154">
        <f t="shared" si="45"/>
        <v>727236480.26218116</v>
      </c>
      <c r="AE271" s="158"/>
      <c r="AG271" s="142">
        <v>602721956.09623563</v>
      </c>
      <c r="AO271" s="154">
        <f t="shared" si="46"/>
        <v>507065044.734442</v>
      </c>
      <c r="AP271" s="154">
        <f t="shared" si="47"/>
        <v>127934324.83106291</v>
      </c>
      <c r="AQ271" s="154">
        <f t="shared" si="48"/>
        <v>37150843.888132237</v>
      </c>
      <c r="AR271" s="154">
        <f t="shared" si="49"/>
        <v>19585506.974662323</v>
      </c>
      <c r="AS271" s="154">
        <f t="shared" si="50"/>
        <v>35500759.833881743</v>
      </c>
    </row>
    <row r="272" spans="1:45">
      <c r="A272" s="143">
        <f t="shared" si="51"/>
        <v>2022</v>
      </c>
      <c r="B272" s="154">
        <f>B143/(1+TechnicalInputs!$D$2)^(TabularOutputs!$A272-TabularOutputs!$A$265)</f>
        <v>339403319.02528483</v>
      </c>
      <c r="C272" s="154">
        <f>C143/(1+TechnicalInputs!$D$2)^(TabularOutputs!$A272-TabularOutputs!$A$265)</f>
        <v>81940282.467740268</v>
      </c>
      <c r="D272" s="154">
        <f>D143/(1+TechnicalInputs!$D$2)^(TabularOutputs!$A272-TabularOutputs!$A$265)</f>
        <v>68716228.3973414</v>
      </c>
      <c r="E272" s="154">
        <f>E143/(1+TechnicalInputs!$D$2)^(TabularOutputs!$A272-TabularOutputs!$A$265)</f>
        <v>0</v>
      </c>
      <c r="F272" s="154">
        <f>F143/(1+TechnicalInputs!$D$2)^(TabularOutputs!$A272-TabularOutputs!$A$265)</f>
        <v>5033639.261886647</v>
      </c>
      <c r="G272" s="154">
        <f>G143/(1+TechnicalInputs!$D$2)^(TabularOutputs!$A272-TabularOutputs!$A$265)</f>
        <v>77543185.144319102</v>
      </c>
      <c r="H272" s="154">
        <f>H143/(1+TechnicalInputs!$D$2)^(TabularOutputs!$A272-TabularOutputs!$A$265)</f>
        <v>42968845.828482978</v>
      </c>
      <c r="I272" s="154">
        <f>I143/(1+TechnicalInputs!$D$2)^(TabularOutputs!$A272-TabularOutputs!$A$265)</f>
        <v>0</v>
      </c>
      <c r="J272" s="154">
        <f>J143/(1+TechnicalInputs!$D$2)^(TabularOutputs!$A272-TabularOutputs!$A$265)</f>
        <v>0</v>
      </c>
      <c r="K272" s="154">
        <f>K143/(1+TechnicalInputs!$D$2)^(TabularOutputs!$A272-TabularOutputs!$A$265)</f>
        <v>0</v>
      </c>
      <c r="L272" s="154">
        <f>L143/(1+TechnicalInputs!$D$2)^(TabularOutputs!$A272-TabularOutputs!$A$265)</f>
        <v>0</v>
      </c>
      <c r="M272" s="154">
        <f>M143/(1+TechnicalInputs!$D$2)^(TabularOutputs!$A272-TabularOutputs!$A$265)</f>
        <v>0</v>
      </c>
      <c r="N272" s="154">
        <f>N143/(1+TechnicalInputs!$D$2)^(TabularOutputs!$A272-TabularOutputs!$A$265)</f>
        <v>37514094.300172925</v>
      </c>
      <c r="O272" s="154">
        <f>O143/(1+TechnicalInputs!$D$2)^(TabularOutputs!$A272-TabularOutputs!$A$265)</f>
        <v>0</v>
      </c>
      <c r="P272" s="154">
        <f>P143/(1+TechnicalInputs!$D$2)^(TabularOutputs!$A272-TabularOutputs!$A$265)</f>
        <v>0</v>
      </c>
      <c r="Q272" s="154">
        <f>Q143/(1+TechnicalInputs!$D$2)^(TabularOutputs!$A272-TabularOutputs!$A$265)</f>
        <v>0</v>
      </c>
      <c r="R272" s="154">
        <f>R143/(1+TechnicalInputs!$D$2)^(TabularOutputs!$A272-TabularOutputs!$A$265)</f>
        <v>0</v>
      </c>
      <c r="S272" s="154">
        <f>S143/(1+TechnicalInputs!$D$2)^(TabularOutputs!$A272-TabularOutputs!$A$265)</f>
        <v>0</v>
      </c>
      <c r="T272" s="154">
        <f>T143/(1+TechnicalInputs!$D$2)^(TabularOutputs!$A272-TabularOutputs!$A$265)</f>
        <v>19478202.830256339</v>
      </c>
      <c r="U272" s="154">
        <f>U143/(1+TechnicalInputs!$D$2)^(TabularOutputs!$A272-TabularOutputs!$A$265)</f>
        <v>0</v>
      </c>
      <c r="V272" s="154">
        <f>V143/(1+TechnicalInputs!$D$2)^(TabularOutputs!$A272-TabularOutputs!$A$265)</f>
        <v>0</v>
      </c>
      <c r="W272" s="154">
        <f>W143/(1+TechnicalInputs!$D$2)^(TabularOutputs!$A272-TabularOutputs!$A$265)</f>
        <v>0</v>
      </c>
      <c r="X272" s="154">
        <f>X143/(1+TechnicalInputs!$D$2)^(TabularOutputs!$A272-TabularOutputs!$A$265)</f>
        <v>0</v>
      </c>
      <c r="Y272" s="154">
        <f>Y143/(1+TechnicalInputs!$D$2)^(TabularOutputs!$A272-TabularOutputs!$A$265)</f>
        <v>0</v>
      </c>
      <c r="Z272" s="154">
        <f>Z143/(1+TechnicalInputs!$D$2)^(TabularOutputs!$A272-TabularOutputs!$A$265)</f>
        <v>0</v>
      </c>
      <c r="AA272" s="154">
        <f>AA143/(1+TechnicalInputs!$D$2)^(TabularOutputs!$A272-TabularOutputs!$A$265)</f>
        <v>0</v>
      </c>
      <c r="AB272" s="154">
        <f>AB143/(1+TechnicalInputs!$D$2)^(TabularOutputs!$A272-TabularOutputs!$A$265)</f>
        <v>0</v>
      </c>
      <c r="AC272" s="154">
        <f>AC143/(1+TechnicalInputs!$D$2)^(TabularOutputs!$A272-TabularOutputs!$A$265)</f>
        <v>34981236.519239567</v>
      </c>
      <c r="AD272" s="154">
        <f t="shared" si="45"/>
        <v>707579033.77472401</v>
      </c>
      <c r="AE272" s="158"/>
      <c r="AG272" s="142">
        <v>588404471.98085296</v>
      </c>
      <c r="AO272" s="154">
        <f t="shared" si="46"/>
        <v>490059829.89036644</v>
      </c>
      <c r="AP272" s="154">
        <f t="shared" si="47"/>
        <v>125545670.23468873</v>
      </c>
      <c r="AQ272" s="154">
        <f t="shared" si="48"/>
        <v>37514094.300172925</v>
      </c>
      <c r="AR272" s="154">
        <f t="shared" si="49"/>
        <v>19478202.830256339</v>
      </c>
      <c r="AS272" s="154">
        <f t="shared" si="50"/>
        <v>34981236.519239567</v>
      </c>
    </row>
    <row r="273" spans="1:45">
      <c r="A273" s="143">
        <f t="shared" si="51"/>
        <v>2023</v>
      </c>
      <c r="B273" s="154">
        <f>B144/(1+TechnicalInputs!$D$2)^(TabularOutputs!$A273-TabularOutputs!$A$265)</f>
        <v>324623704.39443821</v>
      </c>
      <c r="C273" s="154">
        <f>C144/(1+TechnicalInputs!$D$2)^(TabularOutputs!$A273-TabularOutputs!$A$265)</f>
        <v>80860935.87646766</v>
      </c>
      <c r="D273" s="154">
        <f>D144/(1+TechnicalInputs!$D$2)^(TabularOutputs!$A273-TabularOutputs!$A$265)</f>
        <v>67811317.793281853</v>
      </c>
      <c r="E273" s="154">
        <f>E144/(1+TechnicalInputs!$D$2)^(TabularOutputs!$A273-TabularOutputs!$A$265)</f>
        <v>0</v>
      </c>
      <c r="F273" s="154">
        <f>F144/(1+TechnicalInputs!$D$2)^(TabularOutputs!$A273-TabularOutputs!$A$265)</f>
        <v>4881161.4804368876</v>
      </c>
      <c r="G273" s="154">
        <f>G144/(1+TechnicalInputs!$D$2)^(TabularOutputs!$A273-TabularOutputs!$A$265)</f>
        <v>76293771.757295594</v>
      </c>
      <c r="H273" s="154">
        <f>H144/(1+TechnicalInputs!$D$2)^(TabularOutputs!$A273-TabularOutputs!$A$265)</f>
        <v>42014345.547310248</v>
      </c>
      <c r="I273" s="154">
        <f>I144/(1+TechnicalInputs!$D$2)^(TabularOutputs!$A273-TabularOutputs!$A$265)</f>
        <v>0</v>
      </c>
      <c r="J273" s="154">
        <f>J144/(1+TechnicalInputs!$D$2)^(TabularOutputs!$A273-TabularOutputs!$A$265)</f>
        <v>0</v>
      </c>
      <c r="K273" s="154">
        <f>K144/(1+TechnicalInputs!$D$2)^(TabularOutputs!$A273-TabularOutputs!$A$265)</f>
        <v>0</v>
      </c>
      <c r="L273" s="154">
        <f>L144/(1+TechnicalInputs!$D$2)^(TabularOutputs!$A273-TabularOutputs!$A$265)</f>
        <v>0</v>
      </c>
      <c r="M273" s="154">
        <f>M144/(1+TechnicalInputs!$D$2)^(TabularOutputs!$A273-TabularOutputs!$A$265)</f>
        <v>0</v>
      </c>
      <c r="N273" s="154">
        <f>N144/(1+TechnicalInputs!$D$2)^(TabularOutputs!$A273-TabularOutputs!$A$265)</f>
        <v>37957959.888468824</v>
      </c>
      <c r="O273" s="154">
        <f>O144/(1+TechnicalInputs!$D$2)^(TabularOutputs!$A273-TabularOutputs!$A$265)</f>
        <v>0</v>
      </c>
      <c r="P273" s="154">
        <f>P144/(1+TechnicalInputs!$D$2)^(TabularOutputs!$A273-TabularOutputs!$A$265)</f>
        <v>0</v>
      </c>
      <c r="Q273" s="154">
        <f>Q144/(1+TechnicalInputs!$D$2)^(TabularOutputs!$A273-TabularOutputs!$A$265)</f>
        <v>0</v>
      </c>
      <c r="R273" s="154">
        <f>R144/(1+TechnicalInputs!$D$2)^(TabularOutputs!$A273-TabularOutputs!$A$265)</f>
        <v>0</v>
      </c>
      <c r="S273" s="154">
        <f>S144/(1+TechnicalInputs!$D$2)^(TabularOutputs!$A273-TabularOutputs!$A$265)</f>
        <v>0</v>
      </c>
      <c r="T273" s="154">
        <f>T144/(1+TechnicalInputs!$D$2)^(TabularOutputs!$A273-TabularOutputs!$A$265)</f>
        <v>19335660.09454586</v>
      </c>
      <c r="U273" s="154">
        <f>U144/(1+TechnicalInputs!$D$2)^(TabularOutputs!$A273-TabularOutputs!$A$265)</f>
        <v>0</v>
      </c>
      <c r="V273" s="154">
        <f>V144/(1+TechnicalInputs!$D$2)^(TabularOutputs!$A273-TabularOutputs!$A$265)</f>
        <v>0</v>
      </c>
      <c r="W273" s="154">
        <f>W144/(1+TechnicalInputs!$D$2)^(TabularOutputs!$A273-TabularOutputs!$A$265)</f>
        <v>0</v>
      </c>
      <c r="X273" s="154">
        <f>X144/(1+TechnicalInputs!$D$2)^(TabularOutputs!$A273-TabularOutputs!$A$265)</f>
        <v>0</v>
      </c>
      <c r="Y273" s="154">
        <f>Y144/(1+TechnicalInputs!$D$2)^(TabularOutputs!$A273-TabularOutputs!$A$265)</f>
        <v>0</v>
      </c>
      <c r="Z273" s="154">
        <f>Z144/(1+TechnicalInputs!$D$2)^(TabularOutputs!$A273-TabularOutputs!$A$265)</f>
        <v>0</v>
      </c>
      <c r="AA273" s="154">
        <f>AA144/(1+TechnicalInputs!$D$2)^(TabularOutputs!$A273-TabularOutputs!$A$265)</f>
        <v>0</v>
      </c>
      <c r="AB273" s="154">
        <f>AB144/(1+TechnicalInputs!$D$2)^(TabularOutputs!$A273-TabularOutputs!$A$265)</f>
        <v>0</v>
      </c>
      <c r="AC273" s="154">
        <f>AC144/(1+TechnicalInputs!$D$2)^(TabularOutputs!$A273-TabularOutputs!$A$265)</f>
        <v>34469315.984811679</v>
      </c>
      <c r="AD273" s="154">
        <f t="shared" si="45"/>
        <v>688248172.81705678</v>
      </c>
      <c r="AE273" s="158"/>
      <c r="AG273" s="142">
        <v>574391606.82775128</v>
      </c>
      <c r="AO273" s="154">
        <f t="shared" si="46"/>
        <v>473295958.06418771</v>
      </c>
      <c r="AP273" s="154">
        <f t="shared" si="47"/>
        <v>123189278.78504273</v>
      </c>
      <c r="AQ273" s="154">
        <f t="shared" si="48"/>
        <v>37957959.888468824</v>
      </c>
      <c r="AR273" s="154">
        <f t="shared" si="49"/>
        <v>19335660.09454586</v>
      </c>
      <c r="AS273" s="154">
        <f t="shared" si="50"/>
        <v>34469315.984811679</v>
      </c>
    </row>
    <row r="274" spans="1:45">
      <c r="A274" s="143">
        <f t="shared" si="51"/>
        <v>2024</v>
      </c>
      <c r="B274" s="154">
        <f>B145/(1+TechnicalInputs!$D$2)^(TabularOutputs!$A274-TabularOutputs!$A$265)</f>
        <v>309922715.83831507</v>
      </c>
      <c r="C274" s="154">
        <f>C145/(1+TechnicalInputs!$D$2)^(TabularOutputs!$A274-TabularOutputs!$A$265)</f>
        <v>79862209.016461208</v>
      </c>
      <c r="D274" s="154">
        <f>D145/(1+TechnicalInputs!$D$2)^(TabularOutputs!$A274-TabularOutputs!$A$265)</f>
        <v>66974005.70916906</v>
      </c>
      <c r="E274" s="154">
        <f>E145/(1+TechnicalInputs!$D$2)^(TabularOutputs!$A274-TabularOutputs!$A$265)</f>
        <v>0</v>
      </c>
      <c r="F274" s="154">
        <f>F145/(1+TechnicalInputs!$D$2)^(TabularOutputs!$A274-TabularOutputs!$A$265)</f>
        <v>4731177.1679212246</v>
      </c>
      <c r="G274" s="154">
        <f>G145/(1+TechnicalInputs!$D$2)^(TabularOutputs!$A274-TabularOutputs!$A$265)</f>
        <v>75061137.271774173</v>
      </c>
      <c r="H274" s="154">
        <f>H145/(1+TechnicalInputs!$D$2)^(TabularOutputs!$A274-TabularOutputs!$A$265)</f>
        <v>41073559.807692096</v>
      </c>
      <c r="I274" s="154">
        <f>I145/(1+TechnicalInputs!$D$2)^(TabularOutputs!$A274-TabularOutputs!$A$265)</f>
        <v>0</v>
      </c>
      <c r="J274" s="154">
        <f>J145/(1+TechnicalInputs!$D$2)^(TabularOutputs!$A274-TabularOutputs!$A$265)</f>
        <v>0</v>
      </c>
      <c r="K274" s="154">
        <f>K145/(1+TechnicalInputs!$D$2)^(TabularOutputs!$A274-TabularOutputs!$A$265)</f>
        <v>0</v>
      </c>
      <c r="L274" s="154">
        <f>L145/(1+TechnicalInputs!$D$2)^(TabularOutputs!$A274-TabularOutputs!$A$265)</f>
        <v>0</v>
      </c>
      <c r="M274" s="154">
        <f>M145/(1+TechnicalInputs!$D$2)^(TabularOutputs!$A274-TabularOutputs!$A$265)</f>
        <v>0</v>
      </c>
      <c r="N274" s="154">
        <f>N145/(1+TechnicalInputs!$D$2)^(TabularOutputs!$A274-TabularOutputs!$A$265)</f>
        <v>38423603.460281096</v>
      </c>
      <c r="O274" s="154">
        <f>O145/(1+TechnicalInputs!$D$2)^(TabularOutputs!$A274-TabularOutputs!$A$265)</f>
        <v>0</v>
      </c>
      <c r="P274" s="154">
        <f>P145/(1+TechnicalInputs!$D$2)^(TabularOutputs!$A274-TabularOutputs!$A$265)</f>
        <v>0</v>
      </c>
      <c r="Q274" s="154">
        <f>Q145/(1+TechnicalInputs!$D$2)^(TabularOutputs!$A274-TabularOutputs!$A$265)</f>
        <v>0</v>
      </c>
      <c r="R274" s="154">
        <f>R145/(1+TechnicalInputs!$D$2)^(TabularOutputs!$A274-TabularOutputs!$A$265)</f>
        <v>0</v>
      </c>
      <c r="S274" s="154">
        <f>S145/(1+TechnicalInputs!$D$2)^(TabularOutputs!$A274-TabularOutputs!$A$265)</f>
        <v>0</v>
      </c>
      <c r="T274" s="154">
        <f>T145/(1+TechnicalInputs!$D$2)^(TabularOutputs!$A274-TabularOutputs!$A$265)</f>
        <v>19164438.033015609</v>
      </c>
      <c r="U274" s="154">
        <f>U145/(1+TechnicalInputs!$D$2)^(TabularOutputs!$A274-TabularOutputs!$A$265)</f>
        <v>0</v>
      </c>
      <c r="V274" s="154">
        <f>V145/(1+TechnicalInputs!$D$2)^(TabularOutputs!$A274-TabularOutputs!$A$265)</f>
        <v>0</v>
      </c>
      <c r="W274" s="154">
        <f>W145/(1+TechnicalInputs!$D$2)^(TabularOutputs!$A274-TabularOutputs!$A$265)</f>
        <v>0</v>
      </c>
      <c r="X274" s="154">
        <f>X145/(1+TechnicalInputs!$D$2)^(TabularOutputs!$A274-TabularOutputs!$A$265)</f>
        <v>0</v>
      </c>
      <c r="Y274" s="154">
        <f>Y145/(1+TechnicalInputs!$D$2)^(TabularOutputs!$A274-TabularOutputs!$A$265)</f>
        <v>0</v>
      </c>
      <c r="Z274" s="154">
        <f>Z145/(1+TechnicalInputs!$D$2)^(TabularOutputs!$A274-TabularOutputs!$A$265)</f>
        <v>0</v>
      </c>
      <c r="AA274" s="154">
        <f>AA145/(1+TechnicalInputs!$D$2)^(TabularOutputs!$A274-TabularOutputs!$A$265)</f>
        <v>0</v>
      </c>
      <c r="AB274" s="154">
        <f>AB145/(1+TechnicalInputs!$D$2)^(TabularOutputs!$A274-TabularOutputs!$A$265)</f>
        <v>0</v>
      </c>
      <c r="AC274" s="154">
        <f>AC145/(1+TechnicalInputs!$D$2)^(TabularOutputs!$A274-TabularOutputs!$A$265)</f>
        <v>33964886.970399804</v>
      </c>
      <c r="AD274" s="154">
        <f t="shared" si="45"/>
        <v>669177733.27502942</v>
      </c>
      <c r="AE274" s="158"/>
      <c r="AG274" s="142">
        <v>560611229.76799297</v>
      </c>
      <c r="AO274" s="154">
        <f t="shared" si="46"/>
        <v>456758930.56394529</v>
      </c>
      <c r="AP274" s="154">
        <f t="shared" si="47"/>
        <v>120865874.2473875</v>
      </c>
      <c r="AQ274" s="154">
        <f t="shared" si="48"/>
        <v>38423603.460281096</v>
      </c>
      <c r="AR274" s="154">
        <f t="shared" si="49"/>
        <v>19164438.033015609</v>
      </c>
      <c r="AS274" s="154">
        <f t="shared" si="50"/>
        <v>33964886.970399804</v>
      </c>
    </row>
    <row r="275" spans="1:45">
      <c r="A275" s="143">
        <f t="shared" si="51"/>
        <v>2025</v>
      </c>
      <c r="B275" s="154">
        <f>B146/(1+TechnicalInputs!$D$2)^(TabularOutputs!$A275-TabularOutputs!$A$265)</f>
        <v>295415063.07089376</v>
      </c>
      <c r="C275" s="154">
        <f>C146/(1+TechnicalInputs!$D$2)^(TabularOutputs!$A275-TabularOutputs!$A$265)</f>
        <v>78921052.081067905</v>
      </c>
      <c r="D275" s="154">
        <f>D146/(1+TechnicalInputs!$D$2)^(TabularOutputs!$A275-TabularOutputs!$A$265)</f>
        <v>66184965.324656859</v>
      </c>
      <c r="E275" s="154">
        <f>E146/(1+TechnicalInputs!$D$2)^(TabularOutputs!$A275-TabularOutputs!$A$265)</f>
        <v>0</v>
      </c>
      <c r="F275" s="154">
        <f>F146/(1+TechnicalInputs!$D$2)^(TabularOutputs!$A275-TabularOutputs!$A$265)</f>
        <v>4583637.8658116404</v>
      </c>
      <c r="G275" s="154">
        <f>G146/(1+TechnicalInputs!$D$2)^(TabularOutputs!$A275-TabularOutputs!$A$265)</f>
        <v>73844637.988089472</v>
      </c>
      <c r="H275" s="154">
        <f>H146/(1+TechnicalInputs!$D$2)^(TabularOutputs!$A275-TabularOutputs!$A$265)</f>
        <v>40147477.107091337</v>
      </c>
      <c r="I275" s="154">
        <f>I146/(1+TechnicalInputs!$D$2)^(TabularOutputs!$A275-TabularOutputs!$A$265)</f>
        <v>0</v>
      </c>
      <c r="J275" s="154">
        <f>J146/(1+TechnicalInputs!$D$2)^(TabularOutputs!$A275-TabularOutputs!$A$265)</f>
        <v>0</v>
      </c>
      <c r="K275" s="154">
        <f>K146/(1+TechnicalInputs!$D$2)^(TabularOutputs!$A275-TabularOutputs!$A$265)</f>
        <v>0</v>
      </c>
      <c r="L275" s="154">
        <f>L146/(1+TechnicalInputs!$D$2)^(TabularOutputs!$A275-TabularOutputs!$A$265)</f>
        <v>0</v>
      </c>
      <c r="M275" s="154">
        <f>M146/(1+TechnicalInputs!$D$2)^(TabularOutputs!$A275-TabularOutputs!$A$265)</f>
        <v>0</v>
      </c>
      <c r="N275" s="154">
        <f>N146/(1+TechnicalInputs!$D$2)^(TabularOutputs!$A275-TabularOutputs!$A$265)</f>
        <v>38895597.976946004</v>
      </c>
      <c r="O275" s="154">
        <f>O146/(1+TechnicalInputs!$D$2)^(TabularOutputs!$A275-TabularOutputs!$A$265)</f>
        <v>0</v>
      </c>
      <c r="P275" s="154">
        <f>P146/(1+TechnicalInputs!$D$2)^(TabularOutputs!$A275-TabularOutputs!$A$265)</f>
        <v>0</v>
      </c>
      <c r="Q275" s="154">
        <f>Q146/(1+TechnicalInputs!$D$2)^(TabularOutputs!$A275-TabularOutputs!$A$265)</f>
        <v>0</v>
      </c>
      <c r="R275" s="154">
        <f>R146/(1+TechnicalInputs!$D$2)^(TabularOutputs!$A275-TabularOutputs!$A$265)</f>
        <v>0</v>
      </c>
      <c r="S275" s="154">
        <f>S146/(1+TechnicalInputs!$D$2)^(TabularOutputs!$A275-TabularOutputs!$A$265)</f>
        <v>0</v>
      </c>
      <c r="T275" s="154">
        <f>T146/(1+TechnicalInputs!$D$2)^(TabularOutputs!$A275-TabularOutputs!$A$265)</f>
        <v>18969748.516481265</v>
      </c>
      <c r="U275" s="154">
        <f>U146/(1+TechnicalInputs!$D$2)^(TabularOutputs!$A275-TabularOutputs!$A$265)</f>
        <v>0</v>
      </c>
      <c r="V275" s="154">
        <f>V146/(1+TechnicalInputs!$D$2)^(TabularOutputs!$A275-TabularOutputs!$A$265)</f>
        <v>0</v>
      </c>
      <c r="W275" s="154">
        <f>W146/(1+TechnicalInputs!$D$2)^(TabularOutputs!$A275-TabularOutputs!$A$265)</f>
        <v>0</v>
      </c>
      <c r="X275" s="154">
        <f>X146/(1+TechnicalInputs!$D$2)^(TabularOutputs!$A275-TabularOutputs!$A$265)</f>
        <v>0</v>
      </c>
      <c r="Y275" s="154">
        <f>Y146/(1+TechnicalInputs!$D$2)^(TabularOutputs!$A275-TabularOutputs!$A$265)</f>
        <v>0</v>
      </c>
      <c r="Z275" s="154">
        <f>Z146/(1+TechnicalInputs!$D$2)^(TabularOutputs!$A275-TabularOutputs!$A$265)</f>
        <v>0</v>
      </c>
      <c r="AA275" s="154">
        <f>AA146/(1+TechnicalInputs!$D$2)^(TabularOutputs!$A275-TabularOutputs!$A$265)</f>
        <v>0</v>
      </c>
      <c r="AB275" s="154">
        <f>AB146/(1+TechnicalInputs!$D$2)^(TabularOutputs!$A275-TabularOutputs!$A$265)</f>
        <v>0</v>
      </c>
      <c r="AC275" s="154">
        <f>AC146/(1+TechnicalInputs!$D$2)^(TabularOutputs!$A275-TabularOutputs!$A$265)</f>
        <v>33467839.844003711</v>
      </c>
      <c r="AD275" s="154">
        <f t="shared" si="45"/>
        <v>650430019.77504194</v>
      </c>
      <c r="AE275" s="158"/>
      <c r="AG275" s="142">
        <v>547084725.09259486</v>
      </c>
      <c r="AO275" s="154">
        <f t="shared" si="46"/>
        <v>440521080.47661853</v>
      </c>
      <c r="AP275" s="154">
        <f t="shared" si="47"/>
        <v>118575752.96099246</v>
      </c>
      <c r="AQ275" s="154">
        <f t="shared" si="48"/>
        <v>38895597.976946004</v>
      </c>
      <c r="AR275" s="154">
        <f t="shared" si="49"/>
        <v>18969748.516481265</v>
      </c>
      <c r="AS275" s="154">
        <f t="shared" si="50"/>
        <v>33467839.844003711</v>
      </c>
    </row>
    <row r="276" spans="1:45">
      <c r="A276" s="143">
        <f t="shared" si="51"/>
        <v>2026</v>
      </c>
      <c r="B276" s="154">
        <f>B147/(1+TechnicalInputs!$D$2)^(TabularOutputs!$A276-TabularOutputs!$A$265)</f>
        <v>281503489.28037769</v>
      </c>
      <c r="C276" s="154">
        <f>C147/(1+TechnicalInputs!$D$2)^(TabularOutputs!$A276-TabularOutputs!$A$265)</f>
        <v>78016969.924565196</v>
      </c>
      <c r="D276" s="154">
        <f>D147/(1+TechnicalInputs!$D$2)^(TabularOutputs!$A276-TabularOutputs!$A$265)</f>
        <v>65427011.837193005</v>
      </c>
      <c r="E276" s="154">
        <f>E147/(1+TechnicalInputs!$D$2)^(TabularOutputs!$A276-TabularOutputs!$A$265)</f>
        <v>0</v>
      </c>
      <c r="F276" s="154">
        <f>F147/(1+TechnicalInputs!$D$2)^(TabularOutputs!$A276-TabularOutputs!$A$265)</f>
        <v>4437744.6537430426</v>
      </c>
      <c r="G276" s="154">
        <f>G147/(1+TechnicalInputs!$D$2)^(TabularOutputs!$A276-TabularOutputs!$A$265)</f>
        <v>72643859.432723984</v>
      </c>
      <c r="H276" s="154">
        <f>H147/(1+TechnicalInputs!$D$2)^(TabularOutputs!$A276-TabularOutputs!$A$265)</f>
        <v>39236791.392332561</v>
      </c>
      <c r="I276" s="154">
        <f>I147/(1+TechnicalInputs!$D$2)^(TabularOutputs!$A276-TabularOutputs!$A$265)</f>
        <v>0</v>
      </c>
      <c r="J276" s="154">
        <f>J147/(1+TechnicalInputs!$D$2)^(TabularOutputs!$A276-TabularOutputs!$A$265)</f>
        <v>0</v>
      </c>
      <c r="K276" s="154">
        <f>K147/(1+TechnicalInputs!$D$2)^(TabularOutputs!$A276-TabularOutputs!$A$265)</f>
        <v>0</v>
      </c>
      <c r="L276" s="154">
        <f>L147/(1+TechnicalInputs!$D$2)^(TabularOutputs!$A276-TabularOutputs!$A$265)</f>
        <v>0</v>
      </c>
      <c r="M276" s="154">
        <f>M147/(1+TechnicalInputs!$D$2)^(TabularOutputs!$A276-TabularOutputs!$A$265)</f>
        <v>0</v>
      </c>
      <c r="N276" s="154">
        <f>N147/(1+TechnicalInputs!$D$2)^(TabularOutputs!$A276-TabularOutputs!$A$265)</f>
        <v>39398972.485234104</v>
      </c>
      <c r="O276" s="154">
        <f>O147/(1+TechnicalInputs!$D$2)^(TabularOutputs!$A276-TabularOutputs!$A$265)</f>
        <v>0</v>
      </c>
      <c r="P276" s="154">
        <f>P147/(1+TechnicalInputs!$D$2)^(TabularOutputs!$A276-TabularOutputs!$A$265)</f>
        <v>0</v>
      </c>
      <c r="Q276" s="154">
        <f>Q147/(1+TechnicalInputs!$D$2)^(TabularOutputs!$A276-TabularOutputs!$A$265)</f>
        <v>0</v>
      </c>
      <c r="R276" s="154">
        <f>R147/(1+TechnicalInputs!$D$2)^(TabularOutputs!$A276-TabularOutputs!$A$265)</f>
        <v>0</v>
      </c>
      <c r="S276" s="154">
        <f>S147/(1+TechnicalInputs!$D$2)^(TabularOutputs!$A276-TabularOutputs!$A$265)</f>
        <v>0</v>
      </c>
      <c r="T276" s="154">
        <f>T147/(1+TechnicalInputs!$D$2)^(TabularOutputs!$A276-TabularOutputs!$A$265)</f>
        <v>18755809.865296174</v>
      </c>
      <c r="U276" s="154">
        <f>U147/(1+TechnicalInputs!$D$2)^(TabularOutputs!$A276-TabularOutputs!$A$265)</f>
        <v>0</v>
      </c>
      <c r="V276" s="154">
        <f>V147/(1+TechnicalInputs!$D$2)^(TabularOutputs!$A276-TabularOutputs!$A$265)</f>
        <v>0</v>
      </c>
      <c r="W276" s="154">
        <f>W147/(1+TechnicalInputs!$D$2)^(TabularOutputs!$A276-TabularOutputs!$A$265)</f>
        <v>0</v>
      </c>
      <c r="X276" s="154">
        <f>X147/(1+TechnicalInputs!$D$2)^(TabularOutputs!$A276-TabularOutputs!$A$265)</f>
        <v>0</v>
      </c>
      <c r="Y276" s="154">
        <f>Y147/(1+TechnicalInputs!$D$2)^(TabularOutputs!$A276-TabularOutputs!$A$265)</f>
        <v>0</v>
      </c>
      <c r="Z276" s="154">
        <f>Z147/(1+TechnicalInputs!$D$2)^(TabularOutputs!$A276-TabularOutputs!$A$265)</f>
        <v>0</v>
      </c>
      <c r="AA276" s="154">
        <f>AA147/(1+TechnicalInputs!$D$2)^(TabularOutputs!$A276-TabularOutputs!$A$265)</f>
        <v>0</v>
      </c>
      <c r="AB276" s="154">
        <f>AB147/(1+TechnicalInputs!$D$2)^(TabularOutputs!$A276-TabularOutputs!$A$265)</f>
        <v>0</v>
      </c>
      <c r="AC276" s="154">
        <f>AC147/(1+TechnicalInputs!$D$2)^(TabularOutputs!$A276-TabularOutputs!$A$265)</f>
        <v>32978066.5779939</v>
      </c>
      <c r="AD276" s="154">
        <f t="shared" si="45"/>
        <v>632398715.44945967</v>
      </c>
      <c r="AE276" s="158"/>
      <c r="AG276" s="142">
        <v>534061947.46692705</v>
      </c>
      <c r="AO276" s="154">
        <f t="shared" si="46"/>
        <v>424947471.04213589</v>
      </c>
      <c r="AP276" s="154">
        <f t="shared" si="47"/>
        <v>116318395.47879958</v>
      </c>
      <c r="AQ276" s="154">
        <f t="shared" si="48"/>
        <v>39398972.485234104</v>
      </c>
      <c r="AR276" s="154">
        <f t="shared" si="49"/>
        <v>18755809.865296174</v>
      </c>
      <c r="AS276" s="154">
        <f t="shared" si="50"/>
        <v>32978066.5779939</v>
      </c>
    </row>
    <row r="277" spans="1:45">
      <c r="A277" s="143">
        <f t="shared" si="51"/>
        <v>2027</v>
      </c>
      <c r="B277" s="154">
        <f>B148/(1+TechnicalInputs!$D$2)^(TabularOutputs!$A277-TabularOutputs!$A$265)</f>
        <v>268283744.6895037</v>
      </c>
      <c r="C277" s="154">
        <f>C148/(1+TechnicalInputs!$D$2)^(TabularOutputs!$A277-TabularOutputs!$A$265)</f>
        <v>77144464.670003414</v>
      </c>
      <c r="D277" s="154">
        <f>D148/(1+TechnicalInputs!$D$2)^(TabularOutputs!$A277-TabularOutputs!$A$265)</f>
        <v>64695535.263918981</v>
      </c>
      <c r="E277" s="154">
        <f>E148/(1+TechnicalInputs!$D$2)^(TabularOutputs!$A277-TabularOutputs!$A$265)</f>
        <v>0</v>
      </c>
      <c r="F277" s="154">
        <f>F148/(1+TechnicalInputs!$D$2)^(TabularOutputs!$A277-TabularOutputs!$A$265)</f>
        <v>4294250.3635575976</v>
      </c>
      <c r="G277" s="154">
        <f>G148/(1+TechnicalInputs!$D$2)^(TabularOutputs!$A277-TabularOutputs!$A$265)</f>
        <v>71458776.74355121</v>
      </c>
      <c r="H277" s="154">
        <f>H148/(1+TechnicalInputs!$D$2)^(TabularOutputs!$A277-TabularOutputs!$A$265)</f>
        <v>38342046.850271955</v>
      </c>
      <c r="I277" s="154">
        <f>I148/(1+TechnicalInputs!$D$2)^(TabularOutputs!$A277-TabularOutputs!$A$265)</f>
        <v>0</v>
      </c>
      <c r="J277" s="154">
        <f>J148/(1+TechnicalInputs!$D$2)^(TabularOutputs!$A277-TabularOutputs!$A$265)</f>
        <v>0</v>
      </c>
      <c r="K277" s="154">
        <f>K148/(1+TechnicalInputs!$D$2)^(TabularOutputs!$A277-TabularOutputs!$A$265)</f>
        <v>0</v>
      </c>
      <c r="L277" s="154">
        <f>L148/(1+TechnicalInputs!$D$2)^(TabularOutputs!$A277-TabularOutputs!$A$265)</f>
        <v>0</v>
      </c>
      <c r="M277" s="154">
        <f>M148/(1+TechnicalInputs!$D$2)^(TabularOutputs!$A277-TabularOutputs!$A$265)</f>
        <v>0</v>
      </c>
      <c r="N277" s="154">
        <f>N148/(1+TechnicalInputs!$D$2)^(TabularOutputs!$A277-TabularOutputs!$A$265)</f>
        <v>39936382.665828049</v>
      </c>
      <c r="O277" s="154">
        <f>O148/(1+TechnicalInputs!$D$2)^(TabularOutputs!$A277-TabularOutputs!$A$265)</f>
        <v>0</v>
      </c>
      <c r="P277" s="154">
        <f>P148/(1+TechnicalInputs!$D$2)^(TabularOutputs!$A277-TabularOutputs!$A$265)</f>
        <v>0</v>
      </c>
      <c r="Q277" s="154">
        <f>Q148/(1+TechnicalInputs!$D$2)^(TabularOutputs!$A277-TabularOutputs!$A$265)</f>
        <v>0</v>
      </c>
      <c r="R277" s="154">
        <f>R148/(1+TechnicalInputs!$D$2)^(TabularOutputs!$A277-TabularOutputs!$A$265)</f>
        <v>0</v>
      </c>
      <c r="S277" s="154">
        <f>S148/(1+TechnicalInputs!$D$2)^(TabularOutputs!$A277-TabularOutputs!$A$265)</f>
        <v>0</v>
      </c>
      <c r="T277" s="154">
        <f>T148/(1+TechnicalInputs!$D$2)^(TabularOutputs!$A277-TabularOutputs!$A$265)</f>
        <v>18526110.345549215</v>
      </c>
      <c r="U277" s="154">
        <f>U148/(1+TechnicalInputs!$D$2)^(TabularOutputs!$A277-TabularOutputs!$A$265)</f>
        <v>0</v>
      </c>
      <c r="V277" s="154">
        <f>V148/(1+TechnicalInputs!$D$2)^(TabularOutputs!$A277-TabularOutputs!$A$265)</f>
        <v>0</v>
      </c>
      <c r="W277" s="154">
        <f>W148/(1+TechnicalInputs!$D$2)^(TabularOutputs!$A277-TabularOutputs!$A$265)</f>
        <v>0</v>
      </c>
      <c r="X277" s="154">
        <f>X148/(1+TechnicalInputs!$D$2)^(TabularOutputs!$A277-TabularOutputs!$A$265)</f>
        <v>0</v>
      </c>
      <c r="Y277" s="154">
        <f>Y148/(1+TechnicalInputs!$D$2)^(TabularOutputs!$A277-TabularOutputs!$A$265)</f>
        <v>0</v>
      </c>
      <c r="Z277" s="154">
        <f>Z148/(1+TechnicalInputs!$D$2)^(TabularOutputs!$A277-TabularOutputs!$A$265)</f>
        <v>0</v>
      </c>
      <c r="AA277" s="154">
        <f>AA148/(1+TechnicalInputs!$D$2)^(TabularOutputs!$A277-TabularOutputs!$A$265)</f>
        <v>0</v>
      </c>
      <c r="AB277" s="154">
        <f>AB148/(1+TechnicalInputs!$D$2)^(TabularOutputs!$A277-TabularOutputs!$A$265)</f>
        <v>0</v>
      </c>
      <c r="AC277" s="154">
        <f>AC148/(1+TechnicalInputs!$D$2)^(TabularOutputs!$A277-TabularOutputs!$A$265)</f>
        <v>32495460.725633014</v>
      </c>
      <c r="AD277" s="154">
        <f t="shared" si="45"/>
        <v>615176772.31781709</v>
      </c>
      <c r="AE277" s="158"/>
      <c r="AG277" s="142">
        <v>521601710.14931238</v>
      </c>
      <c r="AO277" s="154">
        <f t="shared" si="46"/>
        <v>410123744.62342608</v>
      </c>
      <c r="AP277" s="154">
        <f t="shared" si="47"/>
        <v>114095073.95738076</v>
      </c>
      <c r="AQ277" s="154">
        <f t="shared" si="48"/>
        <v>39936382.665828049</v>
      </c>
      <c r="AR277" s="154">
        <f t="shared" si="49"/>
        <v>18526110.345549215</v>
      </c>
      <c r="AS277" s="154">
        <f t="shared" si="50"/>
        <v>32495460.725633014</v>
      </c>
    </row>
    <row r="278" spans="1:45">
      <c r="A278" s="143">
        <f t="shared" si="51"/>
        <v>2028</v>
      </c>
      <c r="B278" s="154">
        <f>B149/(1+TechnicalInputs!$D$2)^(TabularOutputs!$A278-TabularOutputs!$A$265)</f>
        <v>255730938.78643706</v>
      </c>
      <c r="C278" s="154">
        <f>C149/(1+TechnicalInputs!$D$2)^(TabularOutputs!$A278-TabularOutputs!$A$265)</f>
        <v>76303032.186839104</v>
      </c>
      <c r="D278" s="154">
        <f>D149/(1+TechnicalInputs!$D$2)^(TabularOutputs!$A278-TabularOutputs!$A$265)</f>
        <v>63990112.771401055</v>
      </c>
      <c r="E278" s="154">
        <f>E149/(1+TechnicalInputs!$D$2)^(TabularOutputs!$A278-TabularOutputs!$A$265)</f>
        <v>0</v>
      </c>
      <c r="F278" s="154">
        <f>F149/(1+TechnicalInputs!$D$2)^(TabularOutputs!$A278-TabularOutputs!$A$265)</f>
        <v>4153107.9816270443</v>
      </c>
      <c r="G278" s="154">
        <f>G149/(1+TechnicalInputs!$D$2)^(TabularOutputs!$A278-TabularOutputs!$A$265)</f>
        <v>70289032.369194046</v>
      </c>
      <c r="H278" s="154">
        <f>H149/(1+TechnicalInputs!$D$2)^(TabularOutputs!$A278-TabularOutputs!$A$265)</f>
        <v>37463638.148703203</v>
      </c>
      <c r="I278" s="154">
        <f>I149/(1+TechnicalInputs!$D$2)^(TabularOutputs!$A278-TabularOutputs!$A$265)</f>
        <v>0</v>
      </c>
      <c r="J278" s="154">
        <f>J149/(1+TechnicalInputs!$D$2)^(TabularOutputs!$A278-TabularOutputs!$A$265)</f>
        <v>0</v>
      </c>
      <c r="K278" s="154">
        <f>K149/(1+TechnicalInputs!$D$2)^(TabularOutputs!$A278-TabularOutputs!$A$265)</f>
        <v>0</v>
      </c>
      <c r="L278" s="154">
        <f>L149/(1+TechnicalInputs!$D$2)^(TabularOutputs!$A278-TabularOutputs!$A$265)</f>
        <v>0</v>
      </c>
      <c r="M278" s="154">
        <f>M149/(1+TechnicalInputs!$D$2)^(TabularOutputs!$A278-TabularOutputs!$A$265)</f>
        <v>0</v>
      </c>
      <c r="N278" s="154">
        <f>N149/(1+TechnicalInputs!$D$2)^(TabularOutputs!$A278-TabularOutputs!$A$265)</f>
        <v>40444892.561698519</v>
      </c>
      <c r="O278" s="154">
        <f>O149/(1+TechnicalInputs!$D$2)^(TabularOutputs!$A278-TabularOutputs!$A$265)</f>
        <v>0</v>
      </c>
      <c r="P278" s="154">
        <f>P149/(1+TechnicalInputs!$D$2)^(TabularOutputs!$A278-TabularOutputs!$A$265)</f>
        <v>0</v>
      </c>
      <c r="Q278" s="154">
        <f>Q149/(1+TechnicalInputs!$D$2)^(TabularOutputs!$A278-TabularOutputs!$A$265)</f>
        <v>0</v>
      </c>
      <c r="R278" s="154">
        <f>R149/(1+TechnicalInputs!$D$2)^(TabularOutputs!$A278-TabularOutputs!$A$265)</f>
        <v>0</v>
      </c>
      <c r="S278" s="154">
        <f>S149/(1+TechnicalInputs!$D$2)^(TabularOutputs!$A278-TabularOutputs!$A$265)</f>
        <v>0</v>
      </c>
      <c r="T278" s="154">
        <f>T149/(1+TechnicalInputs!$D$2)^(TabularOutputs!$A278-TabularOutputs!$A$265)</f>
        <v>18283551.376978189</v>
      </c>
      <c r="U278" s="154">
        <f>U149/(1+TechnicalInputs!$D$2)^(TabularOutputs!$A278-TabularOutputs!$A$265)</f>
        <v>0</v>
      </c>
      <c r="V278" s="154">
        <f>V149/(1+TechnicalInputs!$D$2)^(TabularOutputs!$A278-TabularOutputs!$A$265)</f>
        <v>0</v>
      </c>
      <c r="W278" s="154">
        <f>W149/(1+TechnicalInputs!$D$2)^(TabularOutputs!$A278-TabularOutputs!$A$265)</f>
        <v>0</v>
      </c>
      <c r="X278" s="154">
        <f>X149/(1+TechnicalInputs!$D$2)^(TabularOutputs!$A278-TabularOutputs!$A$265)</f>
        <v>0</v>
      </c>
      <c r="Y278" s="154">
        <f>Y149/(1+TechnicalInputs!$D$2)^(TabularOutputs!$A278-TabularOutputs!$A$265)</f>
        <v>0</v>
      </c>
      <c r="Z278" s="154">
        <f>Z149/(1+TechnicalInputs!$D$2)^(TabularOutputs!$A278-TabularOutputs!$A$265)</f>
        <v>0</v>
      </c>
      <c r="AA278" s="154">
        <f>AA149/(1+TechnicalInputs!$D$2)^(TabularOutputs!$A278-TabularOutputs!$A$265)</f>
        <v>0</v>
      </c>
      <c r="AB278" s="154">
        <f>AB149/(1+TechnicalInputs!$D$2)^(TabularOutputs!$A278-TabularOutputs!$A$265)</f>
        <v>0</v>
      </c>
      <c r="AC278" s="154">
        <f>AC149/(1+TechnicalInputs!$D$2)^(TabularOutputs!$A278-TabularOutputs!$A$265)</f>
        <v>32019917.397940826</v>
      </c>
      <c r="AD278" s="154">
        <f t="shared" si="45"/>
        <v>598678223.58081901</v>
      </c>
      <c r="AE278" s="158"/>
      <c r="AG278" s="142">
        <v>509626952.104442</v>
      </c>
      <c r="AO278" s="154">
        <f t="shared" si="46"/>
        <v>396024083.74467719</v>
      </c>
      <c r="AP278" s="154">
        <f t="shared" si="47"/>
        <v>111905778.4995243</v>
      </c>
      <c r="AQ278" s="154">
        <f t="shared" si="48"/>
        <v>40444892.561698519</v>
      </c>
      <c r="AR278" s="154">
        <f t="shared" si="49"/>
        <v>18283551.376978189</v>
      </c>
      <c r="AS278" s="154">
        <f t="shared" si="50"/>
        <v>32019917.397940826</v>
      </c>
    </row>
    <row r="279" spans="1:45">
      <c r="A279" s="143">
        <f t="shared" si="51"/>
        <v>2029</v>
      </c>
      <c r="B279" s="154">
        <f>B150/(1+TechnicalInputs!$D$2)^(TabularOutputs!$A279-TabularOutputs!$A$265)</f>
        <v>243819182.31712708</v>
      </c>
      <c r="C279" s="154">
        <f>C150/(1+TechnicalInputs!$D$2)^(TabularOutputs!$A279-TabularOutputs!$A$265)</f>
        <v>75486146.122426525</v>
      </c>
      <c r="D279" s="154">
        <f>D150/(1+TechnicalInputs!$D$2)^(TabularOutputs!$A279-TabularOutputs!$A$265)</f>
        <v>63305272.069897801</v>
      </c>
      <c r="E279" s="154">
        <f>E150/(1+TechnicalInputs!$D$2)^(TabularOutputs!$A279-TabularOutputs!$A$265)</f>
        <v>0</v>
      </c>
      <c r="F279" s="154">
        <f>F150/(1+TechnicalInputs!$D$2)^(TabularOutputs!$A279-TabularOutputs!$A$265)</f>
        <v>4014271.3659839798</v>
      </c>
      <c r="G279" s="154">
        <f>G150/(1+TechnicalInputs!$D$2)^(TabularOutputs!$A279-TabularOutputs!$A$265)</f>
        <v>69134768.462743029</v>
      </c>
      <c r="H279" s="154">
        <f>H150/(1+TechnicalInputs!$D$2)^(TabularOutputs!$A279-TabularOutputs!$A$265)</f>
        <v>36601788.924984679</v>
      </c>
      <c r="I279" s="154">
        <f>I150/(1+TechnicalInputs!$D$2)^(TabularOutputs!$A279-TabularOutputs!$A$265)</f>
        <v>0</v>
      </c>
      <c r="J279" s="154">
        <f>J150/(1+TechnicalInputs!$D$2)^(TabularOutputs!$A279-TabularOutputs!$A$265)</f>
        <v>0</v>
      </c>
      <c r="K279" s="154">
        <f>K150/(1+TechnicalInputs!$D$2)^(TabularOutputs!$A279-TabularOutputs!$A$265)</f>
        <v>0</v>
      </c>
      <c r="L279" s="154">
        <f>L150/(1+TechnicalInputs!$D$2)^(TabularOutputs!$A279-TabularOutputs!$A$265)</f>
        <v>0</v>
      </c>
      <c r="M279" s="154">
        <f>M150/(1+TechnicalInputs!$D$2)^(TabularOutputs!$A279-TabularOutputs!$A$265)</f>
        <v>0</v>
      </c>
      <c r="N279" s="154">
        <f>N150/(1+TechnicalInputs!$D$2)^(TabularOutputs!$A279-TabularOutputs!$A$265)</f>
        <v>40967223.937948152</v>
      </c>
      <c r="O279" s="154">
        <f>O150/(1+TechnicalInputs!$D$2)^(TabularOutputs!$A279-TabularOutputs!$A$265)</f>
        <v>0</v>
      </c>
      <c r="P279" s="154">
        <f>P150/(1+TechnicalInputs!$D$2)^(TabularOutputs!$A279-TabularOutputs!$A$265)</f>
        <v>0</v>
      </c>
      <c r="Q279" s="154">
        <f>Q150/(1+TechnicalInputs!$D$2)^(TabularOutputs!$A279-TabularOutputs!$A$265)</f>
        <v>0</v>
      </c>
      <c r="R279" s="154">
        <f>R150/(1+TechnicalInputs!$D$2)^(TabularOutputs!$A279-TabularOutputs!$A$265)</f>
        <v>0</v>
      </c>
      <c r="S279" s="154">
        <f>S150/(1+TechnicalInputs!$D$2)^(TabularOutputs!$A279-TabularOutputs!$A$265)</f>
        <v>0</v>
      </c>
      <c r="T279" s="154">
        <f>T150/(1+TechnicalInputs!$D$2)^(TabularOutputs!$A279-TabularOutputs!$A$265)</f>
        <v>18030541.945135836</v>
      </c>
      <c r="U279" s="154">
        <f>U150/(1+TechnicalInputs!$D$2)^(TabularOutputs!$A279-TabularOutputs!$A$265)</f>
        <v>0</v>
      </c>
      <c r="V279" s="154">
        <f>V150/(1+TechnicalInputs!$D$2)^(TabularOutputs!$A279-TabularOutputs!$A$265)</f>
        <v>0</v>
      </c>
      <c r="W279" s="154">
        <f>W150/(1+TechnicalInputs!$D$2)^(TabularOutputs!$A279-TabularOutputs!$A$265)</f>
        <v>0</v>
      </c>
      <c r="X279" s="154">
        <f>X150/(1+TechnicalInputs!$D$2)^(TabularOutputs!$A279-TabularOutputs!$A$265)</f>
        <v>0</v>
      </c>
      <c r="Y279" s="154">
        <f>Y150/(1+TechnicalInputs!$D$2)^(TabularOutputs!$A279-TabularOutputs!$A$265)</f>
        <v>0</v>
      </c>
      <c r="Z279" s="154">
        <f>Z150/(1+TechnicalInputs!$D$2)^(TabularOutputs!$A279-TabularOutputs!$A$265)</f>
        <v>0</v>
      </c>
      <c r="AA279" s="154">
        <f>AA150/(1+TechnicalInputs!$D$2)^(TabularOutputs!$A279-TabularOutputs!$A$265)</f>
        <v>0</v>
      </c>
      <c r="AB279" s="154">
        <f>AB150/(1+TechnicalInputs!$D$2)^(TabularOutputs!$A279-TabularOutputs!$A$265)</f>
        <v>0</v>
      </c>
      <c r="AC279" s="154">
        <f>AC150/(1+TechnicalInputs!$D$2)^(TabularOutputs!$A279-TabularOutputs!$A$265)</f>
        <v>31551333.240897793</v>
      </c>
      <c r="AD279" s="154">
        <f t="shared" si="45"/>
        <v>582910528.38714492</v>
      </c>
      <c r="AE279" s="158"/>
      <c r="AG279" s="142">
        <v>498154399.98053485</v>
      </c>
      <c r="AO279" s="154">
        <f t="shared" si="46"/>
        <v>382610600.50945139</v>
      </c>
      <c r="AP279" s="154">
        <f t="shared" si="47"/>
        <v>109750828.75371169</v>
      </c>
      <c r="AQ279" s="154">
        <f t="shared" si="48"/>
        <v>40967223.937948152</v>
      </c>
      <c r="AR279" s="154">
        <f t="shared" si="49"/>
        <v>18030541.945135836</v>
      </c>
      <c r="AS279" s="154">
        <f t="shared" si="50"/>
        <v>31551333.240897793</v>
      </c>
    </row>
    <row r="280" spans="1:45">
      <c r="A280" s="143">
        <f t="shared" si="51"/>
        <v>2030</v>
      </c>
      <c r="B280" s="154">
        <f>B151/(1+TechnicalInputs!$D$2)^(TabularOutputs!$A280-TabularOutputs!$A$265)</f>
        <v>232518750.97856602</v>
      </c>
      <c r="C280" s="154">
        <f>C151/(1+TechnicalInputs!$D$2)^(TabularOutputs!$A280-TabularOutputs!$A$265)</f>
        <v>74705598.037965029</v>
      </c>
      <c r="D280" s="154">
        <f>D151/(1+TechnicalInputs!$D$2)^(TabularOutputs!$A280-TabularOutputs!$A$265)</f>
        <v>62650899.989544824</v>
      </c>
      <c r="E280" s="154">
        <f>E151/(1+TechnicalInputs!$D$2)^(TabularOutputs!$A280-TabularOutputs!$A$265)</f>
        <v>0</v>
      </c>
      <c r="F280" s="154">
        <f>F151/(1+TechnicalInputs!$D$2)^(TabularOutputs!$A280-TabularOutputs!$A$265)</f>
        <v>3877695.2298868704</v>
      </c>
      <c r="G280" s="154">
        <f>G151/(1+TechnicalInputs!$D$2)^(TabularOutputs!$A280-TabularOutputs!$A$265)</f>
        <v>67996071.92877014</v>
      </c>
      <c r="H280" s="154">
        <f>H151/(1+TechnicalInputs!$D$2)^(TabularOutputs!$A280-TabularOutputs!$A$265)</f>
        <v>35756717.228579499</v>
      </c>
      <c r="I280" s="154">
        <f>I151/(1+TechnicalInputs!$D$2)^(TabularOutputs!$A280-TabularOutputs!$A$265)</f>
        <v>0</v>
      </c>
      <c r="J280" s="154">
        <f>J151/(1+TechnicalInputs!$D$2)^(TabularOutputs!$A280-TabularOutputs!$A$265)</f>
        <v>0</v>
      </c>
      <c r="K280" s="154">
        <f>K151/(1+TechnicalInputs!$D$2)^(TabularOutputs!$A280-TabularOutputs!$A$265)</f>
        <v>0</v>
      </c>
      <c r="L280" s="154">
        <f>L151/(1+TechnicalInputs!$D$2)^(TabularOutputs!$A280-TabularOutputs!$A$265)</f>
        <v>0</v>
      </c>
      <c r="M280" s="154">
        <f>M151/(1+TechnicalInputs!$D$2)^(TabularOutputs!$A280-TabularOutputs!$A$265)</f>
        <v>0</v>
      </c>
      <c r="N280" s="154">
        <f>N151/(1+TechnicalInputs!$D$2)^(TabularOutputs!$A280-TabularOutputs!$A$265)</f>
        <v>41524666.050641969</v>
      </c>
      <c r="O280" s="154">
        <f>O151/(1+TechnicalInputs!$D$2)^(TabularOutputs!$A280-TabularOutputs!$A$265)</f>
        <v>0</v>
      </c>
      <c r="P280" s="154">
        <f>P151/(1+TechnicalInputs!$D$2)^(TabularOutputs!$A280-TabularOutputs!$A$265)</f>
        <v>0</v>
      </c>
      <c r="Q280" s="154">
        <f>Q151/(1+TechnicalInputs!$D$2)^(TabularOutputs!$A280-TabularOutputs!$A$265)</f>
        <v>0</v>
      </c>
      <c r="R280" s="154">
        <f>R151/(1+TechnicalInputs!$D$2)^(TabularOutputs!$A280-TabularOutputs!$A$265)</f>
        <v>0</v>
      </c>
      <c r="S280" s="154">
        <f>S151/(1+TechnicalInputs!$D$2)^(TabularOutputs!$A280-TabularOutputs!$A$265)</f>
        <v>0</v>
      </c>
      <c r="T280" s="154">
        <f>T151/(1+TechnicalInputs!$D$2)^(TabularOutputs!$A280-TabularOutputs!$A$265)</f>
        <v>17769158.767066512</v>
      </c>
      <c r="U280" s="154">
        <f>U151/(1+TechnicalInputs!$D$2)^(TabularOutputs!$A280-TabularOutputs!$A$265)</f>
        <v>0</v>
      </c>
      <c r="V280" s="154">
        <f>V151/(1+TechnicalInputs!$D$2)^(TabularOutputs!$A280-TabularOutputs!$A$265)</f>
        <v>0</v>
      </c>
      <c r="W280" s="154">
        <f>W151/(1+TechnicalInputs!$D$2)^(TabularOutputs!$A280-TabularOutputs!$A$265)</f>
        <v>0</v>
      </c>
      <c r="X280" s="154">
        <f>X151/(1+TechnicalInputs!$D$2)^(TabularOutputs!$A280-TabularOutputs!$A$265)</f>
        <v>0</v>
      </c>
      <c r="Y280" s="154">
        <f>Y151/(1+TechnicalInputs!$D$2)^(TabularOutputs!$A280-TabularOutputs!$A$265)</f>
        <v>0</v>
      </c>
      <c r="Z280" s="154">
        <f>Z151/(1+TechnicalInputs!$D$2)^(TabularOutputs!$A280-TabularOutputs!$A$265)</f>
        <v>0</v>
      </c>
      <c r="AA280" s="154">
        <f>AA151/(1+TechnicalInputs!$D$2)^(TabularOutputs!$A280-TabularOutputs!$A$265)</f>
        <v>0</v>
      </c>
      <c r="AB280" s="154">
        <f>AB151/(1+TechnicalInputs!$D$2)^(TabularOutputs!$A280-TabularOutputs!$A$265)</f>
        <v>0</v>
      </c>
      <c r="AC280" s="154">
        <f>AC151/(1+TechnicalInputs!$D$2)^(TabularOutputs!$A280-TabularOutputs!$A$265)</f>
        <v>31089606.412982211</v>
      </c>
      <c r="AD280" s="154">
        <f t="shared" si="45"/>
        <v>567889164.62400305</v>
      </c>
      <c r="AE280" s="158"/>
      <c r="AG280" s="142">
        <v>487210146.37094623</v>
      </c>
      <c r="AO280" s="154">
        <f t="shared" si="46"/>
        <v>369875249.00607586</v>
      </c>
      <c r="AP280" s="154">
        <f t="shared" si="47"/>
        <v>107630484.38723651</v>
      </c>
      <c r="AQ280" s="154">
        <f t="shared" si="48"/>
        <v>41524666.050641969</v>
      </c>
      <c r="AR280" s="154">
        <f t="shared" si="49"/>
        <v>17769158.767066512</v>
      </c>
      <c r="AS280" s="154">
        <f t="shared" si="50"/>
        <v>31089606.412982211</v>
      </c>
    </row>
    <row r="281" spans="1:45">
      <c r="A281" s="143">
        <f t="shared" si="51"/>
        <v>2031</v>
      </c>
      <c r="B281" s="154">
        <f>B152/(1+TechnicalInputs!$D$2)^(TabularOutputs!$A281-TabularOutputs!$A$265)</f>
        <v>221803656.08843958</v>
      </c>
      <c r="C281" s="154">
        <f>C152/(1+TechnicalInputs!$D$2)^(TabularOutputs!$A281-TabularOutputs!$A$265)</f>
        <v>73951149.148228601</v>
      </c>
      <c r="D281" s="154">
        <f>D152/(1+TechnicalInputs!$D$2)^(TabularOutputs!$A281-TabularOutputs!$A$265)</f>
        <v>62018411.492640771</v>
      </c>
      <c r="E281" s="154">
        <f>E152/(1+TechnicalInputs!$D$2)^(TabularOutputs!$A281-TabularOutputs!$A$265)</f>
        <v>0</v>
      </c>
      <c r="F281" s="154">
        <f>F152/(1+TechnicalInputs!$D$2)^(TabularOutputs!$A281-TabularOutputs!$A$265)</f>
        <v>3742953.3054073714</v>
      </c>
      <c r="G281" s="154">
        <f>G152/(1+TechnicalInputs!$D$2)^(TabularOutputs!$A281-TabularOutputs!$A$265)</f>
        <v>66872480.739580929</v>
      </c>
      <c r="H281" s="154">
        <f>H152/(1+TechnicalInputs!$D$2)^(TabularOutputs!$A281-TabularOutputs!$A$265)</f>
        <v>34928432.569781639</v>
      </c>
      <c r="I281" s="154">
        <f>I152/(1+TechnicalInputs!$D$2)^(TabularOutputs!$A281-TabularOutputs!$A$265)</f>
        <v>0</v>
      </c>
      <c r="J281" s="154">
        <f>J152/(1+TechnicalInputs!$D$2)^(TabularOutputs!$A281-TabularOutputs!$A$265)</f>
        <v>0</v>
      </c>
      <c r="K281" s="154">
        <f>K152/(1+TechnicalInputs!$D$2)^(TabularOutputs!$A281-TabularOutputs!$A$265)</f>
        <v>0</v>
      </c>
      <c r="L281" s="154">
        <f>L152/(1+TechnicalInputs!$D$2)^(TabularOutputs!$A281-TabularOutputs!$A$265)</f>
        <v>0</v>
      </c>
      <c r="M281" s="154">
        <f>M152/(1+TechnicalInputs!$D$2)^(TabularOutputs!$A281-TabularOutputs!$A$265)</f>
        <v>0</v>
      </c>
      <c r="N281" s="154">
        <f>N152/(1+TechnicalInputs!$D$2)^(TabularOutputs!$A281-TabularOutputs!$A$265)</f>
        <v>42062698.342134409</v>
      </c>
      <c r="O281" s="154">
        <f>O152/(1+TechnicalInputs!$D$2)^(TabularOutputs!$A281-TabularOutputs!$A$265)</f>
        <v>0</v>
      </c>
      <c r="P281" s="154">
        <f>P152/(1+TechnicalInputs!$D$2)^(TabularOutputs!$A281-TabularOutputs!$A$265)</f>
        <v>0</v>
      </c>
      <c r="Q281" s="154">
        <f>Q152/(1+TechnicalInputs!$D$2)^(TabularOutputs!$A281-TabularOutputs!$A$265)</f>
        <v>0</v>
      </c>
      <c r="R281" s="154">
        <f>R152/(1+TechnicalInputs!$D$2)^(TabularOutputs!$A281-TabularOutputs!$A$265)</f>
        <v>0</v>
      </c>
      <c r="S281" s="154">
        <f>S152/(1+TechnicalInputs!$D$2)^(TabularOutputs!$A281-TabularOutputs!$A$265)</f>
        <v>0</v>
      </c>
      <c r="T281" s="154">
        <f>T152/(1+TechnicalInputs!$D$2)^(TabularOutputs!$A281-TabularOutputs!$A$265)</f>
        <v>17501107.053656258</v>
      </c>
      <c r="U281" s="154">
        <f>U152/(1+TechnicalInputs!$D$2)^(TabularOutputs!$A281-TabularOutputs!$A$265)</f>
        <v>0</v>
      </c>
      <c r="V281" s="154">
        <f>V152/(1+TechnicalInputs!$D$2)^(TabularOutputs!$A281-TabularOutputs!$A$265)</f>
        <v>0</v>
      </c>
      <c r="W281" s="154">
        <f>W152/(1+TechnicalInputs!$D$2)^(TabularOutputs!$A281-TabularOutputs!$A$265)</f>
        <v>0</v>
      </c>
      <c r="X281" s="154">
        <f>X152/(1+TechnicalInputs!$D$2)^(TabularOutputs!$A281-TabularOutputs!$A$265)</f>
        <v>0</v>
      </c>
      <c r="Y281" s="154">
        <f>Y152/(1+TechnicalInputs!$D$2)^(TabularOutputs!$A281-TabularOutputs!$A$265)</f>
        <v>0</v>
      </c>
      <c r="Z281" s="154">
        <f>Z152/(1+TechnicalInputs!$D$2)^(TabularOutputs!$A281-TabularOutputs!$A$265)</f>
        <v>0</v>
      </c>
      <c r="AA281" s="154">
        <f>AA152/(1+TechnicalInputs!$D$2)^(TabularOutputs!$A281-TabularOutputs!$A$265)</f>
        <v>0</v>
      </c>
      <c r="AB281" s="154">
        <f>AB152/(1+TechnicalInputs!$D$2)^(TabularOutputs!$A281-TabularOutputs!$A$265)</f>
        <v>0</v>
      </c>
      <c r="AC281" s="154">
        <f>AC152/(1+TechnicalInputs!$D$2)^(TabularOutputs!$A281-TabularOutputs!$A$265)</f>
        <v>30634636.563036129</v>
      </c>
      <c r="AD281" s="154">
        <f t="shared" si="45"/>
        <v>553515525.30290568</v>
      </c>
      <c r="AE281" s="158"/>
      <c r="AG281" s="142">
        <v>476704867.79343814</v>
      </c>
      <c r="AO281" s="154">
        <f t="shared" si="46"/>
        <v>357773216.72930896</v>
      </c>
      <c r="AP281" s="154">
        <f t="shared" si="47"/>
        <v>105543866.61476994</v>
      </c>
      <c r="AQ281" s="154">
        <f t="shared" si="48"/>
        <v>42062698.342134409</v>
      </c>
      <c r="AR281" s="154">
        <f t="shared" si="49"/>
        <v>17501107.053656258</v>
      </c>
      <c r="AS281" s="154">
        <f t="shared" si="50"/>
        <v>30634636.563036129</v>
      </c>
    </row>
    <row r="282" spans="1:45">
      <c r="A282" s="143">
        <f t="shared" si="51"/>
        <v>2032</v>
      </c>
      <c r="B282" s="154">
        <f>B153/(1+TechnicalInputs!$D$2)^(TabularOutputs!$A282-TabularOutputs!$A$265)</f>
        <v>211646155.3185311</v>
      </c>
      <c r="C282" s="154">
        <f>C153/(1+TechnicalInputs!$D$2)^(TabularOutputs!$A282-TabularOutputs!$A$265)</f>
        <v>73220748.687684089</v>
      </c>
      <c r="D282" s="154">
        <f>D153/(1+TechnicalInputs!$D$2)^(TabularOutputs!$A282-TabularOutputs!$A$265)</f>
        <v>61406086.994077474</v>
      </c>
      <c r="E282" s="154">
        <f>E153/(1+TechnicalInputs!$D$2)^(TabularOutputs!$A282-TabularOutputs!$A$265)</f>
        <v>0</v>
      </c>
      <c r="F282" s="154">
        <f>F153/(1+TechnicalInputs!$D$2)^(TabularOutputs!$A282-TabularOutputs!$A$265)</f>
        <v>3610410.6000042511</v>
      </c>
      <c r="G282" s="154">
        <f>G153/(1+TechnicalInputs!$D$2)^(TabularOutputs!$A282-TabularOutputs!$A$265)</f>
        <v>65764274.601427794</v>
      </c>
      <c r="H282" s="154">
        <f>H153/(1+TechnicalInputs!$D$2)^(TabularOutputs!$A282-TabularOutputs!$A$265)</f>
        <v>34116921.761418015</v>
      </c>
      <c r="I282" s="154">
        <f>I153/(1+TechnicalInputs!$D$2)^(TabularOutputs!$A282-TabularOutputs!$A$265)</f>
        <v>0</v>
      </c>
      <c r="J282" s="154">
        <f>J153/(1+TechnicalInputs!$D$2)^(TabularOutputs!$A282-TabularOutputs!$A$265)</f>
        <v>0</v>
      </c>
      <c r="K282" s="154">
        <f>K153/(1+TechnicalInputs!$D$2)^(TabularOutputs!$A282-TabularOutputs!$A$265)</f>
        <v>0</v>
      </c>
      <c r="L282" s="154">
        <f>L153/(1+TechnicalInputs!$D$2)^(TabularOutputs!$A282-TabularOutputs!$A$265)</f>
        <v>0</v>
      </c>
      <c r="M282" s="154">
        <f>M153/(1+TechnicalInputs!$D$2)^(TabularOutputs!$A282-TabularOutputs!$A$265)</f>
        <v>0</v>
      </c>
      <c r="N282" s="154">
        <f>N153/(1+TechnicalInputs!$D$2)^(TabularOutputs!$A282-TabularOutputs!$A$265)</f>
        <v>42632651.185661264</v>
      </c>
      <c r="O282" s="154">
        <f>O153/(1+TechnicalInputs!$D$2)^(TabularOutputs!$A282-TabularOutputs!$A$265)</f>
        <v>0</v>
      </c>
      <c r="P282" s="154">
        <f>P153/(1+TechnicalInputs!$D$2)^(TabularOutputs!$A282-TabularOutputs!$A$265)</f>
        <v>0</v>
      </c>
      <c r="Q282" s="154">
        <f>Q153/(1+TechnicalInputs!$D$2)^(TabularOutputs!$A282-TabularOutputs!$A$265)</f>
        <v>0</v>
      </c>
      <c r="R282" s="154">
        <f>R153/(1+TechnicalInputs!$D$2)^(TabularOutputs!$A282-TabularOutputs!$A$265)</f>
        <v>0</v>
      </c>
      <c r="S282" s="154">
        <f>S153/(1+TechnicalInputs!$D$2)^(TabularOutputs!$A282-TabularOutputs!$A$265)</f>
        <v>0</v>
      </c>
      <c r="T282" s="154">
        <f>T153/(1+TechnicalInputs!$D$2)^(TabularOutputs!$A282-TabularOutputs!$A$265)</f>
        <v>17227858.628977824</v>
      </c>
      <c r="U282" s="154">
        <f>U153/(1+TechnicalInputs!$D$2)^(TabularOutputs!$A282-TabularOutputs!$A$265)</f>
        <v>0</v>
      </c>
      <c r="V282" s="154">
        <f>V153/(1+TechnicalInputs!$D$2)^(TabularOutputs!$A282-TabularOutputs!$A$265)</f>
        <v>0</v>
      </c>
      <c r="W282" s="154">
        <f>W153/(1+TechnicalInputs!$D$2)^(TabularOutputs!$A282-TabularOutputs!$A$265)</f>
        <v>0</v>
      </c>
      <c r="X282" s="154">
        <f>X153/(1+TechnicalInputs!$D$2)^(TabularOutputs!$A282-TabularOutputs!$A$265)</f>
        <v>0</v>
      </c>
      <c r="Y282" s="154">
        <f>Y153/(1+TechnicalInputs!$D$2)^(TabularOutputs!$A282-TabularOutputs!$A$265)</f>
        <v>0</v>
      </c>
      <c r="Z282" s="154">
        <f>Z153/(1+TechnicalInputs!$D$2)^(TabularOutputs!$A282-TabularOutputs!$A$265)</f>
        <v>0</v>
      </c>
      <c r="AA282" s="154">
        <f>AA153/(1+TechnicalInputs!$D$2)^(TabularOutputs!$A282-TabularOutputs!$A$265)</f>
        <v>0</v>
      </c>
      <c r="AB282" s="154">
        <f>AB153/(1+TechnicalInputs!$D$2)^(TabularOutputs!$A282-TabularOutputs!$A$265)</f>
        <v>0</v>
      </c>
      <c r="AC282" s="154">
        <f>AC153/(1+TechnicalInputs!$D$2)^(TabularOutputs!$A282-TabularOutputs!$A$265)</f>
        <v>30186324.808455117</v>
      </c>
      <c r="AD282" s="154">
        <f t="shared" si="45"/>
        <v>539811432.58623695</v>
      </c>
      <c r="AE282" s="158"/>
      <c r="AG282" s="142">
        <v>466670328.03696609</v>
      </c>
      <c r="AO282" s="154">
        <f t="shared" si="46"/>
        <v>346272991.00029266</v>
      </c>
      <c r="AP282" s="154">
        <f t="shared" si="47"/>
        <v>103491606.96285006</v>
      </c>
      <c r="AQ282" s="154">
        <f t="shared" si="48"/>
        <v>42632651.185661264</v>
      </c>
      <c r="AR282" s="154">
        <f t="shared" si="49"/>
        <v>17227858.628977824</v>
      </c>
      <c r="AS282" s="154">
        <f t="shared" si="50"/>
        <v>30186324.808455117</v>
      </c>
    </row>
    <row r="283" spans="1:45">
      <c r="A283" s="143">
        <f t="shared" si="51"/>
        <v>2033</v>
      </c>
      <c r="B283" s="154">
        <f>B154/(1+TechnicalInputs!$D$2)^(TabularOutputs!$A283-TabularOutputs!$A$265)</f>
        <v>201975672.14573333</v>
      </c>
      <c r="C283" s="154">
        <f>C154/(1+TechnicalInputs!$D$2)^(TabularOutputs!$A283-TabularOutputs!$A$265)</f>
        <v>72505825.056031868</v>
      </c>
      <c r="D283" s="154">
        <f>D154/(1+TechnicalInputs!$D$2)^(TabularOutputs!$A283-TabularOutputs!$A$265)</f>
        <v>60806725.533918917</v>
      </c>
      <c r="E283" s="154">
        <f>E154/(1+TechnicalInputs!$D$2)^(TabularOutputs!$A283-TabularOutputs!$A$265)</f>
        <v>0</v>
      </c>
      <c r="F283" s="154">
        <f>F154/(1+TechnicalInputs!$D$2)^(TabularOutputs!$A283-TabularOutputs!$A$265)</f>
        <v>3480023.6460386794</v>
      </c>
      <c r="G283" s="154">
        <f>G154/(1+TechnicalInputs!$D$2)^(TabularOutputs!$A283-TabularOutputs!$A$265)</f>
        <v>64671132.504322253</v>
      </c>
      <c r="H283" s="154">
        <f>H154/(1+TechnicalInputs!$D$2)^(TabularOutputs!$A283-TabularOutputs!$A$265)</f>
        <v>33344378.797493763</v>
      </c>
      <c r="I283" s="154">
        <f>I154/(1+TechnicalInputs!$D$2)^(TabularOutputs!$A283-TabularOutputs!$A$265)</f>
        <v>0</v>
      </c>
      <c r="J283" s="154">
        <f>J154/(1+TechnicalInputs!$D$2)^(TabularOutputs!$A283-TabularOutputs!$A$265)</f>
        <v>0</v>
      </c>
      <c r="K283" s="154">
        <f>K154/(1+TechnicalInputs!$D$2)^(TabularOutputs!$A283-TabularOutputs!$A$265)</f>
        <v>0</v>
      </c>
      <c r="L283" s="154">
        <f>L154/(1+TechnicalInputs!$D$2)^(TabularOutputs!$A283-TabularOutputs!$A$265)</f>
        <v>0</v>
      </c>
      <c r="M283" s="154">
        <f>M154/(1+TechnicalInputs!$D$2)^(TabularOutputs!$A283-TabularOutputs!$A$265)</f>
        <v>0</v>
      </c>
      <c r="N283" s="154">
        <f>N154/(1+TechnicalInputs!$D$2)^(TabularOutputs!$A283-TabularOutputs!$A$265)</f>
        <v>42873449.295424789</v>
      </c>
      <c r="O283" s="154">
        <f>O154/(1+TechnicalInputs!$D$2)^(TabularOutputs!$A283-TabularOutputs!$A$265)</f>
        <v>0</v>
      </c>
      <c r="P283" s="154">
        <f>P154/(1+TechnicalInputs!$D$2)^(TabularOutputs!$A283-TabularOutputs!$A$265)</f>
        <v>0</v>
      </c>
      <c r="Q283" s="154">
        <f>Q154/(1+TechnicalInputs!$D$2)^(TabularOutputs!$A283-TabularOutputs!$A$265)</f>
        <v>0</v>
      </c>
      <c r="R283" s="154">
        <f>R154/(1+TechnicalInputs!$D$2)^(TabularOutputs!$A283-TabularOutputs!$A$265)</f>
        <v>0</v>
      </c>
      <c r="S283" s="154">
        <f>S154/(1+TechnicalInputs!$D$2)^(TabularOutputs!$A283-TabularOutputs!$A$265)</f>
        <v>0</v>
      </c>
      <c r="T283" s="154">
        <f>T154/(1+TechnicalInputs!$D$2)^(TabularOutputs!$A283-TabularOutputs!$A$265)</f>
        <v>17155268.50193426</v>
      </c>
      <c r="U283" s="154">
        <f>U154/(1+TechnicalInputs!$D$2)^(TabularOutputs!$A283-TabularOutputs!$A$265)</f>
        <v>0</v>
      </c>
      <c r="V283" s="154">
        <f>V154/(1+TechnicalInputs!$D$2)^(TabularOutputs!$A283-TabularOutputs!$A$265)</f>
        <v>0</v>
      </c>
      <c r="W283" s="154">
        <f>W154/(1+TechnicalInputs!$D$2)^(TabularOutputs!$A283-TabularOutputs!$A$265)</f>
        <v>0</v>
      </c>
      <c r="X283" s="154">
        <f>X154/(1+TechnicalInputs!$D$2)^(TabularOutputs!$A283-TabularOutputs!$A$265)</f>
        <v>0</v>
      </c>
      <c r="Y283" s="154">
        <f>Y154/(1+TechnicalInputs!$D$2)^(TabularOutputs!$A283-TabularOutputs!$A$265)</f>
        <v>0</v>
      </c>
      <c r="Z283" s="154">
        <f>Z154/(1+TechnicalInputs!$D$2)^(TabularOutputs!$A283-TabularOutputs!$A$265)</f>
        <v>0</v>
      </c>
      <c r="AA283" s="154">
        <f>AA154/(1+TechnicalInputs!$D$2)^(TabularOutputs!$A283-TabularOutputs!$A$265)</f>
        <v>0</v>
      </c>
      <c r="AB283" s="154">
        <f>AB154/(1+TechnicalInputs!$D$2)^(TabularOutputs!$A283-TabularOutputs!$A$265)</f>
        <v>0</v>
      </c>
      <c r="AC283" s="154">
        <f>AC154/(1+TechnicalInputs!$D$2)^(TabularOutputs!$A283-TabularOutputs!$A$265)</f>
        <v>29744573.713697236</v>
      </c>
      <c r="AD283" s="154">
        <f t="shared" si="45"/>
        <v>526557049.19459504</v>
      </c>
      <c r="AE283" s="158"/>
      <c r="AG283" s="142">
        <v>456913230.86178029</v>
      </c>
      <c r="AO283" s="154">
        <f t="shared" si="46"/>
        <v>335288222.7356841</v>
      </c>
      <c r="AP283" s="154">
        <f t="shared" si="47"/>
        <v>101495534.9478547</v>
      </c>
      <c r="AQ283" s="154">
        <f t="shared" si="48"/>
        <v>42873449.295424789</v>
      </c>
      <c r="AR283" s="154">
        <f t="shared" si="49"/>
        <v>17155268.50193426</v>
      </c>
      <c r="AS283" s="154">
        <f t="shared" si="50"/>
        <v>29744573.713697236</v>
      </c>
    </row>
    <row r="284" spans="1:45">
      <c r="A284" s="143">
        <f t="shared" si="51"/>
        <v>2034</v>
      </c>
      <c r="B284" s="154">
        <f>B155/(1+TechnicalInputs!$D$2)^(TabularOutputs!$A284-TabularOutputs!$A$265)</f>
        <v>192765217.19171318</v>
      </c>
      <c r="C284" s="154">
        <f>C155/(1+TechnicalInputs!$D$2)^(TabularOutputs!$A284-TabularOutputs!$A$265)</f>
        <v>71816344.195002705</v>
      </c>
      <c r="D284" s="154">
        <f>D155/(1+TechnicalInputs!$D$2)^(TabularOutputs!$A284-TabularOutputs!$A$265)</f>
        <v>60228696.370725885</v>
      </c>
      <c r="E284" s="154">
        <f>E155/(1+TechnicalInputs!$D$2)^(TabularOutputs!$A284-TabularOutputs!$A$265)</f>
        <v>0</v>
      </c>
      <c r="F284" s="154">
        <f>F155/(1+TechnicalInputs!$D$2)^(TabularOutputs!$A284-TabularOutputs!$A$265)</f>
        <v>3351749.7855359018</v>
      </c>
      <c r="G284" s="154">
        <f>G155/(1+TechnicalInputs!$D$2)^(TabularOutputs!$A284-TabularOutputs!$A$265)</f>
        <v>63593358.188755184</v>
      </c>
      <c r="H284" s="154">
        <f>H155/(1+TechnicalInputs!$D$2)^(TabularOutputs!$A284-TabularOutputs!$A$265)</f>
        <v>32589370.679061145</v>
      </c>
      <c r="I284" s="154">
        <f>I155/(1+TechnicalInputs!$D$2)^(TabularOutputs!$A284-TabularOutputs!$A$265)</f>
        <v>0</v>
      </c>
      <c r="J284" s="154">
        <f>J155/(1+TechnicalInputs!$D$2)^(TabularOutputs!$A284-TabularOutputs!$A$265)</f>
        <v>0</v>
      </c>
      <c r="K284" s="154">
        <f>K155/(1+TechnicalInputs!$D$2)^(TabularOutputs!$A284-TabularOutputs!$A$265)</f>
        <v>0</v>
      </c>
      <c r="L284" s="154">
        <f>L155/(1+TechnicalInputs!$D$2)^(TabularOutputs!$A284-TabularOutputs!$A$265)</f>
        <v>0</v>
      </c>
      <c r="M284" s="154">
        <f>M155/(1+TechnicalInputs!$D$2)^(TabularOutputs!$A284-TabularOutputs!$A$265)</f>
        <v>0</v>
      </c>
      <c r="N284" s="154">
        <f>N155/(1+TechnicalInputs!$D$2)^(TabularOutputs!$A284-TabularOutputs!$A$265)</f>
        <v>43115607.483157977</v>
      </c>
      <c r="O284" s="154">
        <f>O155/(1+TechnicalInputs!$D$2)^(TabularOutputs!$A284-TabularOutputs!$A$265)</f>
        <v>0</v>
      </c>
      <c r="P284" s="154">
        <f>P155/(1+TechnicalInputs!$D$2)^(TabularOutputs!$A284-TabularOutputs!$A$265)</f>
        <v>0</v>
      </c>
      <c r="Q284" s="154">
        <f>Q155/(1+TechnicalInputs!$D$2)^(TabularOutputs!$A284-TabularOutputs!$A$265)</f>
        <v>0</v>
      </c>
      <c r="R284" s="154">
        <f>R155/(1+TechnicalInputs!$D$2)^(TabularOutputs!$A284-TabularOutputs!$A$265)</f>
        <v>0</v>
      </c>
      <c r="S284" s="154">
        <f>S155/(1+TechnicalInputs!$D$2)^(TabularOutputs!$A284-TabularOutputs!$A$265)</f>
        <v>0</v>
      </c>
      <c r="T284" s="154">
        <f>T155/(1+TechnicalInputs!$D$2)^(TabularOutputs!$A284-TabularOutputs!$A$265)</f>
        <v>17083005.93528875</v>
      </c>
      <c r="U284" s="154">
        <f>U155/(1+TechnicalInputs!$D$2)^(TabularOutputs!$A284-TabularOutputs!$A$265)</f>
        <v>0</v>
      </c>
      <c r="V284" s="154">
        <f>V155/(1+TechnicalInputs!$D$2)^(TabularOutputs!$A284-TabularOutputs!$A$265)</f>
        <v>0</v>
      </c>
      <c r="W284" s="154">
        <f>W155/(1+TechnicalInputs!$D$2)^(TabularOutputs!$A284-TabularOutputs!$A$265)</f>
        <v>0</v>
      </c>
      <c r="X284" s="154">
        <f>X155/(1+TechnicalInputs!$D$2)^(TabularOutputs!$A284-TabularOutputs!$A$265)</f>
        <v>0</v>
      </c>
      <c r="Y284" s="154">
        <f>Y155/(1+TechnicalInputs!$D$2)^(TabularOutputs!$A284-TabularOutputs!$A$265)</f>
        <v>0</v>
      </c>
      <c r="Z284" s="154">
        <f>Z155/(1+TechnicalInputs!$D$2)^(TabularOutputs!$A284-TabularOutputs!$A$265)</f>
        <v>0</v>
      </c>
      <c r="AA284" s="154">
        <f>AA155/(1+TechnicalInputs!$D$2)^(TabularOutputs!$A284-TabularOutputs!$A$265)</f>
        <v>0</v>
      </c>
      <c r="AB284" s="154">
        <f>AB155/(1+TechnicalInputs!$D$2)^(TabularOutputs!$A284-TabularOutputs!$A$265)</f>
        <v>0</v>
      </c>
      <c r="AC284" s="154">
        <f>AC155/(1+TechnicalInputs!$D$2)^(TabularOutputs!$A284-TabularOutputs!$A$265)</f>
        <v>29309287.269106545</v>
      </c>
      <c r="AD284" s="154">
        <f t="shared" si="45"/>
        <v>513852637.09834731</v>
      </c>
      <c r="AE284" s="158"/>
      <c r="AG284" s="142">
        <v>447542210.71714312</v>
      </c>
      <c r="AO284" s="154">
        <f t="shared" si="46"/>
        <v>324810257.75744176</v>
      </c>
      <c r="AP284" s="154">
        <f t="shared" si="47"/>
        <v>99534478.653352231</v>
      </c>
      <c r="AQ284" s="154">
        <f t="shared" si="48"/>
        <v>43115607.483157977</v>
      </c>
      <c r="AR284" s="154">
        <f t="shared" si="49"/>
        <v>17083005.93528875</v>
      </c>
      <c r="AS284" s="154">
        <f t="shared" si="50"/>
        <v>29309287.269106545</v>
      </c>
    </row>
    <row r="285" spans="1:45">
      <c r="A285" s="143">
        <f t="shared" si="51"/>
        <v>2035</v>
      </c>
      <c r="B285" s="154">
        <f>B156/(1+TechnicalInputs!$D$2)^(TabularOutputs!$A285-TabularOutputs!$A$265)</f>
        <v>183995216.57260644</v>
      </c>
      <c r="C285" s="154">
        <f>C156/(1+TechnicalInputs!$D$2)^(TabularOutputs!$A285-TabularOutputs!$A$265)</f>
        <v>71148298.363485217</v>
      </c>
      <c r="D285" s="154">
        <f>D156/(1+TechnicalInputs!$D$2)^(TabularOutputs!$A285-TabularOutputs!$A$265)</f>
        <v>59668639.129834682</v>
      </c>
      <c r="E285" s="154">
        <f>E156/(1+TechnicalInputs!$D$2)^(TabularOutputs!$A285-TabularOutputs!$A$265)</f>
        <v>0</v>
      </c>
      <c r="F285" s="154">
        <f>F156/(1+TechnicalInputs!$D$2)^(TabularOutputs!$A285-TabularOutputs!$A$265)</f>
        <v>3225547.154836826</v>
      </c>
      <c r="G285" s="154">
        <f>G156/(1+TechnicalInputs!$D$2)^(TabularOutputs!$A285-TabularOutputs!$A$265)</f>
        <v>62530799.158751495</v>
      </c>
      <c r="H285" s="154">
        <f>H156/(1+TechnicalInputs!$D$2)^(TabularOutputs!$A285-TabularOutputs!$A$265)</f>
        <v>31851483.126268916</v>
      </c>
      <c r="I285" s="154">
        <f>I156/(1+TechnicalInputs!$D$2)^(TabularOutputs!$A285-TabularOutputs!$A$265)</f>
        <v>0</v>
      </c>
      <c r="J285" s="154">
        <f>J156/(1+TechnicalInputs!$D$2)^(TabularOutputs!$A285-TabularOutputs!$A$265)</f>
        <v>0</v>
      </c>
      <c r="K285" s="154">
        <f>K156/(1+TechnicalInputs!$D$2)^(TabularOutputs!$A285-TabularOutputs!$A$265)</f>
        <v>0</v>
      </c>
      <c r="L285" s="154">
        <f>L156/(1+TechnicalInputs!$D$2)^(TabularOutputs!$A285-TabularOutputs!$A$265)</f>
        <v>0</v>
      </c>
      <c r="M285" s="154">
        <f>M156/(1+TechnicalInputs!$D$2)^(TabularOutputs!$A285-TabularOutputs!$A$265)</f>
        <v>0</v>
      </c>
      <c r="N285" s="154">
        <f>N156/(1+TechnicalInputs!$D$2)^(TabularOutputs!$A285-TabularOutputs!$A$265)</f>
        <v>43359133.430864997</v>
      </c>
      <c r="O285" s="154">
        <f>O156/(1+TechnicalInputs!$D$2)^(TabularOutputs!$A285-TabularOutputs!$A$265)</f>
        <v>0</v>
      </c>
      <c r="P285" s="154">
        <f>P156/(1+TechnicalInputs!$D$2)^(TabularOutputs!$A285-TabularOutputs!$A$265)</f>
        <v>0</v>
      </c>
      <c r="Q285" s="154">
        <f>Q156/(1+TechnicalInputs!$D$2)^(TabularOutputs!$A285-TabularOutputs!$A$265)</f>
        <v>0</v>
      </c>
      <c r="R285" s="154">
        <f>R156/(1+TechnicalInputs!$D$2)^(TabularOutputs!$A285-TabularOutputs!$A$265)</f>
        <v>0</v>
      </c>
      <c r="S285" s="154">
        <f>S156/(1+TechnicalInputs!$D$2)^(TabularOutputs!$A285-TabularOutputs!$A$265)</f>
        <v>0</v>
      </c>
      <c r="T285" s="154">
        <f>T156/(1+TechnicalInputs!$D$2)^(TabularOutputs!$A285-TabularOutputs!$A$265)</f>
        <v>17011061.169892378</v>
      </c>
      <c r="U285" s="154">
        <f>U156/(1+TechnicalInputs!$D$2)^(TabularOutputs!$A285-TabularOutputs!$A$265)</f>
        <v>0</v>
      </c>
      <c r="V285" s="154">
        <f>V156/(1+TechnicalInputs!$D$2)^(TabularOutputs!$A285-TabularOutputs!$A$265)</f>
        <v>0</v>
      </c>
      <c r="W285" s="154">
        <f>W156/(1+TechnicalInputs!$D$2)^(TabularOutputs!$A285-TabularOutputs!$A$265)</f>
        <v>0</v>
      </c>
      <c r="X285" s="154">
        <f>X156/(1+TechnicalInputs!$D$2)^(TabularOutputs!$A285-TabularOutputs!$A$265)</f>
        <v>0</v>
      </c>
      <c r="Y285" s="154">
        <f>Y156/(1+TechnicalInputs!$D$2)^(TabularOutputs!$A285-TabularOutputs!$A$265)</f>
        <v>0</v>
      </c>
      <c r="Z285" s="154">
        <f>Z156/(1+TechnicalInputs!$D$2)^(TabularOutputs!$A285-TabularOutputs!$A$265)</f>
        <v>0</v>
      </c>
      <c r="AA285" s="154">
        <f>AA156/(1+TechnicalInputs!$D$2)^(TabularOutputs!$A285-TabularOutputs!$A$265)</f>
        <v>0</v>
      </c>
      <c r="AB285" s="154">
        <f>AB156/(1+TechnicalInputs!$D$2)^(TabularOutputs!$A285-TabularOutputs!$A$265)</f>
        <v>0</v>
      </c>
      <c r="AC285" s="154">
        <f>AC156/(1+TechnicalInputs!$D$2)^(TabularOutputs!$A285-TabularOutputs!$A$265)</f>
        <v>28880370.870046452</v>
      </c>
      <c r="AD285" s="154">
        <f t="shared" si="45"/>
        <v>501670548.97658736</v>
      </c>
      <c r="AE285" s="158"/>
      <c r="AG285" s="142">
        <v>438536618.76632446</v>
      </c>
      <c r="AO285" s="154">
        <f t="shared" si="46"/>
        <v>314812154.06592631</v>
      </c>
      <c r="AP285" s="154">
        <f t="shared" si="47"/>
        <v>97607829.439857244</v>
      </c>
      <c r="AQ285" s="154">
        <f t="shared" si="48"/>
        <v>43359133.430864997</v>
      </c>
      <c r="AR285" s="154">
        <f t="shared" si="49"/>
        <v>17011061.169892378</v>
      </c>
      <c r="AS285" s="154">
        <f t="shared" si="50"/>
        <v>28880370.870046452</v>
      </c>
    </row>
    <row r="286" spans="1:45">
      <c r="AO286" s="96"/>
      <c r="AP286" s="96"/>
      <c r="AQ286" s="96"/>
      <c r="AR286" s="96"/>
      <c r="AS286" s="96"/>
    </row>
    <row r="289" spans="1:12">
      <c r="A289" s="282" t="s">
        <v>349</v>
      </c>
      <c r="B289" s="282"/>
      <c r="C289" s="282"/>
      <c r="D289" s="282"/>
      <c r="F289" s="282" t="s">
        <v>71</v>
      </c>
      <c r="G289" s="230" t="s">
        <v>388</v>
      </c>
      <c r="H289" s="230"/>
      <c r="I289" s="255" t="s">
        <v>389</v>
      </c>
      <c r="J289" s="256"/>
      <c r="K289" s="255" t="s">
        <v>394</v>
      </c>
      <c r="L289" s="256"/>
    </row>
    <row r="290" spans="1:12">
      <c r="A290" s="168" t="s">
        <v>71</v>
      </c>
      <c r="B290" s="168" t="s">
        <v>350</v>
      </c>
      <c r="C290" s="168" t="s">
        <v>351</v>
      </c>
      <c r="D290" s="169" t="s">
        <v>378</v>
      </c>
      <c r="F290" s="282"/>
      <c r="G290" s="176" t="s">
        <v>319</v>
      </c>
      <c r="H290" s="176" t="s">
        <v>320</v>
      </c>
      <c r="I290" s="176" t="s">
        <v>319</v>
      </c>
      <c r="J290" s="176" t="s">
        <v>320</v>
      </c>
      <c r="K290" s="197" t="s">
        <v>319</v>
      </c>
      <c r="L290" s="197" t="s">
        <v>320</v>
      </c>
    </row>
    <row r="291" spans="1:12">
      <c r="A291" s="167">
        <v>2010</v>
      </c>
      <c r="B291" s="159">
        <f>TabularOutputs!AH66/EconomicInputs!C4</f>
        <v>164.47681425494486</v>
      </c>
      <c r="C291" s="159">
        <f>TabularOutputs!AH66/EconomicInputs!B4*2.55</f>
        <v>308.09986577709481</v>
      </c>
      <c r="D291" s="142">
        <f>TabularOutputs!AI66/(EconomicInputs!G4+EconomicInputs!H4+EconomicInputs!I4)</f>
        <v>1722.407330834413</v>
      </c>
      <c r="F291" s="3">
        <v>2010</v>
      </c>
      <c r="G291" s="142">
        <f>TabularOutputs!AD131</f>
        <v>697351514.93657386</v>
      </c>
      <c r="H291" s="142">
        <f>TabularOutputs!AD260</f>
        <v>788989231.27095866</v>
      </c>
      <c r="I291" s="49">
        <f>AD163</f>
        <v>475751671.20831412</v>
      </c>
      <c r="J291" s="39">
        <f>I291/(1+TechnicalInputs!$D$2)^(TabularOutputs!$F291-TabularOutputs!$F$296)</f>
        <v>538269348.10152674</v>
      </c>
      <c r="K291" s="49">
        <f>AH131</f>
        <v>698700000</v>
      </c>
      <c r="L291" s="39">
        <f>K291/(1+TechnicalInputs!$D$2)^(TabularOutputs!$F291-TabularOutputs!$F$296)</f>
        <v>790514918.34667945</v>
      </c>
    </row>
    <row r="292" spans="1:12">
      <c r="A292" s="167">
        <f t="shared" ref="A292:A316" si="52">A291+1</f>
        <v>2011</v>
      </c>
      <c r="B292" s="159">
        <f>TabularOutputs!AH67/EconomicInputs!C5</f>
        <v>159.4556060889193</v>
      </c>
      <c r="C292" s="159">
        <f>TabularOutputs!AH67/EconomicInputs!B5*2.55</f>
        <v>294.9682247163276</v>
      </c>
      <c r="D292" s="142">
        <f>TabularOutputs!AI67/(EconomicInputs!G5+EconomicInputs!H5+EconomicInputs!I5)</f>
        <v>1733.7229493008747</v>
      </c>
      <c r="F292" s="3">
        <v>2011</v>
      </c>
      <c r="G292" s="142">
        <f>TabularOutputs!AD132</f>
        <v>684822254.34793639</v>
      </c>
      <c r="H292" s="142">
        <f>TabularOutputs!AD261</f>
        <v>755915632.13612449</v>
      </c>
      <c r="I292" s="49">
        <f t="shared" ref="I292:I316" si="53">AD164</f>
        <v>465999239.62454754</v>
      </c>
      <c r="J292" s="39">
        <f>I292/(1+TechnicalInputs!$D$2)^(TabularOutputs!$F292-TabularOutputs!$F$296)</f>
        <v>514375967.7190237</v>
      </c>
      <c r="K292" s="49">
        <f t="shared" ref="K292:K316" si="54">AH132</f>
        <v>688800000</v>
      </c>
      <c r="L292" s="39">
        <f>K292/(1+TechnicalInputs!$D$2)^(TabularOutputs!$F292-TabularOutputs!$F$296)</f>
        <v>760306319.06249976</v>
      </c>
    </row>
    <row r="293" spans="1:12">
      <c r="A293" s="167">
        <f t="shared" si="52"/>
        <v>2012</v>
      </c>
      <c r="B293" s="159">
        <f>TabularOutputs!AH68/EconomicInputs!C6</f>
        <v>161.50281331800485</v>
      </c>
      <c r="C293" s="159">
        <f>TabularOutputs!AH68/EconomicInputs!B6*2.55</f>
        <v>291.97749511586454</v>
      </c>
      <c r="D293" s="142">
        <f>TabularOutputs!AI68/(EconomicInputs!G6+EconomicInputs!H6+EconomicInputs!I6)</f>
        <v>1732.7289401982512</v>
      </c>
      <c r="F293" s="3">
        <v>2012</v>
      </c>
      <c r="G293" s="142">
        <f>TabularOutputs!AD133</f>
        <v>687152557.75447583</v>
      </c>
      <c r="H293" s="142">
        <f>TabularOutputs!AD262</f>
        <v>739988147.39056599</v>
      </c>
      <c r="I293" s="49">
        <f t="shared" si="53"/>
        <v>465995844.71561694</v>
      </c>
      <c r="J293" s="39">
        <f>I293/(1+TechnicalInputs!$D$2)^(TabularOutputs!$F293-TabularOutputs!$F$296)</f>
        <v>501826556.46320361</v>
      </c>
      <c r="K293" s="49">
        <f t="shared" si="54"/>
        <v>671200000</v>
      </c>
      <c r="L293" s="39">
        <f>K293/(1+TechnicalInputs!$D$2)^(TabularOutputs!$F293-TabularOutputs!$F$296)</f>
        <v>722808987.49999988</v>
      </c>
    </row>
    <row r="294" spans="1:12">
      <c r="A294" s="167">
        <f t="shared" si="52"/>
        <v>2013</v>
      </c>
      <c r="B294" s="159">
        <f>TabularOutputs!AH69/EconomicInputs!C7</f>
        <v>163.68241407680739</v>
      </c>
      <c r="C294" s="159">
        <f>TabularOutputs!AH69/EconomicInputs!B7*2.55</f>
        <v>290.89883519879436</v>
      </c>
      <c r="D294" s="142">
        <f>TabularOutputs!AI69/(EconomicInputs!G7+EconomicInputs!H7+EconomicInputs!I7)</f>
        <v>1744.7409358644568</v>
      </c>
      <c r="F294" s="3">
        <v>2013</v>
      </c>
      <c r="G294" s="142">
        <f>TabularOutputs!AD134</f>
        <v>691974700.83127534</v>
      </c>
      <c r="H294" s="142">
        <f>TabularOutputs!AD263</f>
        <v>727005920.06085861</v>
      </c>
      <c r="I294" s="49">
        <f t="shared" si="53"/>
        <v>469295378.26273334</v>
      </c>
      <c r="J294" s="39">
        <f>I294/(1+TechnicalInputs!$D$2)^(TabularOutputs!$F294-TabularOutputs!$F$296)</f>
        <v>493053456.7872842</v>
      </c>
      <c r="K294" s="49">
        <f t="shared" si="54"/>
        <v>693900000</v>
      </c>
      <c r="L294" s="39">
        <f>K294/(1+TechnicalInputs!$D$2)^(TabularOutputs!$F294-TabularOutputs!$F$296)</f>
        <v>729028687.5</v>
      </c>
    </row>
    <row r="295" spans="1:12">
      <c r="A295" s="167">
        <f t="shared" si="52"/>
        <v>2014</v>
      </c>
      <c r="B295" s="159">
        <f>TabularOutputs!AH70/EconomicInputs!C8</f>
        <v>163.99391309695849</v>
      </c>
      <c r="C295" s="159">
        <f>TabularOutputs!AH70/EconomicInputs!B8*2.55</f>
        <v>289.27001965953997</v>
      </c>
      <c r="D295" s="142">
        <f>TabularOutputs!AI70/(EconomicInputs!G8+EconomicInputs!H8+EconomicInputs!I8)</f>
        <v>1760.9665004508809</v>
      </c>
      <c r="F295" s="3">
        <v>2014</v>
      </c>
      <c r="G295" s="142">
        <f>TabularOutputs!AD135</f>
        <v>695198975.35007524</v>
      </c>
      <c r="H295" s="142">
        <f>TabularOutputs!AD264</f>
        <v>712578949.73382711</v>
      </c>
      <c r="I295" s="49">
        <f t="shared" si="53"/>
        <v>470031027.33691096</v>
      </c>
      <c r="J295" s="39">
        <f>I295/(1+TechnicalInputs!$D$2)^(TabularOutputs!$F295-TabularOutputs!$F$296)</f>
        <v>481781803.02033371</v>
      </c>
      <c r="K295" s="49">
        <f t="shared" si="54"/>
        <v>682000000</v>
      </c>
      <c r="L295" s="39">
        <f>K295/(1+TechnicalInputs!$D$2)^(TabularOutputs!$F295-TabularOutputs!$F$296)</f>
        <v>699049999.99999988</v>
      </c>
    </row>
    <row r="296" spans="1:12">
      <c r="A296" s="167">
        <f t="shared" si="52"/>
        <v>2015</v>
      </c>
      <c r="B296" s="159">
        <f>TabularOutputs!AH71/EconomicInputs!C9</f>
        <v>158.17553167472008</v>
      </c>
      <c r="C296" s="159">
        <f>TabularOutputs!AH71/EconomicInputs!B9*2.55</f>
        <v>279.11654319321104</v>
      </c>
      <c r="D296" s="142">
        <f>TabularOutputs!AI71/(EconomicInputs!G9+EconomicInputs!H9+EconomicInputs!I9)</f>
        <v>1752.0424269252223</v>
      </c>
      <c r="F296" s="3">
        <v>2015</v>
      </c>
      <c r="G296" s="142">
        <f>TabularOutputs!AD136</f>
        <v>687594514.6934948</v>
      </c>
      <c r="H296" s="142">
        <f>TabularOutputs!AD265</f>
        <v>687594514.6934948</v>
      </c>
      <c r="I296" s="49">
        <f t="shared" si="53"/>
        <v>463268711.55650026</v>
      </c>
      <c r="J296" s="39">
        <f>I296/(1+TechnicalInputs!$D$2)^(TabularOutputs!$F296-TabularOutputs!$F$296)</f>
        <v>463268711.55650026</v>
      </c>
      <c r="K296" s="49">
        <f t="shared" si="54"/>
        <v>687700000</v>
      </c>
      <c r="L296" s="39">
        <f>K296/(1+TechnicalInputs!$D$2)^(TabularOutputs!$F296-TabularOutputs!$F$296)</f>
        <v>687700000</v>
      </c>
    </row>
    <row r="297" spans="1:12">
      <c r="A297" s="167">
        <f t="shared" si="52"/>
        <v>2016</v>
      </c>
      <c r="B297" s="159">
        <f>TabularOutputs!AH72/EconomicInputs!C10</f>
        <v>157.28672377526226</v>
      </c>
      <c r="C297" s="159">
        <f>TabularOutputs!AH72/EconomicInputs!B10*2.55</f>
        <v>277.54815277382772</v>
      </c>
      <c r="D297" s="142">
        <f>TabularOutputs!AI72/(EconomicInputs!G10+EconomicInputs!H10+EconomicInputs!I10)</f>
        <v>1750.5839182484531</v>
      </c>
      <c r="F297" s="3">
        <v>2016</v>
      </c>
      <c r="G297" s="142">
        <f>TabularOutputs!AD137</f>
        <v>690200743.27354515</v>
      </c>
      <c r="H297" s="162">
        <f>TabularOutputs!AD266</f>
        <v>673366578.80345893</v>
      </c>
      <c r="I297" s="213">
        <f t="shared" si="53"/>
        <v>464541648.58101106</v>
      </c>
      <c r="J297" s="162">
        <f>I297/(1+TechnicalInputs!$D$2)^(TabularOutputs!$F297-TabularOutputs!$F$296)</f>
        <v>453211364.46927911</v>
      </c>
      <c r="K297" s="213">
        <f t="shared" si="54"/>
        <v>682000000</v>
      </c>
      <c r="L297" s="162">
        <f>K297/(1+TechnicalInputs!$D$2)^(TabularOutputs!$F297-TabularOutputs!$F$296)</f>
        <v>665365853.65853667</v>
      </c>
    </row>
    <row r="298" spans="1:12">
      <c r="A298" s="167">
        <f t="shared" si="52"/>
        <v>2017</v>
      </c>
      <c r="B298" s="159">
        <f>TabularOutputs!AH73/EconomicInputs!C11</f>
        <v>215.83091382431371</v>
      </c>
      <c r="C298" s="159">
        <f>TabularOutputs!AH73/EconomicInputs!B11*2.55</f>
        <v>380.85523053438391</v>
      </c>
      <c r="D298" s="142">
        <f>TabularOutputs!AI73/(EconomicInputs!G11+EconomicInputs!H11+EconomicInputs!I11)</f>
        <v>1745.9363256663783</v>
      </c>
      <c r="F298" s="3">
        <v>2017</v>
      </c>
      <c r="G298" s="142">
        <f>TabularOutputs!AD138</f>
        <v>848531722.82284141</v>
      </c>
      <c r="H298" s="160">
        <f>TabularOutputs!AD267</f>
        <v>807644709.40901029</v>
      </c>
      <c r="I298" s="49">
        <f t="shared" si="53"/>
        <v>583274402.60965288</v>
      </c>
      <c r="J298" s="160">
        <f>I298/(1+TechnicalInputs!$D$2)^(TabularOutputs!$F298-TabularOutputs!$F$296)</f>
        <v>555168973.33458936</v>
      </c>
      <c r="K298" s="49">
        <f t="shared" si="54"/>
        <v>682000000</v>
      </c>
      <c r="L298" s="160">
        <f>K298/(1+TechnicalInputs!$D$2)^(TabularOutputs!$F298-TabularOutputs!$F$296)</f>
        <v>649137418.20345032</v>
      </c>
    </row>
    <row r="299" spans="1:12">
      <c r="A299" s="167">
        <f t="shared" si="52"/>
        <v>2018</v>
      </c>
      <c r="B299" s="159">
        <f>TabularOutputs!AH74/EconomicInputs!C12</f>
        <v>213.35846211243162</v>
      </c>
      <c r="C299" s="159">
        <f>TabularOutputs!AH74/EconomicInputs!B12*2.55</f>
        <v>376.4923422435968</v>
      </c>
      <c r="D299" s="142">
        <f>TabularOutputs!AI74/(EconomicInputs!G12+EconomicInputs!H12+EconomicInputs!I12)</f>
        <v>1740.9026905622479</v>
      </c>
      <c r="F299" s="3">
        <v>2018</v>
      </c>
      <c r="G299" s="142">
        <f>TabularOutputs!AD139</f>
        <v>847411998.61696625</v>
      </c>
      <c r="H299" s="160">
        <f>TabularOutputs!AD268</f>
        <v>786906282.72204185</v>
      </c>
      <c r="I299" s="49">
        <f t="shared" si="53"/>
        <v>581701720.04018986</v>
      </c>
      <c r="J299" s="160">
        <f>I299/(1+TechnicalInputs!$D$2)^(TabularOutputs!$F299-TabularOutputs!$F$296)</f>
        <v>540167874.56032491</v>
      </c>
      <c r="K299" s="49">
        <f t="shared" si="54"/>
        <v>682000000</v>
      </c>
      <c r="L299" s="160">
        <f>K299/(1+TechnicalInputs!$D$2)^(TabularOutputs!$F299-TabularOutputs!$F$296)</f>
        <v>633304798.24726868</v>
      </c>
    </row>
    <row r="300" spans="1:12">
      <c r="A300" s="167">
        <f t="shared" si="52"/>
        <v>2019</v>
      </c>
      <c r="B300" s="159">
        <f>TabularOutputs!AH75/EconomicInputs!C13</f>
        <v>210.88605244550592</v>
      </c>
      <c r="C300" s="159">
        <f>TabularOutputs!AH75/EconomicInputs!B13*2.55</f>
        <v>372.12952814533975</v>
      </c>
      <c r="D300" s="142">
        <f>TabularOutputs!AI75/(EconomicInputs!G13+EconomicInputs!H13+EconomicInputs!I13)</f>
        <v>1737.5309434747692</v>
      </c>
      <c r="F300" s="3">
        <v>2019</v>
      </c>
      <c r="G300" s="142">
        <f>TabularOutputs!AD140</f>
        <v>846448775.33282232</v>
      </c>
      <c r="H300" s="160">
        <f>TabularOutputs!AD269</f>
        <v>766840813.80273318</v>
      </c>
      <c r="I300" s="49">
        <f t="shared" si="53"/>
        <v>580310643.88913822</v>
      </c>
      <c r="J300" s="160">
        <f>I300/(1+TechnicalInputs!$D$2)^(TabularOutputs!$F300-TabularOutputs!$F$296)</f>
        <v>525732802.01552576</v>
      </c>
      <c r="K300" s="49">
        <f t="shared" si="54"/>
        <v>682000000</v>
      </c>
      <c r="L300" s="160">
        <f>K300/(1+TechnicalInputs!$D$2)^(TabularOutputs!$F300-TabularOutputs!$F$296)</f>
        <v>617858339.75343287</v>
      </c>
    </row>
    <row r="301" spans="1:12">
      <c r="A301" s="167">
        <f t="shared" si="52"/>
        <v>2020</v>
      </c>
      <c r="B301" s="159">
        <f>TabularOutputs!AH76/EconomicInputs!C14</f>
        <v>208.31666547025702</v>
      </c>
      <c r="C301" s="159">
        <f>TabularOutputs!AH76/EconomicInputs!B14*2.55</f>
        <v>367.59558788881549</v>
      </c>
      <c r="D301" s="142">
        <f>TabularOutputs!AI76/(EconomicInputs!G14+EconomicInputs!H14+EconomicInputs!I14)</f>
        <v>1734.6604879624615</v>
      </c>
      <c r="F301" s="3">
        <v>2020</v>
      </c>
      <c r="G301" s="142">
        <f>TabularOutputs!AD141</f>
        <v>845244016.62587929</v>
      </c>
      <c r="H301" s="160">
        <f>TabularOutputs!AD270</f>
        <v>747072548.17107332</v>
      </c>
      <c r="I301" s="49">
        <f t="shared" si="53"/>
        <v>578753798.79099941</v>
      </c>
      <c r="J301" s="160">
        <f>I301/(1+TechnicalInputs!$D$2)^(TabularOutputs!$F301-TabularOutputs!$F$296)</f>
        <v>511534026.53172064</v>
      </c>
      <c r="K301" s="49">
        <f t="shared" si="54"/>
        <v>698200000</v>
      </c>
      <c r="L301" s="160">
        <f>K301/(1+TechnicalInputs!$D$2)^(TabularOutputs!$F301-TabularOutputs!$F$296)</f>
        <v>617107063.60896492</v>
      </c>
    </row>
    <row r="302" spans="1:12">
      <c r="A302" s="167">
        <f t="shared" si="52"/>
        <v>2021</v>
      </c>
      <c r="B302" s="159">
        <f>TabularOutputs!AH77/EconomicInputs!C15</f>
        <v>205.5275570827159</v>
      </c>
      <c r="C302" s="159">
        <f>TabularOutputs!AH77/EconomicInputs!B15*2.55</f>
        <v>362.67392722816044</v>
      </c>
      <c r="D302" s="142">
        <f>TabularOutputs!AI77/(EconomicInputs!G15+EconomicInputs!H15+EconomicInputs!I15)</f>
        <v>1732.3143931996224</v>
      </c>
      <c r="F302" s="3">
        <v>2021</v>
      </c>
      <c r="G302" s="142">
        <f>TabularOutputs!AD142</f>
        <v>843371359.64435983</v>
      </c>
      <c r="H302" s="160">
        <f>TabularOutputs!AD271</f>
        <v>727236480.26218116</v>
      </c>
      <c r="I302" s="49">
        <f t="shared" si="53"/>
        <v>576703518.10132885</v>
      </c>
      <c r="J302" s="160">
        <f>I302/(1+TechnicalInputs!$D$2)^(TabularOutputs!$F302-TabularOutputs!$F$296)</f>
        <v>497289636.24717301</v>
      </c>
      <c r="K302" s="49">
        <f t="shared" si="54"/>
        <v>698200000</v>
      </c>
      <c r="L302" s="160">
        <f>K302/(1+TechnicalInputs!$D$2)^(TabularOutputs!$F302-TabularOutputs!$F$296)</f>
        <v>602055671.81362438</v>
      </c>
    </row>
    <row r="303" spans="1:12">
      <c r="A303" s="167">
        <f t="shared" si="52"/>
        <v>2022</v>
      </c>
      <c r="B303" s="159">
        <f>TabularOutputs!AH78/EconomicInputs!C16</f>
        <v>202.56944516709444</v>
      </c>
      <c r="C303" s="159">
        <f>TabularOutputs!AH78/EconomicInputs!B16*2.55</f>
        <v>357.45404294185482</v>
      </c>
      <c r="D303" s="142">
        <f>TabularOutputs!AI78/(EconomicInputs!G16+EconomicInputs!H16+EconomicInputs!I16)</f>
        <v>1730.7011199025578</v>
      </c>
      <c r="F303" s="3">
        <v>2022</v>
      </c>
      <c r="G303" s="142">
        <f>TabularOutputs!AD143</f>
        <v>841089117.04233348</v>
      </c>
      <c r="H303" s="160">
        <f>TabularOutputs!AD272</f>
        <v>707579033.77472401</v>
      </c>
      <c r="I303" s="49">
        <f t="shared" si="53"/>
        <v>574361566.86107755</v>
      </c>
      <c r="J303" s="160">
        <f>I303/(1+TechnicalInputs!$D$2)^(TabularOutputs!$F303-TabularOutputs!$F$296)</f>
        <v>483190418.56826532</v>
      </c>
      <c r="K303" s="49">
        <f t="shared" si="54"/>
        <v>698200000</v>
      </c>
      <c r="L303" s="160">
        <f>K303/(1+TechnicalInputs!$D$2)^(TabularOutputs!$F303-TabularOutputs!$F$296)</f>
        <v>587371387.13524318</v>
      </c>
    </row>
    <row r="304" spans="1:12">
      <c r="A304" s="167">
        <f t="shared" si="52"/>
        <v>2023</v>
      </c>
      <c r="B304" s="159">
        <f>TabularOutputs!AH79/EconomicInputs!C17</f>
        <v>199.49902158172054</v>
      </c>
      <c r="C304" s="159">
        <f>TabularOutputs!AH79/EconomicInputs!B17*2.55</f>
        <v>352.03597348310404</v>
      </c>
      <c r="D304" s="142">
        <f>TabularOutputs!AI79/(EconomicInputs!G17+EconomicInputs!H17+EconomicInputs!I17)</f>
        <v>1729.9339508071116</v>
      </c>
      <c r="F304" s="3">
        <v>2023</v>
      </c>
      <c r="G304" s="142">
        <f>TabularOutputs!AD144</f>
        <v>838563567.96620858</v>
      </c>
      <c r="H304" s="160">
        <f>TabularOutputs!AD273</f>
        <v>688248172.81705678</v>
      </c>
      <c r="I304" s="49">
        <f t="shared" si="53"/>
        <v>571854591.48844075</v>
      </c>
      <c r="J304" s="160">
        <f>I304/(1+TechnicalInputs!$D$2)^(TabularOutputs!$F304-TabularOutputs!$F$296)</f>
        <v>469347694.96785927</v>
      </c>
      <c r="K304" s="49">
        <f t="shared" si="54"/>
        <v>698200000</v>
      </c>
      <c r="L304" s="160">
        <f>K304/(1+TechnicalInputs!$D$2)^(TabularOutputs!$F304-TabularOutputs!$F$296)</f>
        <v>573045255.74170077</v>
      </c>
    </row>
    <row r="305" spans="1:12">
      <c r="A305" s="167">
        <f t="shared" si="52"/>
        <v>2024</v>
      </c>
      <c r="B305" s="159">
        <f>TabularOutputs!AH80/EconomicInputs!C18</f>
        <v>196.29329560832753</v>
      </c>
      <c r="C305" s="159">
        <f>TabularOutputs!AH80/EconomicInputs!B18*2.55</f>
        <v>346.37914943045467</v>
      </c>
      <c r="D305" s="142">
        <f>TabularOutputs!AI80/(EconomicInputs!G18+EconomicInputs!H18+EconomicInputs!I18)</f>
        <v>1729.8637385070783</v>
      </c>
      <c r="F305" s="3">
        <v>2024</v>
      </c>
      <c r="G305" s="142">
        <f>TabularOutputs!AD145</f>
        <v>835711291.40069985</v>
      </c>
      <c r="H305" s="160">
        <f>TabularOutputs!AD274</f>
        <v>669177733.27502942</v>
      </c>
      <c r="I305" s="49">
        <f t="shared" si="53"/>
        <v>569110695.36521399</v>
      </c>
      <c r="J305" s="160">
        <f>I305/(1+TechnicalInputs!$D$2)^(TabularOutputs!$F305-TabularOutputs!$F$296)</f>
        <v>455703074.76493037</v>
      </c>
      <c r="K305" s="49">
        <f t="shared" si="54"/>
        <v>698200000</v>
      </c>
      <c r="L305" s="160">
        <f>K305/(1+TechnicalInputs!$D$2)^(TabularOutputs!$F305-TabularOutputs!$F$296)</f>
        <v>559068542.18702519</v>
      </c>
    </row>
    <row r="306" spans="1:12">
      <c r="A306" s="167">
        <f t="shared" si="52"/>
        <v>2025</v>
      </c>
      <c r="B306" s="159">
        <f>TabularOutputs!AH81/EconomicInputs!C19</f>
        <v>192.99463090827282</v>
      </c>
      <c r="C306" s="159">
        <f>TabularOutputs!AH81/EconomicInputs!B19*2.55</f>
        <v>340.55832570073824</v>
      </c>
      <c r="D306" s="142">
        <f>TabularOutputs!AI81/(EconomicInputs!G19+EconomicInputs!H19+EconomicInputs!I19)</f>
        <v>1730.2365850141446</v>
      </c>
      <c r="F306" s="3">
        <v>2025</v>
      </c>
      <c r="G306" s="142">
        <f>TabularOutputs!AD146</f>
        <v>832605415.39536214</v>
      </c>
      <c r="H306" s="160">
        <f>TabularOutputs!AD275</f>
        <v>650430019.77504194</v>
      </c>
      <c r="I306" s="49">
        <f t="shared" si="53"/>
        <v>566185423.35198438</v>
      </c>
      <c r="J306" s="160">
        <f>I306/(1+TechnicalInputs!$D$2)^(TabularOutputs!$F306-TabularOutputs!$F$296)</f>
        <v>442303147.80297434</v>
      </c>
      <c r="K306" s="49">
        <f t="shared" si="54"/>
        <v>698200000</v>
      </c>
      <c r="L306" s="160">
        <f>K306/(1+TechnicalInputs!$D$2)^(TabularOutputs!$F306-TabularOutputs!$F$296)</f>
        <v>545432724.08490264</v>
      </c>
    </row>
    <row r="307" spans="1:12">
      <c r="A307" s="167">
        <f t="shared" si="52"/>
        <v>2026</v>
      </c>
      <c r="B307" s="159">
        <f>TabularOutputs!AH82/EconomicInputs!C20</f>
        <v>189.83708371342888</v>
      </c>
      <c r="C307" s="159">
        <f>TabularOutputs!AH82/EconomicInputs!B20*2.55</f>
        <v>334.98651792071655</v>
      </c>
      <c r="D307" s="142">
        <f>TabularOutputs!AI82/(EconomicInputs!G20+EconomicInputs!H20+EconomicInputs!I20)</f>
        <v>1730.8120015572993</v>
      </c>
      <c r="F307" s="3">
        <v>2026</v>
      </c>
      <c r="G307" s="142">
        <f>TabularOutputs!AD147</f>
        <v>829761916.95189536</v>
      </c>
      <c r="H307" s="160">
        <f>TabularOutputs!AD276</f>
        <v>632398715.44945967</v>
      </c>
      <c r="I307" s="49">
        <f t="shared" si="53"/>
        <v>563475748.90683532</v>
      </c>
      <c r="J307" s="160">
        <f>I307/(1+TechnicalInputs!$D$2)^(TabularOutputs!$F307-TabularOutputs!$F$296)</f>
        <v>429450101.90948963</v>
      </c>
      <c r="K307" s="49">
        <f t="shared" si="54"/>
        <v>698200000</v>
      </c>
      <c r="L307" s="160">
        <f>K307/(1+TechnicalInputs!$D$2)^(TabularOutputs!$F307-TabularOutputs!$F$296)</f>
        <v>532129486.91210014</v>
      </c>
    </row>
    <row r="308" spans="1:12">
      <c r="A308" s="167">
        <f t="shared" si="52"/>
        <v>2027</v>
      </c>
      <c r="B308" s="159">
        <f>TabularOutputs!AH83/EconomicInputs!C21</f>
        <v>186.84681841714558</v>
      </c>
      <c r="C308" s="159">
        <f>TabularOutputs!AH83/EconomicInputs!B21*2.55</f>
        <v>329.70989577889503</v>
      </c>
      <c r="D308" s="142">
        <f>TabularOutputs!AI83/(EconomicInputs!G21+EconomicInputs!H21+EconomicInputs!I21)</f>
        <v>1731.5472826817665</v>
      </c>
      <c r="F308" s="3">
        <v>2027</v>
      </c>
      <c r="G308" s="142">
        <f>TabularOutputs!AD148</f>
        <v>827344366.02614141</v>
      </c>
      <c r="H308" s="160">
        <f>TabularOutputs!AD277</f>
        <v>615176772.31781709</v>
      </c>
      <c r="I308" s="49">
        <f t="shared" si="53"/>
        <v>561105036.05305469</v>
      </c>
      <c r="J308" s="160">
        <f>I308/(1+TechnicalInputs!$D$2)^(TabularOutputs!$F308-TabularOutputs!$F$296)</f>
        <v>417212951.68580878</v>
      </c>
      <c r="K308" s="49">
        <f t="shared" si="54"/>
        <v>698200000</v>
      </c>
      <c r="L308" s="160">
        <f>K308/(1+TechnicalInputs!$D$2)^(TabularOutputs!$F308-TabularOutputs!$F$296)</f>
        <v>519150718.93863434</v>
      </c>
    </row>
    <row r="309" spans="1:12">
      <c r="A309" s="167">
        <f t="shared" si="52"/>
        <v>2028</v>
      </c>
      <c r="B309" s="159">
        <f>TabularOutputs!AH84/EconomicInputs!C22</f>
        <v>183.99287092006392</v>
      </c>
      <c r="C309" s="159">
        <f>TabularOutputs!AH84/EconomicInputs!B22*2.55</f>
        <v>324.67382002554473</v>
      </c>
      <c r="D309" s="142">
        <f>TabularOutputs!AI84/(EconomicInputs!G22+EconomicInputs!H22+EconomicInputs!I22)</f>
        <v>1732.4660110808622</v>
      </c>
      <c r="F309" s="3">
        <v>2028</v>
      </c>
      <c r="G309" s="142">
        <f>TabularOutputs!AD149</f>
        <v>825284543.51880646</v>
      </c>
      <c r="H309" s="160">
        <f>TabularOutputs!AD278</f>
        <v>598678223.58081901</v>
      </c>
      <c r="I309" s="49">
        <f t="shared" si="53"/>
        <v>559009127.52327228</v>
      </c>
      <c r="J309" s="160">
        <f>I309/(1+TechnicalInputs!$D$2)^(TabularOutputs!$F309-TabularOutputs!$F$296)</f>
        <v>405516611.28192431</v>
      </c>
      <c r="K309" s="49">
        <f t="shared" si="54"/>
        <v>698200000</v>
      </c>
      <c r="L309" s="160">
        <f>K309/(1+TechnicalInputs!$D$2)^(TabularOutputs!$F309-TabularOutputs!$F$296)</f>
        <v>506488506.28159451</v>
      </c>
    </row>
    <row r="310" spans="1:12">
      <c r="A310" s="167">
        <f t="shared" si="52"/>
        <v>2029</v>
      </c>
      <c r="B310" s="159">
        <f>TabularOutputs!AH85/EconomicInputs!C23</f>
        <v>181.29757867309129</v>
      </c>
      <c r="C310" s="159">
        <f>TabularOutputs!AH85/EconomicInputs!B23*2.55</f>
        <v>319.91770732653686</v>
      </c>
      <c r="D310" s="142">
        <f>TabularOutputs!AI85/(EconomicInputs!G23+EconomicInputs!H23+EconomicInputs!I23)</f>
        <v>1733.4990329856651</v>
      </c>
      <c r="F310" s="3">
        <v>2029</v>
      </c>
      <c r="G310" s="142">
        <f>TabularOutputs!AD150</f>
        <v>823637316.58102107</v>
      </c>
      <c r="H310" s="160">
        <f>TabularOutputs!AD279</f>
        <v>582910528.38714492</v>
      </c>
      <c r="I310" s="49">
        <f t="shared" si="53"/>
        <v>557237398.9125098</v>
      </c>
      <c r="J310" s="160">
        <f>I310/(1+TechnicalInputs!$D$2)^(TabularOutputs!$F310-TabularOutputs!$F$296)</f>
        <v>394372061.70492506</v>
      </c>
      <c r="K310" s="49">
        <f t="shared" si="54"/>
        <v>698200000</v>
      </c>
      <c r="L310" s="160">
        <f>K310/(1+TechnicalInputs!$D$2)^(TabularOutputs!$F310-TabularOutputs!$F$296)</f>
        <v>494135128.07960445</v>
      </c>
    </row>
    <row r="311" spans="1:12">
      <c r="A311" s="167">
        <f t="shared" si="52"/>
        <v>2030</v>
      </c>
      <c r="B311" s="159">
        <f>TabularOutputs!AH86/EconomicInputs!C24</f>
        <v>178.77093019779093</v>
      </c>
      <c r="C311" s="159">
        <f>TabularOutputs!AH86/EconomicInputs!B24*2.55</f>
        <v>315.45918342702186</v>
      </c>
      <c r="D311" s="142">
        <f>TabularOutputs!AI86/(EconomicInputs!G24+EconomicInputs!H24+EconomicInputs!I24)</f>
        <v>1734.8479936371909</v>
      </c>
      <c r="F311" s="3">
        <v>2030</v>
      </c>
      <c r="G311" s="142">
        <f>TabularOutputs!AD151</f>
        <v>822472835.89908731</v>
      </c>
      <c r="H311" s="160">
        <f>TabularOutputs!AD280</f>
        <v>567889164.62400305</v>
      </c>
      <c r="I311" s="49">
        <f t="shared" si="53"/>
        <v>555841764.41649961</v>
      </c>
      <c r="J311" s="160">
        <f>I311/(1+TechnicalInputs!$D$2)^(TabularOutputs!$F311-TabularOutputs!$F$296)</f>
        <v>383789593.38220274</v>
      </c>
      <c r="K311" s="49">
        <f t="shared" si="54"/>
        <v>698200000</v>
      </c>
      <c r="L311" s="160">
        <f>K311/(1+TechnicalInputs!$D$2)^(TabularOutputs!$F311-TabularOutputs!$F$296)</f>
        <v>482083051.78497988</v>
      </c>
    </row>
    <row r="312" spans="1:12">
      <c r="A312" s="167">
        <f t="shared" si="52"/>
        <v>2031</v>
      </c>
      <c r="B312" s="159">
        <f>TabularOutputs!AH87/EconomicInputs!C25</f>
        <v>176.40044824241374</v>
      </c>
      <c r="C312" s="159">
        <f>TabularOutputs!AH87/EconomicInputs!B25*2.55</f>
        <v>311.27623096856325</v>
      </c>
      <c r="D312" s="142">
        <f>TabularOutputs!AI87/(EconomicInputs!G25+EconomicInputs!H25+EconomicInputs!I25)</f>
        <v>1736.3842016186004</v>
      </c>
      <c r="F312" s="3">
        <v>2031</v>
      </c>
      <c r="G312" s="142">
        <f>TabularOutputs!AD152</f>
        <v>821696908.43504763</v>
      </c>
      <c r="H312" s="160">
        <f>TabularOutputs!AD281</f>
        <v>553515525.30290568</v>
      </c>
      <c r="I312" s="49">
        <f t="shared" si="53"/>
        <v>554743240.29020655</v>
      </c>
      <c r="J312" s="160">
        <f>I312/(1+TechnicalInputs!$D$2)^(TabularOutputs!$F312-TabularOutputs!$F$296)</f>
        <v>373688878.35086906</v>
      </c>
      <c r="K312" s="49">
        <f t="shared" si="54"/>
        <v>698200000</v>
      </c>
      <c r="L312" s="160">
        <f>K312/(1+TechnicalInputs!$D$2)^(TabularOutputs!$F312-TabularOutputs!$F$296)</f>
        <v>470324928.57071209</v>
      </c>
    </row>
    <row r="313" spans="1:12">
      <c r="A313" s="167">
        <f t="shared" si="52"/>
        <v>2032</v>
      </c>
      <c r="B313" s="159">
        <f>TabularOutputs!AH88/EconomicInputs!C26</f>
        <v>174.19452574599981</v>
      </c>
      <c r="C313" s="159">
        <f>TabularOutputs!AH88/EconomicInputs!B26*2.55</f>
        <v>307.38366013139125</v>
      </c>
      <c r="D313" s="142">
        <f>TabularOutputs!AI88/(EconomicInputs!G26+EconomicInputs!H26+EconomicInputs!I26)</f>
        <v>1738.0969718218385</v>
      </c>
      <c r="F313" s="3">
        <v>2032</v>
      </c>
      <c r="G313" s="142">
        <f>TabularOutputs!AD153</f>
        <v>821386933.41537678</v>
      </c>
      <c r="H313" s="160">
        <f>TabularOutputs!AD282</f>
        <v>539811432.58623695</v>
      </c>
      <c r="I313" s="49">
        <f t="shared" si="53"/>
        <v>554009642.28224456</v>
      </c>
      <c r="J313" s="160">
        <f>I313/(1+TechnicalInputs!$D$2)^(TabularOutputs!$F313-TabularOutputs!$F$296)</f>
        <v>364092398.47955018</v>
      </c>
      <c r="K313" s="49">
        <f t="shared" si="54"/>
        <v>698200000</v>
      </c>
      <c r="L313" s="160">
        <f>K313/(1+TechnicalInputs!$D$2)^(TabularOutputs!$F313-TabularOutputs!$F$296)</f>
        <v>458853588.84947526</v>
      </c>
    </row>
    <row r="314" spans="1:12">
      <c r="A314" s="167">
        <f t="shared" si="52"/>
        <v>2033</v>
      </c>
      <c r="B314" s="159">
        <f>TabularOutputs!AH89/EconomicInputs!C27</f>
        <v>171.9201016003658</v>
      </c>
      <c r="C314" s="159">
        <f>TabularOutputs!AH89/EconomicInputs!B27*2.55</f>
        <v>303.37021128400545</v>
      </c>
      <c r="D314" s="142">
        <f>TabularOutputs!AI89/(EconomicInputs!G27+EconomicInputs!H27+EconomicInputs!I27)</f>
        <v>1741.153176632414</v>
      </c>
      <c r="F314" s="3">
        <v>2033</v>
      </c>
      <c r="G314" s="142">
        <f>TabularOutputs!AD154</f>
        <v>821249292.14616275</v>
      </c>
      <c r="H314" s="160">
        <f>TabularOutputs!AD283</f>
        <v>526557049.19459504</v>
      </c>
      <c r="I314" s="49">
        <f t="shared" si="53"/>
        <v>553111460.69348919</v>
      </c>
      <c r="J314" s="160">
        <f>I314/(1+TechnicalInputs!$D$2)^(TabularOutputs!$F314-TabularOutputs!$F$296)</f>
        <v>354636212.66250217</v>
      </c>
      <c r="K314" s="49">
        <f t="shared" si="54"/>
        <v>698200000</v>
      </c>
      <c r="L314" s="160">
        <f>K314/(1+TechnicalInputs!$D$2)^(TabularOutputs!$F314-TabularOutputs!$F$296)</f>
        <v>447662037.90192711</v>
      </c>
    </row>
    <row r="315" spans="1:12">
      <c r="A315" s="167">
        <f t="shared" si="52"/>
        <v>2034</v>
      </c>
      <c r="B315" s="159">
        <f>TabularOutputs!AH90/EconomicInputs!C28</f>
        <v>169.75637264636492</v>
      </c>
      <c r="C315" s="159">
        <f>TabularOutputs!AH90/EconomicInputs!B28*2.55</f>
        <v>299.55209517177548</v>
      </c>
      <c r="D315" s="142">
        <f>TabularOutputs!AI90/(EconomicInputs!G28+EconomicInputs!H28+EconomicInputs!I28)</f>
        <v>1744.5041935442566</v>
      </c>
      <c r="F315" s="3">
        <v>2034</v>
      </c>
      <c r="G315" s="142">
        <f>TabularOutputs!AD155</f>
        <v>821470613.69358683</v>
      </c>
      <c r="H315" s="160">
        <f>TabularOutputs!AD284</f>
        <v>513852637.09834731</v>
      </c>
      <c r="I315" s="49">
        <f t="shared" si="53"/>
        <v>552470637.5370667</v>
      </c>
      <c r="J315" s="160">
        <f>I315/(1+TechnicalInputs!$D$2)^(TabularOutputs!$F315-TabularOutputs!$F$296)</f>
        <v>345585696.29335386</v>
      </c>
      <c r="K315" s="49">
        <f t="shared" si="54"/>
        <v>698200000</v>
      </c>
      <c r="L315" s="160">
        <f>K315/(1+TechnicalInputs!$D$2)^(TabularOutputs!$F315-TabularOutputs!$F$296)</f>
        <v>436743451.61163616</v>
      </c>
    </row>
    <row r="316" spans="1:12">
      <c r="A316" s="167">
        <f t="shared" si="52"/>
        <v>2035</v>
      </c>
      <c r="B316" s="159">
        <f>TabularOutputs!AH91/EconomicInputs!C29</f>
        <v>167.70241667125131</v>
      </c>
      <c r="C316" s="159">
        <f>TabularOutputs!AH91/EconomicInputs!B29*2.55</f>
        <v>295.92768445809003</v>
      </c>
      <c r="D316" s="142">
        <f>TabularOutputs!AI91/(EconomicInputs!G29+EconomicInputs!H29+EconomicInputs!I29)</f>
        <v>1748.0978132271741</v>
      </c>
      <c r="F316" s="3">
        <v>2035</v>
      </c>
      <c r="G316" s="142">
        <f>TabularOutputs!AD156</f>
        <v>822045609.16254437</v>
      </c>
      <c r="H316" s="160">
        <f>TabularOutputs!AD285</f>
        <v>501670548.97658736</v>
      </c>
      <c r="I316" s="49">
        <f t="shared" si="53"/>
        <v>552084168.24402344</v>
      </c>
      <c r="J316" s="160">
        <f>I316/(1+TechnicalInputs!$D$2)^(TabularOutputs!$F316-TabularOutputs!$F$296)</f>
        <v>336920925.89171332</v>
      </c>
      <c r="K316" s="49">
        <f t="shared" si="54"/>
        <v>698200000</v>
      </c>
      <c r="L316" s="160">
        <f>K316/(1+TechnicalInputs!$D$2)^(TabularOutputs!$F316-TabularOutputs!$F$296)</f>
        <v>426091172.30403537</v>
      </c>
    </row>
    <row r="317" spans="1:12">
      <c r="H317" s="186">
        <f>SUM(H298:H316)</f>
        <v>12183596391.526806</v>
      </c>
      <c r="J317" s="186">
        <f>SUM(J298:J316)</f>
        <v>8285703080.4357033</v>
      </c>
      <c r="L317" s="186">
        <f>SUM(L298:L316)</f>
        <v>10158043272.010311</v>
      </c>
    </row>
  </sheetData>
  <sheetProtection selectLockedCells="1"/>
  <mergeCells count="59">
    <mergeCell ref="G289:H289"/>
    <mergeCell ref="F289:F290"/>
    <mergeCell ref="I289:J289"/>
    <mergeCell ref="B161:D161"/>
    <mergeCell ref="A192:AC192"/>
    <mergeCell ref="B193:D193"/>
    <mergeCell ref="A289:D289"/>
    <mergeCell ref="A257:AC257"/>
    <mergeCell ref="K289:L289"/>
    <mergeCell ref="AD160:AD162"/>
    <mergeCell ref="AE160:AE162"/>
    <mergeCell ref="AD192:AD194"/>
    <mergeCell ref="AE192:AE194"/>
    <mergeCell ref="A127:AC127"/>
    <mergeCell ref="B128:D128"/>
    <mergeCell ref="AD127:AD129"/>
    <mergeCell ref="AE127:AE129"/>
    <mergeCell ref="A160:AC160"/>
    <mergeCell ref="AH63:AH65"/>
    <mergeCell ref="AI63:AI65"/>
    <mergeCell ref="AJ63:AJ65"/>
    <mergeCell ref="AK63:AK65"/>
    <mergeCell ref="A1:AC1"/>
    <mergeCell ref="B2:D2"/>
    <mergeCell ref="AD32:AD34"/>
    <mergeCell ref="AE32:AE34"/>
    <mergeCell ref="AD63:AD65"/>
    <mergeCell ref="AE63:AE65"/>
    <mergeCell ref="B33:D33"/>
    <mergeCell ref="A32:AC32"/>
    <mergeCell ref="A63:AC63"/>
    <mergeCell ref="B64:D64"/>
    <mergeCell ref="AF32:AF34"/>
    <mergeCell ref="AG32:AG34"/>
    <mergeCell ref="AD95:AD97"/>
    <mergeCell ref="AE95:AE97"/>
    <mergeCell ref="B96:D96"/>
    <mergeCell ref="A95:AC95"/>
    <mergeCell ref="AG63:AG65"/>
    <mergeCell ref="BK128:BP128"/>
    <mergeCell ref="AO128:AO130"/>
    <mergeCell ref="AP128:AP130"/>
    <mergeCell ref="AQ128:AQ130"/>
    <mergeCell ref="AR128:AR130"/>
    <mergeCell ref="AS128:AS130"/>
    <mergeCell ref="AG127:AG129"/>
    <mergeCell ref="AH127:AH129"/>
    <mergeCell ref="AI127:AI129"/>
    <mergeCell ref="AJ127:AJ129"/>
    <mergeCell ref="AO127:AS127"/>
    <mergeCell ref="AD257:AD259"/>
    <mergeCell ref="AE257:AE259"/>
    <mergeCell ref="B258:D258"/>
    <mergeCell ref="AO257:AS257"/>
    <mergeCell ref="AO258:AO259"/>
    <mergeCell ref="AP258:AP259"/>
    <mergeCell ref="AQ258:AQ259"/>
    <mergeCell ref="AR258:AR259"/>
    <mergeCell ref="AS258:AS259"/>
  </mergeCells>
  <pageMargins left="0.75" right="0.75" top="1" bottom="1" header="0.5" footer="0.5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0" tint="-0.249977111117893"/>
  </sheetPr>
  <dimension ref="A1:E22"/>
  <sheetViews>
    <sheetView zoomScale="150" zoomScaleNormal="150" zoomScalePageLayoutView="150" workbookViewId="0"/>
  </sheetViews>
  <sheetFormatPr defaultColWidth="11" defaultRowHeight="15.75"/>
  <cols>
    <col min="1" max="5" width="19.625" customWidth="1"/>
  </cols>
  <sheetData>
    <row r="1" spans="1:5" ht="31.5">
      <c r="A1" s="101" t="s">
        <v>89</v>
      </c>
      <c r="B1" s="101" t="s">
        <v>136</v>
      </c>
      <c r="C1" s="101" t="s">
        <v>137</v>
      </c>
      <c r="D1" s="101" t="s">
        <v>138</v>
      </c>
      <c r="E1" s="101" t="s">
        <v>139</v>
      </c>
    </row>
    <row r="2" spans="1:5">
      <c r="A2" s="3" t="s">
        <v>119</v>
      </c>
      <c r="B2" s="3">
        <v>2016</v>
      </c>
      <c r="C2" s="3" t="s">
        <v>121</v>
      </c>
      <c r="D2" s="3" t="s">
        <v>146</v>
      </c>
      <c r="E2" s="3">
        <v>1</v>
      </c>
    </row>
    <row r="3" spans="1:5">
      <c r="A3" s="3" t="s">
        <v>66</v>
      </c>
      <c r="B3" s="3">
        <f>B2+1</f>
        <v>2017</v>
      </c>
      <c r="C3" s="3" t="s">
        <v>122</v>
      </c>
      <c r="D3" s="3" t="s">
        <v>119</v>
      </c>
      <c r="E3" s="3">
        <v>2</v>
      </c>
    </row>
    <row r="4" spans="1:5">
      <c r="A4" s="3" t="s">
        <v>67</v>
      </c>
      <c r="B4" s="3">
        <f t="shared" ref="B4:B22" si="0">B3+1</f>
        <v>2018</v>
      </c>
      <c r="C4" s="3" t="s">
        <v>119</v>
      </c>
      <c r="D4" s="3"/>
      <c r="E4" s="3">
        <v>3</v>
      </c>
    </row>
    <row r="5" spans="1:5">
      <c r="A5" s="3"/>
      <c r="B5" s="3">
        <f t="shared" si="0"/>
        <v>2019</v>
      </c>
      <c r="C5" s="3"/>
      <c r="D5" s="3"/>
      <c r="E5" s="3">
        <v>4</v>
      </c>
    </row>
    <row r="6" spans="1:5">
      <c r="A6" s="3"/>
      <c r="B6" s="3">
        <f t="shared" si="0"/>
        <v>2020</v>
      </c>
      <c r="C6" s="3"/>
      <c r="D6" s="3"/>
      <c r="E6" s="3"/>
    </row>
    <row r="7" spans="1:5">
      <c r="A7" s="3"/>
      <c r="B7" s="3">
        <f t="shared" si="0"/>
        <v>2021</v>
      </c>
      <c r="C7" s="3"/>
      <c r="D7" s="3"/>
      <c r="E7" s="3"/>
    </row>
    <row r="8" spans="1:5">
      <c r="A8" s="3"/>
      <c r="B8" s="3">
        <f t="shared" si="0"/>
        <v>2022</v>
      </c>
      <c r="C8" s="3"/>
      <c r="D8" s="3"/>
      <c r="E8" s="3"/>
    </row>
    <row r="9" spans="1:5">
      <c r="A9" s="3"/>
      <c r="B9" s="3">
        <f t="shared" si="0"/>
        <v>2023</v>
      </c>
      <c r="C9" s="3"/>
      <c r="D9" s="3"/>
      <c r="E9" s="3"/>
    </row>
    <row r="10" spans="1:5">
      <c r="A10" s="3"/>
      <c r="B10" s="3">
        <f t="shared" si="0"/>
        <v>2024</v>
      </c>
      <c r="C10" s="3"/>
      <c r="D10" s="3"/>
      <c r="E10" s="3"/>
    </row>
    <row r="11" spans="1:5">
      <c r="A11" s="3"/>
      <c r="B11" s="3">
        <f t="shared" si="0"/>
        <v>2025</v>
      </c>
      <c r="C11" s="3"/>
      <c r="D11" s="3"/>
      <c r="E11" s="3"/>
    </row>
    <row r="12" spans="1:5">
      <c r="A12" s="3"/>
      <c r="B12" s="3">
        <f t="shared" si="0"/>
        <v>2026</v>
      </c>
      <c r="C12" s="3"/>
      <c r="D12" s="3"/>
      <c r="E12" s="3"/>
    </row>
    <row r="13" spans="1:5">
      <c r="A13" s="3"/>
      <c r="B13" s="3">
        <f t="shared" si="0"/>
        <v>2027</v>
      </c>
      <c r="C13" s="3"/>
      <c r="D13" s="3"/>
      <c r="E13" s="3"/>
    </row>
    <row r="14" spans="1:5">
      <c r="A14" s="3"/>
      <c r="B14" s="3">
        <f t="shared" si="0"/>
        <v>2028</v>
      </c>
      <c r="C14" s="3"/>
      <c r="D14" s="3"/>
      <c r="E14" s="3"/>
    </row>
    <row r="15" spans="1:5">
      <c r="A15" s="3"/>
      <c r="B15" s="3">
        <f t="shared" si="0"/>
        <v>2029</v>
      </c>
      <c r="C15" s="3"/>
      <c r="D15" s="3"/>
      <c r="E15" s="3"/>
    </row>
    <row r="16" spans="1:5">
      <c r="A16" s="3"/>
      <c r="B16" s="3">
        <f t="shared" si="0"/>
        <v>2030</v>
      </c>
      <c r="C16" s="3"/>
      <c r="D16" s="3"/>
      <c r="E16" s="3"/>
    </row>
    <row r="17" spans="1:5">
      <c r="A17" s="3"/>
      <c r="B17" s="3">
        <f t="shared" si="0"/>
        <v>2031</v>
      </c>
      <c r="C17" s="3"/>
      <c r="D17" s="3"/>
      <c r="E17" s="3"/>
    </row>
    <row r="18" spans="1:5">
      <c r="A18" s="3"/>
      <c r="B18" s="3">
        <f t="shared" si="0"/>
        <v>2032</v>
      </c>
      <c r="C18" s="3"/>
      <c r="D18" s="3"/>
      <c r="E18" s="3"/>
    </row>
    <row r="19" spans="1:5">
      <c r="A19" s="3"/>
      <c r="B19" s="3">
        <f t="shared" si="0"/>
        <v>2033</v>
      </c>
      <c r="C19" s="3"/>
      <c r="D19" s="3"/>
      <c r="E19" s="3"/>
    </row>
    <row r="20" spans="1:5">
      <c r="A20" s="3"/>
      <c r="B20" s="3">
        <f t="shared" si="0"/>
        <v>2034</v>
      </c>
      <c r="C20" s="3"/>
      <c r="D20" s="3"/>
      <c r="E20" s="3"/>
    </row>
    <row r="21" spans="1:5">
      <c r="A21" s="3"/>
      <c r="B21" s="3">
        <f t="shared" si="0"/>
        <v>2035</v>
      </c>
      <c r="C21" s="3"/>
      <c r="D21" s="3"/>
      <c r="E21" s="3"/>
    </row>
    <row r="22" spans="1:5">
      <c r="A22" s="3"/>
      <c r="B22" s="3">
        <f t="shared" si="0"/>
        <v>2036</v>
      </c>
      <c r="C22" s="3"/>
      <c r="D22" s="3"/>
      <c r="E22" s="3"/>
    </row>
  </sheetData>
  <sheetProtection selectLockedCells="1"/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PolicyInputs</vt:lpstr>
      <vt:lpstr>EconomicInputs</vt:lpstr>
      <vt:lpstr>TechnicalInputs</vt:lpstr>
      <vt:lpstr>Evasion</vt:lpstr>
      <vt:lpstr>TransactionCosts</vt:lpstr>
      <vt:lpstr>CollectionCosts</vt:lpstr>
      <vt:lpstr>TabularOutputs</vt:lpstr>
      <vt:lpstr>Lists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P. Dunn</dc:creator>
  <cp:lastModifiedBy>nwatts</cp:lastModifiedBy>
  <cp:lastPrinted>2015-04-09T15:08:05Z</cp:lastPrinted>
  <dcterms:created xsi:type="dcterms:W3CDTF">2015-03-05T13:45:29Z</dcterms:created>
  <dcterms:modified xsi:type="dcterms:W3CDTF">2015-12-04T21:26:56Z</dcterms:modified>
</cp:coreProperties>
</file>