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435" tabRatio="603" firstSheet="1" activeTab="1"/>
  </bookViews>
  <sheets>
    <sheet name="RUN Overview" sheetId="19" state="hidden" r:id="rId1"/>
    <sheet name="OVERALL Summary" sheetId="17" r:id="rId2"/>
    <sheet name="OVERALL Summary Detail" sheetId="18" r:id="rId3"/>
    <sheet name="OPERATING Performance Outputs" sheetId="2" state="hidden" r:id="rId4"/>
    <sheet name="OPERATING Performance Per Unit" sheetId="4" state="hidden" r:id="rId5"/>
    <sheet name="OPERATING Performance Funding" sheetId="3" state="hidden" r:id="rId6"/>
    <sheet name="OPERATING Total Funding" sheetId="5" r:id="rId7"/>
    <sheet name="OPERATING Funding Per FTE" sheetId="6" r:id="rId8"/>
    <sheet name="CAPITAL Project Requests" sheetId="7" r:id="rId9"/>
    <sheet name="CAPITAL Summary" sheetId="8" r:id="rId10"/>
    <sheet name="CAPITAL Debt Summary" sheetId="9" state="hidden" r:id="rId11"/>
    <sheet name="CAPITAL Debt Service Chart" sheetId="11" r:id="rId12"/>
    <sheet name="CAPITAL Outstanding Debt Chart" sheetId="10" r:id="rId13"/>
    <sheet name="LINE ITEM Requests" sheetId="12" r:id="rId14"/>
    <sheet name="LINE ITEM Dual Credit" sheetId="13" r:id="rId15"/>
    <sheet name="LINE ITEM Summary" sheetId="14" r:id="rId16"/>
    <sheet name="R&amp;R Funding" sheetId="15" r:id="rId17"/>
  </sheets>
  <definedNames>
    <definedName name="_xlnm.Print_Area" localSheetId="10">'CAPITAL Debt Summary'!$A$1:$AG$35</definedName>
    <definedName name="_xlnm.Print_Area" localSheetId="8">'CAPITAL Project Requests'!$A:$M</definedName>
    <definedName name="_xlnm.Print_Area" localSheetId="9">'CAPITAL Summary'!$A$1:$V$32</definedName>
    <definedName name="_xlnm.Print_Area" localSheetId="14">'LINE ITEM Dual Credit'!$A$1:$I$33</definedName>
    <definedName name="_xlnm.Print_Area" localSheetId="7">'OPERATING Funding Per FTE'!$A$1:$N$28</definedName>
    <definedName name="_xlnm.Print_Area" localSheetId="5">'OPERATING Performance Funding'!$A$1:$BF$60</definedName>
    <definedName name="_xlnm.Print_Area" localSheetId="3">'OPERATING Performance Outputs'!$A$1:$AB$31</definedName>
    <definedName name="_xlnm.Print_Area" localSheetId="4">'OPERATING Performance Per Unit'!$A$1:$K$47</definedName>
    <definedName name="_xlnm.Print_Area" localSheetId="6">'OPERATING Total Funding'!$A$1:$V$33</definedName>
    <definedName name="_xlnm.Print_Area" localSheetId="1">'OVERALL Summary'!$A$1:$I$20</definedName>
    <definedName name="_xlnm.Print_Area" localSheetId="2">'OVERALL Summary Detail'!$A$1:$I$128</definedName>
    <definedName name="_xlnm.Print_Area" localSheetId="16">'R&amp;R Funding'!$A$1:$L$29</definedName>
    <definedName name="_xlnm.Print_Titles" localSheetId="10">'CAPITAL Debt Summary'!A:A</definedName>
    <definedName name="_xlnm.Print_Titles" localSheetId="8">'CAPITAL Project Requests'!1:8</definedName>
    <definedName name="_xlnm.Print_Titles" localSheetId="13">'LINE ITEM Requests'!1:8</definedName>
    <definedName name="_xlnm.Print_Titles" localSheetId="5">'OPERATING Performance Funding'!A:A</definedName>
    <definedName name="_xlnm.Print_Titles" localSheetId="3">'OPERATING Performance Outputs'!A:A</definedName>
    <definedName name="_xlnm.Print_Titles" localSheetId="2">'OVERALL Summary Detail'!1:7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8" l="1"/>
  <c r="G54" i="18"/>
  <c r="G56" i="18"/>
  <c r="H56" i="18" s="1"/>
  <c r="C58" i="18"/>
  <c r="G58" i="18"/>
  <c r="G63" i="18"/>
  <c r="G68" i="18"/>
  <c r="D69" i="18"/>
  <c r="E69" i="18"/>
  <c r="H69" i="18"/>
  <c r="I69" i="18"/>
  <c r="D72" i="18"/>
  <c r="E72" i="18"/>
  <c r="H72" i="18"/>
  <c r="I72" i="18"/>
  <c r="D75" i="18"/>
  <c r="E75" i="18"/>
  <c r="H75" i="18"/>
  <c r="I75" i="18"/>
  <c r="G78" i="18"/>
  <c r="G82" i="18"/>
  <c r="G83" i="18"/>
  <c r="G84" i="18"/>
  <c r="G86" i="18"/>
  <c r="G81" i="18" s="1"/>
  <c r="G88" i="18"/>
  <c r="D90" i="18"/>
  <c r="E90" i="18"/>
  <c r="H90" i="18"/>
  <c r="I90" i="18" s="1"/>
  <c r="G95" i="18"/>
  <c r="D98" i="18"/>
  <c r="E98" i="18"/>
  <c r="H98" i="18"/>
  <c r="I98" i="18"/>
  <c r="D99" i="18"/>
  <c r="E99" i="18"/>
  <c r="H99" i="18"/>
  <c r="I99" i="18"/>
  <c r="D100" i="18"/>
  <c r="E100" i="18"/>
  <c r="H100" i="18"/>
  <c r="I100" i="18"/>
  <c r="B102" i="18"/>
  <c r="C102" i="18"/>
  <c r="D102" i="18" s="1"/>
  <c r="G102" i="18"/>
  <c r="H102" i="18"/>
  <c r="D103" i="18"/>
  <c r="E103" i="18"/>
  <c r="H103" i="18"/>
  <c r="I103" i="18" s="1"/>
  <c r="D104" i="18"/>
  <c r="E104" i="18"/>
  <c r="H104" i="18"/>
  <c r="I104" i="18" s="1"/>
  <c r="D105" i="18"/>
  <c r="E105" i="18"/>
  <c r="H105" i="18"/>
  <c r="I105" i="18" s="1"/>
  <c r="D106" i="18"/>
  <c r="E106" i="18"/>
  <c r="H106" i="18"/>
  <c r="I106" i="18" s="1"/>
  <c r="D107" i="18"/>
  <c r="E107" i="18"/>
  <c r="H107" i="18"/>
  <c r="I107" i="18" s="1"/>
  <c r="B109" i="18"/>
  <c r="E109" i="18" s="1"/>
  <c r="C109" i="18"/>
  <c r="D109" i="18"/>
  <c r="G109" i="18"/>
  <c r="H109" i="18"/>
  <c r="I109" i="18" s="1"/>
  <c r="D110" i="18"/>
  <c r="E110" i="18"/>
  <c r="H110" i="18"/>
  <c r="I110" i="18" s="1"/>
  <c r="D111" i="18"/>
  <c r="E111" i="18"/>
  <c r="H111" i="18"/>
  <c r="I111" i="18" s="1"/>
  <c r="D112" i="18"/>
  <c r="E112" i="18"/>
  <c r="H112" i="18"/>
  <c r="I112" i="18" s="1"/>
  <c r="D113" i="18"/>
  <c r="E113" i="18"/>
  <c r="H113" i="18"/>
  <c r="I113" i="18" s="1"/>
  <c r="D114" i="18"/>
  <c r="E114" i="18"/>
  <c r="H114" i="18"/>
  <c r="I114" i="18" s="1"/>
  <c r="B116" i="18"/>
  <c r="C116" i="18"/>
  <c r="D116" i="18"/>
  <c r="E116" i="18" s="1"/>
  <c r="G116" i="18"/>
  <c r="H116" i="18"/>
  <c r="I116" i="18"/>
  <c r="D117" i="18"/>
  <c r="E117" i="18" s="1"/>
  <c r="H117" i="18"/>
  <c r="I117" i="18"/>
  <c r="D118" i="18"/>
  <c r="E118" i="18" s="1"/>
  <c r="H118" i="18"/>
  <c r="I118" i="18"/>
  <c r="D119" i="18"/>
  <c r="E119" i="18" s="1"/>
  <c r="H119" i="18"/>
  <c r="I119" i="18"/>
  <c r="D120" i="18"/>
  <c r="E120" i="18" s="1"/>
  <c r="H120" i="18"/>
  <c r="I120" i="18"/>
  <c r="D121" i="18"/>
  <c r="E121" i="18" s="1"/>
  <c r="H121" i="18"/>
  <c r="I121" i="18"/>
  <c r="B123" i="18"/>
  <c r="C123" i="18"/>
  <c r="G123" i="18"/>
  <c r="H123" i="18" s="1"/>
  <c r="D124" i="18"/>
  <c r="E124" i="18" s="1"/>
  <c r="H124" i="18"/>
  <c r="I124" i="18"/>
  <c r="D125" i="18"/>
  <c r="E125" i="18" s="1"/>
  <c r="H125" i="18"/>
  <c r="I125" i="18"/>
  <c r="D126" i="18"/>
  <c r="E126" i="18" s="1"/>
  <c r="H126" i="18"/>
  <c r="I126" i="18"/>
  <c r="D127" i="18"/>
  <c r="E127" i="18" s="1"/>
  <c r="H127" i="18"/>
  <c r="I127" i="18"/>
  <c r="AH10" i="3"/>
  <c r="AJ10" i="3"/>
  <c r="AJ17" i="3" s="1"/>
  <c r="AM10" i="3"/>
  <c r="AO10" i="3"/>
  <c r="AQ10" i="3"/>
  <c r="AT10" i="3"/>
  <c r="AV10" i="3"/>
  <c r="AW10" i="3"/>
  <c r="AY10" i="3"/>
  <c r="BA10" i="3"/>
  <c r="BC10" i="3"/>
  <c r="BD10" i="3"/>
  <c r="AD11" i="3"/>
  <c r="AH11" i="3"/>
  <c r="AJ11" i="3"/>
  <c r="AM11" i="3"/>
  <c r="AR11" i="3" s="1"/>
  <c r="AO11" i="3"/>
  <c r="AQ11" i="3"/>
  <c r="AT11" i="3"/>
  <c r="AV11" i="3"/>
  <c r="AY11" i="3"/>
  <c r="BA11" i="3"/>
  <c r="BC11" i="3"/>
  <c r="AH12" i="3"/>
  <c r="AJ12" i="3"/>
  <c r="AM12" i="3"/>
  <c r="AR12" i="3" s="1"/>
  <c r="AO12" i="3"/>
  <c r="AQ12" i="3"/>
  <c r="AT12" i="3"/>
  <c r="AV12" i="3"/>
  <c r="AW12" i="3" s="1"/>
  <c r="AY12" i="3"/>
  <c r="BA12" i="3"/>
  <c r="BC12" i="3"/>
  <c r="BD12" i="3" s="1"/>
  <c r="AH13" i="3"/>
  <c r="AJ13" i="3"/>
  <c r="AM13" i="3"/>
  <c r="AR13" i="3" s="1"/>
  <c r="AO13" i="3"/>
  <c r="AQ13" i="3"/>
  <c r="AT13" i="3"/>
  <c r="AV13" i="3"/>
  <c r="AW13" i="3" s="1"/>
  <c r="AY13" i="3"/>
  <c r="BA13" i="3"/>
  <c r="BC13" i="3"/>
  <c r="BD13" i="3" s="1"/>
  <c r="AD14" i="3"/>
  <c r="AF14" i="3"/>
  <c r="AH14" i="3"/>
  <c r="AJ14" i="3"/>
  <c r="AM14" i="3"/>
  <c r="AO14" i="3"/>
  <c r="AQ14" i="3"/>
  <c r="AT14" i="3"/>
  <c r="AV14" i="3"/>
  <c r="AY14" i="3"/>
  <c r="BA14" i="3"/>
  <c r="BA17" i="3" s="1"/>
  <c r="BC14" i="3"/>
  <c r="W15" i="3"/>
  <c r="Y15" i="3"/>
  <c r="AD15" i="3"/>
  <c r="AF15" i="3"/>
  <c r="AH15" i="3"/>
  <c r="AJ15" i="3"/>
  <c r="AM15" i="3"/>
  <c r="AO15" i="3"/>
  <c r="AQ15" i="3"/>
  <c r="AR15" i="3"/>
  <c r="AT15" i="3"/>
  <c r="AV15" i="3"/>
  <c r="AW15" i="3"/>
  <c r="AY15" i="3"/>
  <c r="BD15" i="3" s="1"/>
  <c r="BA15" i="3"/>
  <c r="BC15" i="3"/>
  <c r="W16" i="3"/>
  <c r="Y16" i="3"/>
  <c r="AD16" i="3"/>
  <c r="AF16" i="3"/>
  <c r="AH16" i="3"/>
  <c r="AJ16" i="3"/>
  <c r="AM16" i="3"/>
  <c r="AO16" i="3"/>
  <c r="AO17" i="3" s="1"/>
  <c r="AO30" i="3" s="1"/>
  <c r="AQ16" i="3"/>
  <c r="AT16" i="3"/>
  <c r="AV16" i="3"/>
  <c r="AW16" i="3"/>
  <c r="AY16" i="3"/>
  <c r="BA16" i="3"/>
  <c r="BC16" i="3"/>
  <c r="BD16" i="3"/>
  <c r="AA17" i="3"/>
  <c r="AC17" i="3"/>
  <c r="AE17" i="3"/>
  <c r="AG17" i="3"/>
  <c r="AG30" i="3" s="1"/>
  <c r="AH17" i="3"/>
  <c r="AI17" i="3"/>
  <c r="AL17" i="3"/>
  <c r="AL30" i="3" s="1"/>
  <c r="AN17" i="3"/>
  <c r="AP17" i="3"/>
  <c r="AS17" i="3"/>
  <c r="AU17" i="3"/>
  <c r="AX17" i="3"/>
  <c r="AZ17" i="3"/>
  <c r="BB17" i="3"/>
  <c r="W19" i="3"/>
  <c r="Y19" i="3"/>
  <c r="AD19" i="3"/>
  <c r="AD23" i="3" s="1"/>
  <c r="AF19" i="3"/>
  <c r="AF23" i="3" s="1"/>
  <c r="AH19" i="3"/>
  <c r="AJ19" i="3"/>
  <c r="AM19" i="3"/>
  <c r="AM23" i="3" s="1"/>
  <c r="AO19" i="3"/>
  <c r="AQ19" i="3"/>
  <c r="AR19" i="3"/>
  <c r="AT19" i="3"/>
  <c r="AV19" i="3"/>
  <c r="AY19" i="3"/>
  <c r="BA19" i="3"/>
  <c r="BC19" i="3"/>
  <c r="W20" i="3"/>
  <c r="Y20" i="3"/>
  <c r="AD20" i="3"/>
  <c r="AF20" i="3"/>
  <c r="AH20" i="3"/>
  <c r="AJ20" i="3"/>
  <c r="AM20" i="3"/>
  <c r="AO20" i="3"/>
  <c r="AQ20" i="3"/>
  <c r="AT20" i="3"/>
  <c r="AV20" i="3"/>
  <c r="AW20" i="3"/>
  <c r="AY20" i="3"/>
  <c r="BA20" i="3"/>
  <c r="BC20" i="3"/>
  <c r="BD20" i="3"/>
  <c r="W21" i="3"/>
  <c r="Y21" i="3"/>
  <c r="AD21" i="3"/>
  <c r="AF21" i="3"/>
  <c r="AH21" i="3"/>
  <c r="AJ21" i="3"/>
  <c r="AM21" i="3"/>
  <c r="AR21" i="3" s="1"/>
  <c r="AO21" i="3"/>
  <c r="AQ21" i="3"/>
  <c r="AT21" i="3"/>
  <c r="AV21" i="3"/>
  <c r="AY21" i="3"/>
  <c r="BA21" i="3"/>
  <c r="BC21" i="3"/>
  <c r="W22" i="3"/>
  <c r="Y22" i="3"/>
  <c r="AD22" i="3"/>
  <c r="AF22" i="3"/>
  <c r="AH22" i="3"/>
  <c r="AJ22" i="3"/>
  <c r="AM22" i="3"/>
  <c r="AO22" i="3"/>
  <c r="AO23" i="3" s="1"/>
  <c r="AQ22" i="3"/>
  <c r="AT22" i="3"/>
  <c r="AW22" i="3" s="1"/>
  <c r="AV22" i="3"/>
  <c r="AY22" i="3"/>
  <c r="BA22" i="3"/>
  <c r="BC22" i="3"/>
  <c r="AA23" i="3"/>
  <c r="AC23" i="3"/>
  <c r="AE23" i="3"/>
  <c r="AG23" i="3"/>
  <c r="AI23" i="3"/>
  <c r="AL23" i="3"/>
  <c r="AN23" i="3"/>
  <c r="AN30" i="3" s="1"/>
  <c r="AP23" i="3"/>
  <c r="AS23" i="3"/>
  <c r="AU23" i="3"/>
  <c r="AX23" i="3"/>
  <c r="AZ23" i="3"/>
  <c r="BB23" i="3"/>
  <c r="W25" i="3"/>
  <c r="Y25" i="3"/>
  <c r="AD25" i="3"/>
  <c r="AF25" i="3"/>
  <c r="AH25" i="3"/>
  <c r="AJ25" i="3"/>
  <c r="AM25" i="3"/>
  <c r="AO25" i="3"/>
  <c r="AQ25" i="3"/>
  <c r="AR25" i="3"/>
  <c r="AT25" i="3"/>
  <c r="AV25" i="3"/>
  <c r="AW25" i="3"/>
  <c r="AY25" i="3"/>
  <c r="BD25" i="3" s="1"/>
  <c r="BA25" i="3"/>
  <c r="BC25" i="3"/>
  <c r="W26" i="3"/>
  <c r="Y26" i="3"/>
  <c r="AD26" i="3"/>
  <c r="AF26" i="3"/>
  <c r="AH26" i="3"/>
  <c r="AJ26" i="3"/>
  <c r="AM26" i="3"/>
  <c r="AO26" i="3"/>
  <c r="AQ26" i="3"/>
  <c r="AR26" i="3"/>
  <c r="AT26" i="3"/>
  <c r="AV26" i="3"/>
  <c r="AW26" i="3"/>
  <c r="AY26" i="3"/>
  <c r="BD26" i="3" s="1"/>
  <c r="BA26" i="3"/>
  <c r="BC26" i="3"/>
  <c r="W27" i="3"/>
  <c r="Y27" i="3"/>
  <c r="AD27" i="3"/>
  <c r="AF27" i="3"/>
  <c r="AH27" i="3"/>
  <c r="AJ27" i="3"/>
  <c r="AM27" i="3"/>
  <c r="AO27" i="3"/>
  <c r="AQ27" i="3"/>
  <c r="AT27" i="3"/>
  <c r="AV27" i="3"/>
  <c r="AW27" i="3"/>
  <c r="AY27" i="3"/>
  <c r="BA27" i="3"/>
  <c r="BC27" i="3"/>
  <c r="BD27" i="3"/>
  <c r="W28" i="3"/>
  <c r="Y28" i="3"/>
  <c r="AD28" i="3"/>
  <c r="AF28" i="3"/>
  <c r="AH28" i="3"/>
  <c r="AJ28" i="3"/>
  <c r="AM28" i="3"/>
  <c r="AO28" i="3"/>
  <c r="AQ28" i="3"/>
  <c r="AT28" i="3"/>
  <c r="AV28" i="3"/>
  <c r="AY28" i="3"/>
  <c r="BD28" i="3" s="1"/>
  <c r="BA28" i="3"/>
  <c r="BC28" i="3"/>
  <c r="W29" i="3"/>
  <c r="Y29" i="3"/>
  <c r="AD29" i="3"/>
  <c r="AF29" i="3"/>
  <c r="AH29" i="3"/>
  <c r="AJ29" i="3"/>
  <c r="AM29" i="3"/>
  <c r="AO29" i="3"/>
  <c r="AQ29" i="3"/>
  <c r="AR29" i="3"/>
  <c r="AT29" i="3"/>
  <c r="AV29" i="3"/>
  <c r="AW29" i="3"/>
  <c r="AY29" i="3"/>
  <c r="BD29" i="3" s="1"/>
  <c r="BA29" i="3"/>
  <c r="BC29" i="3"/>
  <c r="AA30" i="3"/>
  <c r="AE30" i="3"/>
  <c r="AI30" i="3"/>
  <c r="AP30" i="3"/>
  <c r="AU30" i="3"/>
  <c r="AX30" i="3"/>
  <c r="AZ30" i="3"/>
  <c r="BB30" i="3"/>
  <c r="P39" i="3"/>
  <c r="P46" i="3" s="1"/>
  <c r="P59" i="3" s="1"/>
  <c r="U39" i="3"/>
  <c r="W39" i="3"/>
  <c r="Y39" i="3"/>
  <c r="AB39" i="3"/>
  <c r="AD39" i="3"/>
  <c r="AF39" i="3"/>
  <c r="AH39" i="3"/>
  <c r="AJ39" i="3"/>
  <c r="AJ46" i="3" s="1"/>
  <c r="AM39" i="3"/>
  <c r="AR39" i="3" s="1"/>
  <c r="AO39" i="3"/>
  <c r="AQ39" i="3"/>
  <c r="AT39" i="3"/>
  <c r="AV39" i="3"/>
  <c r="AW39" i="3"/>
  <c r="AY39" i="3"/>
  <c r="BA39" i="3"/>
  <c r="BC39" i="3"/>
  <c r="BD39" i="3"/>
  <c r="P40" i="3"/>
  <c r="U40" i="3"/>
  <c r="W40" i="3"/>
  <c r="Y40" i="3"/>
  <c r="Z40" i="3"/>
  <c r="AB40" i="3"/>
  <c r="AD40" i="3"/>
  <c r="AF40" i="3"/>
  <c r="AH40" i="3"/>
  <c r="AJ40" i="3"/>
  <c r="AM40" i="3"/>
  <c r="AO40" i="3"/>
  <c r="AO46" i="3" s="1"/>
  <c r="AQ40" i="3"/>
  <c r="AQ46" i="3" s="1"/>
  <c r="AT40" i="3"/>
  <c r="AV40" i="3"/>
  <c r="AW40" i="3"/>
  <c r="AY40" i="3"/>
  <c r="BA40" i="3"/>
  <c r="BC40" i="3"/>
  <c r="BD40" i="3"/>
  <c r="P41" i="3"/>
  <c r="U41" i="3"/>
  <c r="W41" i="3"/>
  <c r="Y41" i="3"/>
  <c r="AB41" i="3"/>
  <c r="AD41" i="3"/>
  <c r="AF41" i="3"/>
  <c r="AK41" i="3" s="1"/>
  <c r="AH41" i="3"/>
  <c r="AJ41" i="3"/>
  <c r="AM41" i="3"/>
  <c r="AR41" i="3" s="1"/>
  <c r="AO41" i="3"/>
  <c r="AQ41" i="3"/>
  <c r="AT41" i="3"/>
  <c r="AW41" i="3" s="1"/>
  <c r="AV41" i="3"/>
  <c r="AY41" i="3"/>
  <c r="BA41" i="3"/>
  <c r="BC41" i="3"/>
  <c r="P42" i="3"/>
  <c r="U42" i="3"/>
  <c r="Z42" i="3" s="1"/>
  <c r="W42" i="3"/>
  <c r="Y42" i="3"/>
  <c r="AB42" i="3"/>
  <c r="AD42" i="3"/>
  <c r="AF42" i="3"/>
  <c r="AH42" i="3"/>
  <c r="AJ42" i="3"/>
  <c r="AM42" i="3"/>
  <c r="AR42" i="3" s="1"/>
  <c r="AO42" i="3"/>
  <c r="AQ42" i="3"/>
  <c r="AT42" i="3"/>
  <c r="AV42" i="3"/>
  <c r="AY42" i="3"/>
  <c r="BA42" i="3"/>
  <c r="BD42" i="3" s="1"/>
  <c r="BC42" i="3"/>
  <c r="G43" i="3"/>
  <c r="K43" i="3"/>
  <c r="N43" i="3"/>
  <c r="P43" i="3"/>
  <c r="R43" i="3"/>
  <c r="U43" i="3"/>
  <c r="Z43" i="3" s="1"/>
  <c r="W43" i="3"/>
  <c r="Y43" i="3"/>
  <c r="AB43" i="3"/>
  <c r="AD43" i="3"/>
  <c r="AD46" i="3" s="1"/>
  <c r="AF43" i="3"/>
  <c r="AH43" i="3"/>
  <c r="AJ43" i="3"/>
  <c r="AK43" i="3"/>
  <c r="AM43" i="3"/>
  <c r="AO43" i="3"/>
  <c r="AQ43" i="3"/>
  <c r="AR43" i="3"/>
  <c r="AT43" i="3"/>
  <c r="AV43" i="3"/>
  <c r="AW43" i="3"/>
  <c r="AY43" i="3"/>
  <c r="BD43" i="3" s="1"/>
  <c r="BA43" i="3"/>
  <c r="BC43" i="3"/>
  <c r="W44" i="3"/>
  <c r="Y44" i="3"/>
  <c r="AB44" i="3"/>
  <c r="AD44" i="3"/>
  <c r="AF44" i="3"/>
  <c r="AH44" i="3"/>
  <c r="AJ44" i="3"/>
  <c r="AM44" i="3"/>
  <c r="AO44" i="3"/>
  <c r="AQ44" i="3"/>
  <c r="AT44" i="3"/>
  <c r="AV44" i="3"/>
  <c r="AY44" i="3"/>
  <c r="BA44" i="3"/>
  <c r="BC44" i="3"/>
  <c r="BC46" i="3" s="1"/>
  <c r="BC59" i="3" s="1"/>
  <c r="P45" i="3"/>
  <c r="U45" i="3"/>
  <c r="W45" i="3"/>
  <c r="Y45" i="3"/>
  <c r="AB45" i="3"/>
  <c r="AD45" i="3"/>
  <c r="AF45" i="3"/>
  <c r="AH45" i="3"/>
  <c r="AJ45" i="3"/>
  <c r="AK45" i="3"/>
  <c r="AM45" i="3"/>
  <c r="AO45" i="3"/>
  <c r="AQ45" i="3"/>
  <c r="AR45" i="3"/>
  <c r="AT45" i="3"/>
  <c r="AV45" i="3"/>
  <c r="AW45" i="3"/>
  <c r="AY45" i="3"/>
  <c r="BD45" i="3" s="1"/>
  <c r="BA45" i="3"/>
  <c r="BC45" i="3"/>
  <c r="J46" i="3"/>
  <c r="V46" i="3"/>
  <c r="V59" i="3" s="1"/>
  <c r="W46" i="3"/>
  <c r="X46" i="3"/>
  <c r="AA46" i="3"/>
  <c r="AA59" i="3" s="1"/>
  <c r="AC46" i="3"/>
  <c r="AE46" i="3"/>
  <c r="AE59" i="3" s="1"/>
  <c r="AG46" i="3"/>
  <c r="AH46" i="3"/>
  <c r="AI46" i="3"/>
  <c r="AI59" i="3" s="1"/>
  <c r="AL46" i="3"/>
  <c r="AN46" i="3"/>
  <c r="AP46" i="3"/>
  <c r="AS46" i="3"/>
  <c r="AT46" i="3"/>
  <c r="AU46" i="3"/>
  <c r="AU59" i="3" s="1"/>
  <c r="AX46" i="3"/>
  <c r="AX59" i="3" s="1"/>
  <c r="AZ46" i="3"/>
  <c r="BB46" i="3"/>
  <c r="P48" i="3"/>
  <c r="U48" i="3"/>
  <c r="W48" i="3"/>
  <c r="Y48" i="3"/>
  <c r="AB48" i="3"/>
  <c r="AD48" i="3"/>
  <c r="AD52" i="3" s="1"/>
  <c r="AF48" i="3"/>
  <c r="AH48" i="3"/>
  <c r="AJ48" i="3"/>
  <c r="AK48" i="3"/>
  <c r="AM48" i="3"/>
  <c r="AO48" i="3"/>
  <c r="AQ48" i="3"/>
  <c r="AR48" i="3"/>
  <c r="AT48" i="3"/>
  <c r="AV48" i="3"/>
  <c r="AW48" i="3"/>
  <c r="AY48" i="3"/>
  <c r="BD48" i="3" s="1"/>
  <c r="BA48" i="3"/>
  <c r="BC48" i="3"/>
  <c r="BC52" i="3" s="1"/>
  <c r="K49" i="3"/>
  <c r="N49" i="3"/>
  <c r="P49" i="3"/>
  <c r="R49" i="3"/>
  <c r="S49" i="3"/>
  <c r="U49" i="3"/>
  <c r="W49" i="3"/>
  <c r="Y49" i="3"/>
  <c r="Z49" i="3"/>
  <c r="AB49" i="3"/>
  <c r="AD49" i="3"/>
  <c r="AF49" i="3"/>
  <c r="AH49" i="3"/>
  <c r="AJ49" i="3"/>
  <c r="AM49" i="3"/>
  <c r="AO49" i="3"/>
  <c r="AO52" i="3" s="1"/>
  <c r="AQ49" i="3"/>
  <c r="AT49" i="3"/>
  <c r="AV49" i="3"/>
  <c r="AW49" i="3"/>
  <c r="AY49" i="3"/>
  <c r="BA49" i="3"/>
  <c r="BC49" i="3"/>
  <c r="BD49" i="3"/>
  <c r="W50" i="3"/>
  <c r="Y50" i="3"/>
  <c r="AB50" i="3"/>
  <c r="AD50" i="3"/>
  <c r="AF50" i="3"/>
  <c r="AH50" i="3"/>
  <c r="AJ50" i="3"/>
  <c r="AM50" i="3"/>
  <c r="AR50" i="3" s="1"/>
  <c r="AO50" i="3"/>
  <c r="AQ50" i="3"/>
  <c r="AT50" i="3"/>
  <c r="AW50" i="3" s="1"/>
  <c r="AV50" i="3"/>
  <c r="AY50" i="3"/>
  <c r="BA50" i="3"/>
  <c r="BA52" i="3" s="1"/>
  <c r="BC50" i="3"/>
  <c r="P51" i="3"/>
  <c r="U51" i="3"/>
  <c r="W51" i="3"/>
  <c r="Y51" i="3"/>
  <c r="Z51" i="3"/>
  <c r="AB51" i="3"/>
  <c r="AD51" i="3"/>
  <c r="AF51" i="3"/>
  <c r="AH51" i="3"/>
  <c r="AJ51" i="3"/>
  <c r="AM51" i="3"/>
  <c r="AO51" i="3"/>
  <c r="AQ51" i="3"/>
  <c r="AT51" i="3"/>
  <c r="AV51" i="3"/>
  <c r="AW51" i="3"/>
  <c r="AY51" i="3"/>
  <c r="BA51" i="3"/>
  <c r="BC51" i="3"/>
  <c r="BD51" i="3"/>
  <c r="J52" i="3"/>
  <c r="V52" i="3"/>
  <c r="X52" i="3"/>
  <c r="Y52" i="3"/>
  <c r="AA52" i="3"/>
  <c r="AC52" i="3"/>
  <c r="AC59" i="3" s="1"/>
  <c r="AE52" i="3"/>
  <c r="AG52" i="3"/>
  <c r="AH52" i="3"/>
  <c r="AI52" i="3"/>
  <c r="AL52" i="3"/>
  <c r="AL59" i="3" s="1"/>
  <c r="AN52" i="3"/>
  <c r="AP52" i="3"/>
  <c r="AP59" i="3" s="1"/>
  <c r="AS52" i="3"/>
  <c r="AS59" i="3" s="1"/>
  <c r="AU52" i="3"/>
  <c r="AX52" i="3"/>
  <c r="AZ52" i="3"/>
  <c r="BB52" i="3"/>
  <c r="G54" i="3"/>
  <c r="K54" i="3"/>
  <c r="N54" i="3"/>
  <c r="S54" i="3" s="1"/>
  <c r="P54" i="3"/>
  <c r="R54" i="3"/>
  <c r="U54" i="3"/>
  <c r="Z54" i="3" s="1"/>
  <c r="W54" i="3"/>
  <c r="Y54" i="3"/>
  <c r="AB54" i="3"/>
  <c r="AD54" i="3"/>
  <c r="AF54" i="3"/>
  <c r="AH54" i="3"/>
  <c r="AJ54" i="3"/>
  <c r="AM54" i="3"/>
  <c r="AO54" i="3"/>
  <c r="AQ54" i="3"/>
  <c r="AT54" i="3"/>
  <c r="AV54" i="3"/>
  <c r="AW54" i="3"/>
  <c r="AY54" i="3"/>
  <c r="BA54" i="3"/>
  <c r="BC54" i="3"/>
  <c r="BD54" i="3"/>
  <c r="W55" i="3"/>
  <c r="Y55" i="3"/>
  <c r="AB55" i="3"/>
  <c r="AD55" i="3"/>
  <c r="AF55" i="3"/>
  <c r="AK55" i="3" s="1"/>
  <c r="AH55" i="3"/>
  <c r="AJ55" i="3"/>
  <c r="AM55" i="3"/>
  <c r="AR55" i="3" s="1"/>
  <c r="AO55" i="3"/>
  <c r="AQ55" i="3"/>
  <c r="AT55" i="3"/>
  <c r="AW55" i="3" s="1"/>
  <c r="AV55" i="3"/>
  <c r="AY55" i="3"/>
  <c r="BA55" i="3"/>
  <c r="BC55" i="3"/>
  <c r="G56" i="3"/>
  <c r="P56" i="3"/>
  <c r="U56" i="3"/>
  <c r="W56" i="3"/>
  <c r="Y56" i="3"/>
  <c r="Z56" i="3"/>
  <c r="AB56" i="3"/>
  <c r="AD56" i="3"/>
  <c r="AF56" i="3"/>
  <c r="AH56" i="3"/>
  <c r="AJ56" i="3"/>
  <c r="AM56" i="3"/>
  <c r="AO56" i="3"/>
  <c r="AQ56" i="3"/>
  <c r="AT56" i="3"/>
  <c r="AV56" i="3"/>
  <c r="AY56" i="3"/>
  <c r="BA56" i="3"/>
  <c r="BC56" i="3"/>
  <c r="G57" i="3"/>
  <c r="P57" i="3"/>
  <c r="U57" i="3"/>
  <c r="Z57" i="3" s="1"/>
  <c r="W57" i="3"/>
  <c r="Y57" i="3"/>
  <c r="AB57" i="3"/>
  <c r="AD57" i="3"/>
  <c r="AF57" i="3"/>
  <c r="AH57" i="3"/>
  <c r="AJ57" i="3"/>
  <c r="AM57" i="3"/>
  <c r="AO57" i="3"/>
  <c r="AO59" i="3" s="1"/>
  <c r="AQ57" i="3"/>
  <c r="AT57" i="3"/>
  <c r="AV57" i="3"/>
  <c r="AW57" i="3"/>
  <c r="AY57" i="3"/>
  <c r="BA57" i="3"/>
  <c r="BC57" i="3"/>
  <c r="BD57" i="3"/>
  <c r="C58" i="3"/>
  <c r="E58" i="3"/>
  <c r="G58" i="3"/>
  <c r="I58" i="3"/>
  <c r="K58" i="3"/>
  <c r="L58" i="3"/>
  <c r="N58" i="3"/>
  <c r="P58" i="3"/>
  <c r="R58" i="3"/>
  <c r="S58" i="3"/>
  <c r="U58" i="3"/>
  <c r="W58" i="3"/>
  <c r="Y58" i="3"/>
  <c r="Z58" i="3"/>
  <c r="AB58" i="3"/>
  <c r="AD58" i="3"/>
  <c r="AF58" i="3"/>
  <c r="AH58" i="3"/>
  <c r="AJ58" i="3"/>
  <c r="AM58" i="3"/>
  <c r="AR58" i="3" s="1"/>
  <c r="AO58" i="3"/>
  <c r="AQ58" i="3"/>
  <c r="AT58" i="3"/>
  <c r="AV58" i="3"/>
  <c r="AY58" i="3"/>
  <c r="BA58" i="3"/>
  <c r="BC58" i="3"/>
  <c r="X59" i="3"/>
  <c r="AG59" i="3"/>
  <c r="AH59" i="3"/>
  <c r="AN59" i="3"/>
  <c r="AZ59" i="3"/>
  <c r="BB59" i="3"/>
  <c r="S15" i="5"/>
  <c r="S16" i="5"/>
  <c r="S17" i="5"/>
  <c r="S20" i="5"/>
  <c r="S21" i="5"/>
  <c r="S22" i="5"/>
  <c r="S23" i="5"/>
  <c r="S24" i="5" s="1"/>
  <c r="S27" i="5"/>
  <c r="S28" i="5"/>
  <c r="S29" i="5"/>
  <c r="S30" i="5"/>
  <c r="G25" i="7"/>
  <c r="G34" i="7"/>
  <c r="J36" i="7"/>
  <c r="L36" i="7"/>
  <c r="J37" i="7"/>
  <c r="K37" i="7"/>
  <c r="L37" i="7"/>
  <c r="L38" i="7" s="1"/>
  <c r="J40" i="7"/>
  <c r="L40" i="7"/>
  <c r="J41" i="7"/>
  <c r="L41" i="7"/>
  <c r="L43" i="7" s="1"/>
  <c r="J42" i="7"/>
  <c r="L42" i="7"/>
  <c r="F43" i="7"/>
  <c r="G43" i="7"/>
  <c r="H43" i="7"/>
  <c r="J45" i="7"/>
  <c r="L45" i="7"/>
  <c r="J46" i="7"/>
  <c r="L46" i="7"/>
  <c r="J47" i="7"/>
  <c r="L47" i="7"/>
  <c r="J48" i="7"/>
  <c r="L48" i="7"/>
  <c r="J49" i="7"/>
  <c r="K49" i="7"/>
  <c r="L49" i="7"/>
  <c r="J51" i="7"/>
  <c r="L51" i="7"/>
  <c r="J52" i="7"/>
  <c r="L52" i="7"/>
  <c r="G53" i="7"/>
  <c r="V9" i="8"/>
  <c r="S17" i="8"/>
  <c r="U18" i="8"/>
  <c r="G25" i="8"/>
  <c r="U25" i="8"/>
  <c r="U32" i="8" s="1"/>
  <c r="S28" i="8"/>
  <c r="AD11" i="9"/>
  <c r="AD14" i="9"/>
  <c r="AE14" i="9"/>
  <c r="AF14" i="9"/>
  <c r="AG14" i="9"/>
  <c r="S15" i="9"/>
  <c r="U15" i="9"/>
  <c r="W15" i="9"/>
  <c r="Y15" i="9"/>
  <c r="AA15" i="9"/>
  <c r="AC15" i="9"/>
  <c r="AD15" i="9"/>
  <c r="AF15" i="9"/>
  <c r="G16" i="9"/>
  <c r="S16" i="9"/>
  <c r="U16" i="9"/>
  <c r="W16" i="9"/>
  <c r="Y16" i="9"/>
  <c r="AA16" i="9"/>
  <c r="AC16" i="9"/>
  <c r="AD16" i="9"/>
  <c r="AE16" i="9"/>
  <c r="AF16" i="9"/>
  <c r="S17" i="9"/>
  <c r="U17" i="9"/>
  <c r="W17" i="9"/>
  <c r="Y17" i="9"/>
  <c r="AA17" i="9"/>
  <c r="AC17" i="9"/>
  <c r="AD17" i="9"/>
  <c r="AF17" i="9"/>
  <c r="S18" i="9"/>
  <c r="U18" i="9"/>
  <c r="W18" i="9"/>
  <c r="Y18" i="9"/>
  <c r="AA18" i="9"/>
  <c r="AC18" i="9"/>
  <c r="AD18" i="9"/>
  <c r="AF18" i="9"/>
  <c r="S19" i="9"/>
  <c r="U19" i="9"/>
  <c r="W19" i="9"/>
  <c r="Y19" i="9"/>
  <c r="AA19" i="9"/>
  <c r="AC19" i="9"/>
  <c r="AD19" i="9"/>
  <c r="AF19" i="9"/>
  <c r="S20" i="9"/>
  <c r="U20" i="9"/>
  <c r="W20" i="9"/>
  <c r="Y20" i="9"/>
  <c r="AA20" i="9"/>
  <c r="AC20" i="9"/>
  <c r="AD20" i="9"/>
  <c r="AE20" i="9"/>
  <c r="AF20" i="9"/>
  <c r="S21" i="9"/>
  <c r="U21" i="9"/>
  <c r="W21" i="9"/>
  <c r="Y21" i="9"/>
  <c r="AA21" i="9"/>
  <c r="AC21" i="9"/>
  <c r="AD21" i="9"/>
  <c r="AF21" i="9"/>
  <c r="G22" i="9"/>
  <c r="S22" i="9"/>
  <c r="U22" i="9"/>
  <c r="W22" i="9"/>
  <c r="Y22" i="9"/>
  <c r="AA22" i="9"/>
  <c r="AC22" i="9"/>
  <c r="AD22" i="9"/>
  <c r="AF22" i="9"/>
  <c r="O23" i="9"/>
  <c r="Q23" i="9"/>
  <c r="S23" i="9"/>
  <c r="U23" i="9"/>
  <c r="W23" i="9"/>
  <c r="Y23" i="9"/>
  <c r="AA23" i="9"/>
  <c r="AC23" i="9"/>
  <c r="AD23" i="9"/>
  <c r="AF23" i="9"/>
  <c r="W24" i="9"/>
  <c r="Y24" i="9"/>
  <c r="AA24" i="9"/>
  <c r="AC24" i="9"/>
  <c r="AD24" i="9"/>
  <c r="AF24" i="9"/>
  <c r="G25" i="9"/>
  <c r="S25" i="9"/>
  <c r="U25" i="9"/>
  <c r="W25" i="9"/>
  <c r="Y25" i="9"/>
  <c r="AA25" i="9"/>
  <c r="AC25" i="9"/>
  <c r="AD25" i="9"/>
  <c r="AE25" i="9"/>
  <c r="AF25" i="9"/>
  <c r="G26" i="9"/>
  <c r="S26" i="9"/>
  <c r="U26" i="9"/>
  <c r="W26" i="9"/>
  <c r="Y26" i="9"/>
  <c r="AA26" i="9"/>
  <c r="AC26" i="9"/>
  <c r="AD26" i="9"/>
  <c r="AF26" i="9"/>
  <c r="G27" i="9"/>
  <c r="S27" i="9"/>
  <c r="U27" i="9"/>
  <c r="W27" i="9"/>
  <c r="Y27" i="9"/>
  <c r="AA27" i="9"/>
  <c r="AC27" i="9"/>
  <c r="AD27" i="9"/>
  <c r="AF27" i="9"/>
  <c r="AG27" i="9"/>
  <c r="G28" i="9"/>
  <c r="S28" i="9"/>
  <c r="U28" i="9"/>
  <c r="W28" i="9"/>
  <c r="Y28" i="9"/>
  <c r="AA28" i="9"/>
  <c r="AC28" i="9"/>
  <c r="AD28" i="9"/>
  <c r="AF28" i="9"/>
  <c r="G29" i="9"/>
  <c r="S29" i="9"/>
  <c r="U29" i="9"/>
  <c r="W29" i="9"/>
  <c r="Y29" i="9"/>
  <c r="AA29" i="9"/>
  <c r="AC29" i="9"/>
  <c r="AD29" i="9"/>
  <c r="AF29" i="9"/>
  <c r="G30" i="9"/>
  <c r="S30" i="9"/>
  <c r="U30" i="9"/>
  <c r="W30" i="9"/>
  <c r="Y30" i="9"/>
  <c r="AA30" i="9"/>
  <c r="AC30" i="9"/>
  <c r="AD30" i="9"/>
  <c r="AF30" i="9"/>
  <c r="G31" i="9"/>
  <c r="S31" i="9"/>
  <c r="U31" i="9"/>
  <c r="W31" i="9"/>
  <c r="Y31" i="9"/>
  <c r="AA31" i="9"/>
  <c r="AC31" i="9"/>
  <c r="AD31" i="9"/>
  <c r="AF31" i="9"/>
  <c r="G32" i="9"/>
  <c r="S32" i="9"/>
  <c r="U32" i="9"/>
  <c r="AG32" i="9" s="1"/>
  <c r="W32" i="9"/>
  <c r="Y32" i="9"/>
  <c r="AA32" i="9"/>
  <c r="AC32" i="9"/>
  <c r="AD32" i="9"/>
  <c r="AF32" i="9"/>
  <c r="S33" i="9"/>
  <c r="U33" i="9"/>
  <c r="W33" i="9"/>
  <c r="Y33" i="9"/>
  <c r="AA33" i="9"/>
  <c r="AC33" i="9"/>
  <c r="AD33" i="9"/>
  <c r="AF33" i="9"/>
  <c r="G34" i="9"/>
  <c r="S34" i="9"/>
  <c r="U34" i="9"/>
  <c r="W34" i="9"/>
  <c r="Y34" i="9"/>
  <c r="AA34" i="9"/>
  <c r="AC34" i="9"/>
  <c r="AD34" i="9"/>
  <c r="AF34" i="9"/>
  <c r="G35" i="9"/>
  <c r="S35" i="9"/>
  <c r="U35" i="9"/>
  <c r="W35" i="9"/>
  <c r="Y35" i="9"/>
  <c r="AA35" i="9"/>
  <c r="AC35" i="9"/>
  <c r="AD35" i="9"/>
  <c r="AF35" i="9"/>
  <c r="S10" i="12"/>
  <c r="U10" i="12"/>
  <c r="S11" i="12"/>
  <c r="U11" i="12"/>
  <c r="S12" i="12"/>
  <c r="U12" i="12"/>
  <c r="S13" i="12"/>
  <c r="U13" i="12"/>
  <c r="S14" i="12"/>
  <c r="U14" i="12"/>
  <c r="S15" i="12"/>
  <c r="U15" i="12"/>
  <c r="G16" i="12"/>
  <c r="L16" i="12"/>
  <c r="P16" i="12"/>
  <c r="S16" i="12"/>
  <c r="U16" i="12"/>
  <c r="S17" i="12"/>
  <c r="U17" i="12"/>
  <c r="S18" i="12"/>
  <c r="U18" i="12"/>
  <c r="S19" i="12"/>
  <c r="U19" i="12"/>
  <c r="S20" i="12"/>
  <c r="U20" i="12"/>
  <c r="S21" i="12"/>
  <c r="U21" i="12"/>
  <c r="G22" i="12"/>
  <c r="L22" i="12"/>
  <c r="P22" i="12"/>
  <c r="S22" i="12"/>
  <c r="U22" i="12"/>
  <c r="N23" i="12"/>
  <c r="O23" i="12"/>
  <c r="Q23" i="12"/>
  <c r="R23" i="12"/>
  <c r="T23" i="12"/>
  <c r="G25" i="12"/>
  <c r="L25" i="12"/>
  <c r="P25" i="12"/>
  <c r="S25" i="12"/>
  <c r="U25" i="12"/>
  <c r="G26" i="12"/>
  <c r="L26" i="12"/>
  <c r="P26" i="12"/>
  <c r="S26" i="12"/>
  <c r="U26" i="12"/>
  <c r="G27" i="12"/>
  <c r="L27" i="12"/>
  <c r="P27" i="12"/>
  <c r="S27" i="12"/>
  <c r="U27" i="12"/>
  <c r="G28" i="12"/>
  <c r="L28" i="12"/>
  <c r="P28" i="12"/>
  <c r="S28" i="12"/>
  <c r="U28" i="12"/>
  <c r="G29" i="12"/>
  <c r="L29" i="12"/>
  <c r="P29" i="12"/>
  <c r="S29" i="12"/>
  <c r="U29" i="12"/>
  <c r="G30" i="12"/>
  <c r="J30" i="12"/>
  <c r="L30" i="12"/>
  <c r="P30" i="12"/>
  <c r="S30" i="12"/>
  <c r="U30" i="12"/>
  <c r="G31" i="12"/>
  <c r="J31" i="12"/>
  <c r="L31" i="12"/>
  <c r="P31" i="12"/>
  <c r="S31" i="12"/>
  <c r="U31" i="12"/>
  <c r="G32" i="12"/>
  <c r="J32" i="12"/>
  <c r="L32" i="12"/>
  <c r="P32" i="12"/>
  <c r="S32" i="12"/>
  <c r="U32" i="12"/>
  <c r="J33" i="12"/>
  <c r="L33" i="12"/>
  <c r="P33" i="12"/>
  <c r="S33" i="12"/>
  <c r="U33" i="12"/>
  <c r="G34" i="12"/>
  <c r="J34" i="12"/>
  <c r="L34" i="12"/>
  <c r="P34" i="12"/>
  <c r="S34" i="12"/>
  <c r="U34" i="12"/>
  <c r="G35" i="12"/>
  <c r="J35" i="12"/>
  <c r="L35" i="12"/>
  <c r="P35" i="12"/>
  <c r="S35" i="12"/>
  <c r="U35" i="12"/>
  <c r="G36" i="12"/>
  <c r="J36" i="12"/>
  <c r="L36" i="12"/>
  <c r="P36" i="12"/>
  <c r="S36" i="12"/>
  <c r="U36" i="12"/>
  <c r="B37" i="12"/>
  <c r="C37" i="12"/>
  <c r="D37" i="12"/>
  <c r="E37" i="12"/>
  <c r="F37" i="12"/>
  <c r="G37" i="12"/>
  <c r="H37" i="12"/>
  <c r="I37" i="12"/>
  <c r="K37" i="12"/>
  <c r="N37" i="12"/>
  <c r="O37" i="12"/>
  <c r="P37" i="12"/>
  <c r="Q37" i="12"/>
  <c r="R37" i="12"/>
  <c r="T37" i="12"/>
  <c r="G39" i="12"/>
  <c r="J39" i="12"/>
  <c r="L39" i="12"/>
  <c r="P39" i="12"/>
  <c r="S39" i="12"/>
  <c r="U39" i="12"/>
  <c r="G40" i="12"/>
  <c r="J40" i="12"/>
  <c r="L40" i="12"/>
  <c r="P40" i="12"/>
  <c r="S40" i="12"/>
  <c r="U40" i="12"/>
  <c r="G41" i="12"/>
  <c r="J41" i="12"/>
  <c r="L41" i="12"/>
  <c r="P41" i="12"/>
  <c r="S41" i="12"/>
  <c r="U41" i="12"/>
  <c r="G42" i="12"/>
  <c r="J42" i="12"/>
  <c r="L42" i="12"/>
  <c r="P42" i="12"/>
  <c r="S42" i="12"/>
  <c r="U42" i="12"/>
  <c r="B43" i="12"/>
  <c r="C43" i="12"/>
  <c r="J43" i="12" s="1"/>
  <c r="D43" i="12"/>
  <c r="U43" i="12" s="1"/>
  <c r="E43" i="12"/>
  <c r="F43" i="12"/>
  <c r="G43" i="12"/>
  <c r="H43" i="12"/>
  <c r="I43" i="12"/>
  <c r="K43" i="12"/>
  <c r="N43" i="12"/>
  <c r="O43" i="12"/>
  <c r="P43" i="12"/>
  <c r="Q43" i="12"/>
  <c r="R43" i="12"/>
  <c r="T43" i="12"/>
  <c r="G45" i="12"/>
  <c r="J45" i="12"/>
  <c r="L45" i="12"/>
  <c r="P45" i="12"/>
  <c r="S45" i="12"/>
  <c r="U45" i="12"/>
  <c r="G46" i="12"/>
  <c r="J46" i="12"/>
  <c r="L46" i="12"/>
  <c r="P46" i="12"/>
  <c r="S46" i="12"/>
  <c r="U46" i="12"/>
  <c r="G47" i="12"/>
  <c r="J47" i="12"/>
  <c r="L47" i="12"/>
  <c r="P47" i="12"/>
  <c r="S47" i="12"/>
  <c r="U47" i="12"/>
  <c r="G48" i="12"/>
  <c r="J48" i="12"/>
  <c r="L48" i="12"/>
  <c r="P48" i="12"/>
  <c r="S48" i="12"/>
  <c r="U48" i="12"/>
  <c r="B49" i="12"/>
  <c r="C49" i="12"/>
  <c r="D49" i="12"/>
  <c r="E49" i="12"/>
  <c r="F49" i="12"/>
  <c r="H49" i="12"/>
  <c r="I49" i="12"/>
  <c r="J49" i="12"/>
  <c r="K49" i="12"/>
  <c r="L49" i="12"/>
  <c r="N49" i="12"/>
  <c r="O49" i="12"/>
  <c r="Q49" i="12"/>
  <c r="R49" i="12"/>
  <c r="S49" i="12" s="1"/>
  <c r="T49" i="12"/>
  <c r="U49" i="12"/>
  <c r="G51" i="12"/>
  <c r="J51" i="12"/>
  <c r="L51" i="12"/>
  <c r="P51" i="12"/>
  <c r="S51" i="12"/>
  <c r="U51" i="12"/>
  <c r="G52" i="12"/>
  <c r="J52" i="12"/>
  <c r="L52" i="12"/>
  <c r="P52" i="12"/>
  <c r="S52" i="12"/>
  <c r="U52" i="12"/>
  <c r="G53" i="12"/>
  <c r="J53" i="12"/>
  <c r="L53" i="12"/>
  <c r="P53" i="12"/>
  <c r="S53" i="12"/>
  <c r="U53" i="12"/>
  <c r="B54" i="12"/>
  <c r="C54" i="12"/>
  <c r="J54" i="12" s="1"/>
  <c r="D54" i="12"/>
  <c r="U54" i="12" s="1"/>
  <c r="E54" i="12"/>
  <c r="F54" i="12"/>
  <c r="G54" i="12"/>
  <c r="H54" i="12"/>
  <c r="I54" i="12"/>
  <c r="K54" i="12"/>
  <c r="L54" i="12"/>
  <c r="N54" i="12"/>
  <c r="O54" i="12"/>
  <c r="P54" i="12"/>
  <c r="Q54" i="12"/>
  <c r="R54" i="12"/>
  <c r="T54" i="12"/>
  <c r="G56" i="12"/>
  <c r="J56" i="12"/>
  <c r="L56" i="12"/>
  <c r="P56" i="12"/>
  <c r="S56" i="12"/>
  <c r="U56" i="12"/>
  <c r="G57" i="12"/>
  <c r="J57" i="12"/>
  <c r="L57" i="12"/>
  <c r="P57" i="12"/>
  <c r="S57" i="12"/>
  <c r="U57" i="12"/>
  <c r="B58" i="12"/>
  <c r="C58" i="12"/>
  <c r="D58" i="12"/>
  <c r="E58" i="12"/>
  <c r="F58" i="12"/>
  <c r="H58" i="12"/>
  <c r="I58" i="12"/>
  <c r="J58" i="12"/>
  <c r="K58" i="12"/>
  <c r="L58" i="12"/>
  <c r="N58" i="12"/>
  <c r="O58" i="12"/>
  <c r="Q58" i="12"/>
  <c r="R58" i="12"/>
  <c r="S58" i="12"/>
  <c r="T58" i="12"/>
  <c r="U58" i="12"/>
  <c r="G60" i="12"/>
  <c r="J60" i="12"/>
  <c r="L60" i="12"/>
  <c r="P60" i="12"/>
  <c r="S60" i="12"/>
  <c r="U60" i="12"/>
  <c r="G61" i="12"/>
  <c r="J61" i="12"/>
  <c r="L61" i="12"/>
  <c r="P61" i="12"/>
  <c r="S61" i="12"/>
  <c r="U61" i="12"/>
  <c r="G62" i="12"/>
  <c r="J62" i="12"/>
  <c r="L62" i="12"/>
  <c r="P62" i="12"/>
  <c r="S62" i="12"/>
  <c r="U62" i="12"/>
  <c r="G63" i="12"/>
  <c r="J63" i="12"/>
  <c r="L63" i="12"/>
  <c r="P63" i="12"/>
  <c r="S63" i="12"/>
  <c r="U63" i="12"/>
  <c r="G64" i="12"/>
  <c r="J64" i="12"/>
  <c r="L64" i="12"/>
  <c r="P64" i="12"/>
  <c r="S64" i="12"/>
  <c r="U64" i="12"/>
  <c r="G65" i="12"/>
  <c r="J65" i="12"/>
  <c r="L65" i="12"/>
  <c r="P65" i="12"/>
  <c r="S65" i="12"/>
  <c r="U65" i="12"/>
  <c r="G66" i="12"/>
  <c r="J66" i="12"/>
  <c r="L66" i="12"/>
  <c r="P66" i="12"/>
  <c r="S66" i="12"/>
  <c r="U66" i="12"/>
  <c r="G67" i="12"/>
  <c r="J67" i="12"/>
  <c r="L67" i="12"/>
  <c r="P67" i="12"/>
  <c r="S67" i="12"/>
  <c r="U67" i="12"/>
  <c r="G68" i="12"/>
  <c r="J68" i="12"/>
  <c r="L68" i="12"/>
  <c r="P68" i="12"/>
  <c r="S68" i="12"/>
  <c r="U68" i="12"/>
  <c r="B69" i="12"/>
  <c r="C69" i="12"/>
  <c r="J69" i="12" s="1"/>
  <c r="D69" i="12"/>
  <c r="U69" i="12" s="1"/>
  <c r="E69" i="12"/>
  <c r="F69" i="12"/>
  <c r="G69" i="12"/>
  <c r="H69" i="12"/>
  <c r="I69" i="12"/>
  <c r="K69" i="12"/>
  <c r="N69" i="12"/>
  <c r="O69" i="12"/>
  <c r="P69" i="12"/>
  <c r="Q69" i="12"/>
  <c r="R69" i="12"/>
  <c r="T69" i="12"/>
  <c r="G71" i="12"/>
  <c r="J71" i="12"/>
  <c r="L71" i="12"/>
  <c r="P71" i="12"/>
  <c r="S71" i="12"/>
  <c r="U71" i="12"/>
  <c r="B72" i="12"/>
  <c r="C72" i="12"/>
  <c r="D72" i="12"/>
  <c r="E72" i="12"/>
  <c r="F72" i="12"/>
  <c r="G72" i="12"/>
  <c r="H72" i="12"/>
  <c r="I72" i="12"/>
  <c r="K72" i="12"/>
  <c r="N72" i="12"/>
  <c r="O72" i="12"/>
  <c r="P72" i="12"/>
  <c r="Q72" i="12"/>
  <c r="R72" i="12"/>
  <c r="T72" i="12"/>
  <c r="T100" i="12" s="1"/>
  <c r="G74" i="12"/>
  <c r="J74" i="12"/>
  <c r="L74" i="12"/>
  <c r="P74" i="12"/>
  <c r="S74" i="12"/>
  <c r="U74" i="12"/>
  <c r="B75" i="12"/>
  <c r="C75" i="12"/>
  <c r="D75" i="12"/>
  <c r="E75" i="12"/>
  <c r="F75" i="12"/>
  <c r="H75" i="12"/>
  <c r="I75" i="12"/>
  <c r="J75" i="12"/>
  <c r="K75" i="12"/>
  <c r="L75" i="12"/>
  <c r="N75" i="12"/>
  <c r="O75" i="12"/>
  <c r="Q75" i="12"/>
  <c r="R75" i="12"/>
  <c r="S75" i="12"/>
  <c r="T75" i="12"/>
  <c r="U75" i="12"/>
  <c r="G77" i="12"/>
  <c r="J77" i="12"/>
  <c r="L77" i="12"/>
  <c r="P77" i="12"/>
  <c r="S77" i="12"/>
  <c r="U77" i="12"/>
  <c r="G78" i="12"/>
  <c r="J78" i="12"/>
  <c r="L78" i="12"/>
  <c r="P78" i="12"/>
  <c r="S78" i="12"/>
  <c r="U78" i="12"/>
  <c r="G79" i="12"/>
  <c r="J79" i="12"/>
  <c r="L79" i="12"/>
  <c r="P79" i="12"/>
  <c r="S79" i="12"/>
  <c r="U79" i="12"/>
  <c r="G80" i="12"/>
  <c r="J80" i="12"/>
  <c r="L80" i="12"/>
  <c r="P80" i="12"/>
  <c r="S80" i="12"/>
  <c r="U80" i="12"/>
  <c r="G81" i="12"/>
  <c r="J81" i="12"/>
  <c r="L81" i="12"/>
  <c r="P81" i="12"/>
  <c r="S81" i="12"/>
  <c r="U81" i="12"/>
  <c r="G82" i="12"/>
  <c r="J82" i="12"/>
  <c r="L82" i="12"/>
  <c r="P82" i="12"/>
  <c r="S82" i="12"/>
  <c r="U82" i="12"/>
  <c r="G83" i="12"/>
  <c r="J83" i="12"/>
  <c r="L83" i="12"/>
  <c r="P83" i="12"/>
  <c r="S83" i="12"/>
  <c r="U83" i="12"/>
  <c r="G84" i="12"/>
  <c r="J84" i="12"/>
  <c r="L84" i="12"/>
  <c r="P84" i="12"/>
  <c r="S84" i="12"/>
  <c r="U84" i="12"/>
  <c r="G85" i="12"/>
  <c r="J85" i="12"/>
  <c r="L85" i="12"/>
  <c r="P85" i="12"/>
  <c r="S85" i="12"/>
  <c r="U85" i="12"/>
  <c r="G86" i="12"/>
  <c r="J86" i="12"/>
  <c r="L86" i="12"/>
  <c r="P86" i="12"/>
  <c r="S86" i="12"/>
  <c r="U86" i="12"/>
  <c r="G87" i="12"/>
  <c r="J87" i="12"/>
  <c r="L87" i="12"/>
  <c r="P87" i="12"/>
  <c r="S87" i="12"/>
  <c r="U87" i="12"/>
  <c r="G88" i="12"/>
  <c r="J88" i="12"/>
  <c r="L88" i="12"/>
  <c r="P88" i="12"/>
  <c r="S88" i="12"/>
  <c r="U88" i="12"/>
  <c r="G89" i="12"/>
  <c r="J89" i="12"/>
  <c r="L89" i="12"/>
  <c r="P89" i="12"/>
  <c r="S89" i="12"/>
  <c r="U89" i="12"/>
  <c r="B90" i="12"/>
  <c r="C90" i="12"/>
  <c r="D90" i="12"/>
  <c r="E90" i="12"/>
  <c r="E100" i="12" s="1"/>
  <c r="F90" i="12"/>
  <c r="H90" i="12"/>
  <c r="I90" i="12"/>
  <c r="J90" i="12"/>
  <c r="K90" i="12"/>
  <c r="L90" i="12"/>
  <c r="N90" i="12"/>
  <c r="N100" i="12" s="1"/>
  <c r="O90" i="12"/>
  <c r="Q90" i="12"/>
  <c r="R90" i="12"/>
  <c r="S90" i="12"/>
  <c r="T90" i="12"/>
  <c r="U90" i="12"/>
  <c r="G92" i="12"/>
  <c r="J92" i="12"/>
  <c r="L92" i="12"/>
  <c r="P92" i="12"/>
  <c r="S92" i="12"/>
  <c r="U92" i="12"/>
  <c r="G93" i="12"/>
  <c r="J93" i="12"/>
  <c r="L93" i="12"/>
  <c r="P93" i="12"/>
  <c r="S93" i="12"/>
  <c r="U93" i="12"/>
  <c r="G94" i="12"/>
  <c r="J94" i="12"/>
  <c r="L94" i="12"/>
  <c r="P94" i="12"/>
  <c r="S94" i="12"/>
  <c r="U94" i="12"/>
  <c r="G95" i="12"/>
  <c r="J95" i="12"/>
  <c r="L95" i="12"/>
  <c r="P95" i="12"/>
  <c r="S95" i="12"/>
  <c r="U95" i="12"/>
  <c r="G96" i="12"/>
  <c r="J96" i="12"/>
  <c r="L96" i="12"/>
  <c r="P96" i="12"/>
  <c r="S96" i="12"/>
  <c r="U96" i="12"/>
  <c r="G97" i="12"/>
  <c r="J97" i="12"/>
  <c r="L97" i="12"/>
  <c r="P97" i="12"/>
  <c r="S97" i="12"/>
  <c r="U97" i="12"/>
  <c r="B98" i="12"/>
  <c r="C98" i="12"/>
  <c r="D98" i="12"/>
  <c r="E98" i="12"/>
  <c r="F98" i="12"/>
  <c r="G98" i="12"/>
  <c r="H98" i="12"/>
  <c r="I98" i="12"/>
  <c r="K98" i="12"/>
  <c r="L98" i="12" s="1"/>
  <c r="N98" i="12"/>
  <c r="O98" i="12"/>
  <c r="P98" i="12"/>
  <c r="Q98" i="12"/>
  <c r="R98" i="12"/>
  <c r="T98" i="12"/>
  <c r="U98" i="12" s="1"/>
  <c r="C99" i="12"/>
  <c r="K99" i="12"/>
  <c r="T99" i="12"/>
  <c r="T101" i="12" s="1"/>
  <c r="H100" i="12"/>
  <c r="I100" i="12"/>
  <c r="Q100" i="12"/>
  <c r="R100" i="12"/>
  <c r="H9" i="13"/>
  <c r="H13" i="13"/>
  <c r="H14" i="13"/>
  <c r="B16" i="13"/>
  <c r="C16" i="13"/>
  <c r="C29" i="13" s="1"/>
  <c r="H18" i="13"/>
  <c r="H21" i="13"/>
  <c r="B22" i="13"/>
  <c r="C22" i="13"/>
  <c r="G24" i="13"/>
  <c r="H24" i="13"/>
  <c r="G25" i="13"/>
  <c r="H25" i="13"/>
  <c r="G26" i="13"/>
  <c r="H26" i="13"/>
  <c r="E27" i="13"/>
  <c r="G27" i="13"/>
  <c r="H27" i="13" s="1"/>
  <c r="G28" i="13"/>
  <c r="H28" i="13"/>
  <c r="F9" i="14"/>
  <c r="H9" i="14"/>
  <c r="M9" i="14"/>
  <c r="O9" i="14"/>
  <c r="Q9" i="14"/>
  <c r="F10" i="14"/>
  <c r="H10" i="14"/>
  <c r="M10" i="14"/>
  <c r="O10" i="14"/>
  <c r="Q10" i="14"/>
  <c r="F11" i="14"/>
  <c r="H11" i="14"/>
  <c r="M11" i="14"/>
  <c r="O11" i="14"/>
  <c r="Q11" i="14"/>
  <c r="F12" i="14"/>
  <c r="H12" i="14"/>
  <c r="M12" i="14"/>
  <c r="O12" i="14"/>
  <c r="Q12" i="14"/>
  <c r="F13" i="14"/>
  <c r="H13" i="14"/>
  <c r="M13" i="14"/>
  <c r="O13" i="14"/>
  <c r="Q13" i="14"/>
  <c r="F14" i="14"/>
  <c r="H14" i="14"/>
  <c r="M14" i="14"/>
  <c r="O14" i="14"/>
  <c r="Q14" i="14"/>
  <c r="F15" i="14"/>
  <c r="H15" i="14"/>
  <c r="M15" i="14"/>
  <c r="O15" i="14"/>
  <c r="Q15" i="14"/>
  <c r="B16" i="14"/>
  <c r="C16" i="14"/>
  <c r="D16" i="14"/>
  <c r="D23" i="14" s="1"/>
  <c r="E16" i="14"/>
  <c r="F16" i="14"/>
  <c r="G16" i="14"/>
  <c r="G23" i="14" s="1"/>
  <c r="H16" i="14"/>
  <c r="I16" i="14"/>
  <c r="L16" i="14"/>
  <c r="M16" i="14"/>
  <c r="N16" i="14"/>
  <c r="P16" i="14"/>
  <c r="P23" i="14" s="1"/>
  <c r="F18" i="14"/>
  <c r="H18" i="14"/>
  <c r="M18" i="14"/>
  <c r="O18" i="14"/>
  <c r="Q18" i="14"/>
  <c r="F19" i="14"/>
  <c r="H19" i="14"/>
  <c r="M19" i="14"/>
  <c r="O19" i="14"/>
  <c r="Q19" i="14"/>
  <c r="F20" i="14"/>
  <c r="H20" i="14"/>
  <c r="M20" i="14"/>
  <c r="O20" i="14"/>
  <c r="Q20" i="14"/>
  <c r="F21" i="14"/>
  <c r="H21" i="14"/>
  <c r="M21" i="14"/>
  <c r="O21" i="14"/>
  <c r="Q21" i="14"/>
  <c r="B22" i="14"/>
  <c r="C22" i="14"/>
  <c r="D22" i="14"/>
  <c r="E22" i="14"/>
  <c r="F22" i="14"/>
  <c r="G22" i="14"/>
  <c r="H22" i="14"/>
  <c r="I22" i="14"/>
  <c r="L22" i="14"/>
  <c r="N22" i="14"/>
  <c r="O22" i="14"/>
  <c r="P22" i="14"/>
  <c r="N23" i="14"/>
  <c r="E9" i="15"/>
  <c r="E16" i="15" s="1"/>
  <c r="F9" i="15"/>
  <c r="F16" i="15" s="1"/>
  <c r="E10" i="15"/>
  <c r="F10" i="15"/>
  <c r="E11" i="15"/>
  <c r="F11" i="15"/>
  <c r="G11" i="15"/>
  <c r="K11" i="15" s="1"/>
  <c r="L11" i="15" s="1"/>
  <c r="H11" i="15"/>
  <c r="I11" i="15" s="1"/>
  <c r="E12" i="15"/>
  <c r="G12" i="15" s="1"/>
  <c r="F12" i="15"/>
  <c r="E13" i="15"/>
  <c r="F13" i="15"/>
  <c r="E14" i="15"/>
  <c r="F14" i="15"/>
  <c r="G14" i="15"/>
  <c r="E15" i="15"/>
  <c r="F15" i="15"/>
  <c r="G15" i="15"/>
  <c r="H15" i="15"/>
  <c r="I15" i="15" s="1"/>
  <c r="K15" i="15"/>
  <c r="L15" i="15" s="1"/>
  <c r="B16" i="15"/>
  <c r="C16" i="15"/>
  <c r="D16" i="15"/>
  <c r="D29" i="15" s="1"/>
  <c r="E18" i="15"/>
  <c r="F18" i="15"/>
  <c r="G18" i="15" s="1"/>
  <c r="E19" i="15"/>
  <c r="F19" i="15"/>
  <c r="G19" i="15"/>
  <c r="H19" i="15"/>
  <c r="I19" i="15" s="1"/>
  <c r="K19" i="15"/>
  <c r="L19" i="15" s="1"/>
  <c r="E20" i="15"/>
  <c r="F20" i="15"/>
  <c r="G20" i="15"/>
  <c r="E21" i="15"/>
  <c r="G21" i="15" s="1"/>
  <c r="H21" i="15" s="1"/>
  <c r="I21" i="15" s="1"/>
  <c r="F21" i="15"/>
  <c r="B22" i="15"/>
  <c r="C22" i="15"/>
  <c r="D22" i="15"/>
  <c r="E24" i="15"/>
  <c r="F24" i="15"/>
  <c r="G24" i="15"/>
  <c r="K24" i="15" s="1"/>
  <c r="L24" i="15" s="1"/>
  <c r="E25" i="15"/>
  <c r="F25" i="15"/>
  <c r="E26" i="15"/>
  <c r="G26" i="15" s="1"/>
  <c r="H26" i="15" s="1"/>
  <c r="F26" i="15"/>
  <c r="I26" i="15"/>
  <c r="K26" i="15"/>
  <c r="L26" i="15" s="1"/>
  <c r="E27" i="15"/>
  <c r="F27" i="15"/>
  <c r="G27" i="15"/>
  <c r="E28" i="15"/>
  <c r="G28" i="15" s="1"/>
  <c r="K28" i="15" s="1"/>
  <c r="L28" i="15" s="1"/>
  <c r="F28" i="15"/>
  <c r="H28" i="15"/>
  <c r="I28" i="15"/>
  <c r="B29" i="15"/>
  <c r="C29" i="15"/>
  <c r="I23" i="14"/>
  <c r="E23" i="14"/>
  <c r="B23" i="14"/>
  <c r="J21" i="14"/>
  <c r="J20" i="14"/>
  <c r="J19" i="14"/>
  <c r="J18" i="14"/>
  <c r="J15" i="14"/>
  <c r="J14" i="14"/>
  <c r="J13" i="14"/>
  <c r="J12" i="14"/>
  <c r="J11" i="14"/>
  <c r="J10" i="14"/>
  <c r="J9" i="14"/>
  <c r="D28" i="13"/>
  <c r="E28" i="13" s="1"/>
  <c r="D27" i="13"/>
  <c r="D26" i="13"/>
  <c r="E26" i="13" s="1"/>
  <c r="D25" i="13"/>
  <c r="E25" i="13" s="1"/>
  <c r="D24" i="13"/>
  <c r="E24" i="13" s="1"/>
  <c r="G21" i="13"/>
  <c r="E21" i="13"/>
  <c r="D21" i="13"/>
  <c r="G20" i="13"/>
  <c r="H20" i="13" s="1"/>
  <c r="D20" i="13"/>
  <c r="E20" i="13" s="1"/>
  <c r="G19" i="13"/>
  <c r="H19" i="13" s="1"/>
  <c r="E19" i="13"/>
  <c r="D19" i="13"/>
  <c r="G18" i="13"/>
  <c r="G22" i="13" s="1"/>
  <c r="E18" i="13"/>
  <c r="D18" i="13"/>
  <c r="G15" i="13"/>
  <c r="H15" i="13" s="1"/>
  <c r="D15" i="13"/>
  <c r="E15" i="13" s="1"/>
  <c r="G14" i="13"/>
  <c r="D14" i="13"/>
  <c r="E14" i="13" s="1"/>
  <c r="G13" i="13"/>
  <c r="E13" i="13"/>
  <c r="D13" i="13"/>
  <c r="G12" i="13"/>
  <c r="H12" i="13" s="1"/>
  <c r="D12" i="13"/>
  <c r="E12" i="13" s="1"/>
  <c r="G11" i="13"/>
  <c r="H11" i="13" s="1"/>
  <c r="D11" i="13"/>
  <c r="E11" i="13" s="1"/>
  <c r="G10" i="13"/>
  <c r="H10" i="13" s="1"/>
  <c r="D10" i="13"/>
  <c r="E10" i="13" s="1"/>
  <c r="G9" i="13"/>
  <c r="E9" i="13"/>
  <c r="D9" i="13"/>
  <c r="G33" i="12"/>
  <c r="J29" i="12"/>
  <c r="J28" i="12"/>
  <c r="J27" i="12"/>
  <c r="J26" i="12"/>
  <c r="J25" i="12"/>
  <c r="L23" i="12"/>
  <c r="K23" i="12"/>
  <c r="I23" i="12"/>
  <c r="I99" i="12" s="1"/>
  <c r="I101" i="12" s="1"/>
  <c r="H23" i="12"/>
  <c r="F23" i="12"/>
  <c r="E23" i="12"/>
  <c r="D23" i="12"/>
  <c r="U23" i="12" s="1"/>
  <c r="C23" i="12"/>
  <c r="B23" i="12"/>
  <c r="J22" i="12"/>
  <c r="P21" i="12"/>
  <c r="L21" i="12"/>
  <c r="J21" i="12"/>
  <c r="G21" i="12"/>
  <c r="P20" i="12"/>
  <c r="L20" i="12"/>
  <c r="J20" i="12"/>
  <c r="G20" i="12"/>
  <c r="P19" i="12"/>
  <c r="L19" i="12"/>
  <c r="J19" i="12"/>
  <c r="G19" i="12"/>
  <c r="P18" i="12"/>
  <c r="L18" i="12"/>
  <c r="J18" i="12"/>
  <c r="G18" i="12"/>
  <c r="P17" i="12"/>
  <c r="L17" i="12"/>
  <c r="J17" i="12"/>
  <c r="G17" i="12"/>
  <c r="J16" i="12"/>
  <c r="P15" i="12"/>
  <c r="L15" i="12"/>
  <c r="J15" i="12"/>
  <c r="G15" i="12"/>
  <c r="P14" i="12"/>
  <c r="L14" i="12"/>
  <c r="J14" i="12"/>
  <c r="G14" i="12"/>
  <c r="P13" i="12"/>
  <c r="L13" i="12"/>
  <c r="J13" i="12"/>
  <c r="G13" i="12"/>
  <c r="P12" i="12"/>
  <c r="L12" i="12"/>
  <c r="J12" i="12"/>
  <c r="G12" i="12"/>
  <c r="P11" i="12"/>
  <c r="L11" i="12"/>
  <c r="J11" i="12"/>
  <c r="G11" i="12"/>
  <c r="P10" i="12"/>
  <c r="L10" i="12"/>
  <c r="J10" i="12"/>
  <c r="G10" i="12"/>
  <c r="Q35" i="9"/>
  <c r="O35" i="9"/>
  <c r="M35" i="9"/>
  <c r="K35" i="9"/>
  <c r="I35" i="9"/>
  <c r="E35" i="9"/>
  <c r="AG35" i="9" s="1"/>
  <c r="C35" i="9"/>
  <c r="Q34" i="9"/>
  <c r="O34" i="9"/>
  <c r="M34" i="9"/>
  <c r="K34" i="9"/>
  <c r="I34" i="9"/>
  <c r="AG34" i="9" s="1"/>
  <c r="E34" i="9"/>
  <c r="C34" i="9"/>
  <c r="AE34" i="9" s="1"/>
  <c r="Q33" i="9"/>
  <c r="O33" i="9"/>
  <c r="M33" i="9"/>
  <c r="K33" i="9"/>
  <c r="I33" i="9"/>
  <c r="G33" i="9"/>
  <c r="E33" i="9"/>
  <c r="C33" i="9"/>
  <c r="AE33" i="9" s="1"/>
  <c r="Q32" i="9"/>
  <c r="O32" i="9"/>
  <c r="M32" i="9"/>
  <c r="K32" i="9"/>
  <c r="I32" i="9"/>
  <c r="E32" i="9"/>
  <c r="C32" i="9"/>
  <c r="Q31" i="9"/>
  <c r="O31" i="9"/>
  <c r="M31" i="9"/>
  <c r="K31" i="9"/>
  <c r="I31" i="9"/>
  <c r="E31" i="9"/>
  <c r="AG31" i="9" s="1"/>
  <c r="C31" i="9"/>
  <c r="AE31" i="9" s="1"/>
  <c r="Q30" i="9"/>
  <c r="O30" i="9"/>
  <c r="M30" i="9"/>
  <c r="K30" i="9"/>
  <c r="I30" i="9"/>
  <c r="E30" i="9"/>
  <c r="AG30" i="9" s="1"/>
  <c r="C30" i="9"/>
  <c r="Q29" i="9"/>
  <c r="O29" i="9"/>
  <c r="M29" i="9"/>
  <c r="K29" i="9"/>
  <c r="I29" i="9"/>
  <c r="E29" i="9"/>
  <c r="C29" i="9"/>
  <c r="AE29" i="9" s="1"/>
  <c r="Q28" i="9"/>
  <c r="O28" i="9"/>
  <c r="M28" i="9"/>
  <c r="K28" i="9"/>
  <c r="I28" i="9"/>
  <c r="E28" i="9"/>
  <c r="AG28" i="9" s="1"/>
  <c r="C28" i="9"/>
  <c r="Q27" i="9"/>
  <c r="O27" i="9"/>
  <c r="M27" i="9"/>
  <c r="K27" i="9"/>
  <c r="I27" i="9"/>
  <c r="E27" i="9"/>
  <c r="C27" i="9"/>
  <c r="AE27" i="9" s="1"/>
  <c r="Q26" i="9"/>
  <c r="O26" i="9"/>
  <c r="M26" i="9"/>
  <c r="K26" i="9"/>
  <c r="I26" i="9"/>
  <c r="E26" i="9"/>
  <c r="AG26" i="9" s="1"/>
  <c r="C26" i="9"/>
  <c r="Q25" i="9"/>
  <c r="O25" i="9"/>
  <c r="M25" i="9"/>
  <c r="K25" i="9"/>
  <c r="I25" i="9"/>
  <c r="E25" i="9"/>
  <c r="C25" i="9"/>
  <c r="U24" i="9"/>
  <c r="S24" i="9"/>
  <c r="Q24" i="9"/>
  <c r="O24" i="9"/>
  <c r="M24" i="9"/>
  <c r="K24" i="9"/>
  <c r="I24" i="9"/>
  <c r="G24" i="9"/>
  <c r="E24" i="9"/>
  <c r="AG24" i="9" s="1"/>
  <c r="C24" i="9"/>
  <c r="M23" i="9"/>
  <c r="K23" i="9"/>
  <c r="I23" i="9"/>
  <c r="G23" i="9"/>
  <c r="E23" i="9"/>
  <c r="AG23" i="9" s="1"/>
  <c r="C23" i="9"/>
  <c r="Q22" i="9"/>
  <c r="O22" i="9"/>
  <c r="M22" i="9"/>
  <c r="K22" i="9"/>
  <c r="I22" i="9"/>
  <c r="E22" i="9"/>
  <c r="AG22" i="9" s="1"/>
  <c r="C22" i="9"/>
  <c r="Q21" i="9"/>
  <c r="O21" i="9"/>
  <c r="M21" i="9"/>
  <c r="K21" i="9"/>
  <c r="I21" i="9"/>
  <c r="G21" i="9"/>
  <c r="E21" i="9"/>
  <c r="AG21" i="9" s="1"/>
  <c r="C21" i="9"/>
  <c r="AE21" i="9" s="1"/>
  <c r="Q20" i="9"/>
  <c r="O20" i="9"/>
  <c r="M20" i="9"/>
  <c r="K20" i="9"/>
  <c r="I20" i="9"/>
  <c r="G20" i="9"/>
  <c r="E20" i="9"/>
  <c r="C20" i="9"/>
  <c r="Q19" i="9"/>
  <c r="O19" i="9"/>
  <c r="M19" i="9"/>
  <c r="K19" i="9"/>
  <c r="I19" i="9"/>
  <c r="AG19" i="9" s="1"/>
  <c r="G19" i="9"/>
  <c r="E19" i="9"/>
  <c r="C19" i="9"/>
  <c r="AE19" i="9" s="1"/>
  <c r="Q18" i="9"/>
  <c r="O18" i="9"/>
  <c r="M18" i="9"/>
  <c r="K18" i="9"/>
  <c r="I18" i="9"/>
  <c r="G18" i="9"/>
  <c r="AE18" i="9" s="1"/>
  <c r="E18" i="9"/>
  <c r="C18" i="9"/>
  <c r="Q17" i="9"/>
  <c r="O17" i="9"/>
  <c r="M17" i="9"/>
  <c r="K17" i="9"/>
  <c r="I17" i="9"/>
  <c r="G17" i="9"/>
  <c r="E17" i="9"/>
  <c r="AG17" i="9" s="1"/>
  <c r="C17" i="9"/>
  <c r="AE17" i="9" s="1"/>
  <c r="Q16" i="9"/>
  <c r="O16" i="9"/>
  <c r="M16" i="9"/>
  <c r="K16" i="9"/>
  <c r="I16" i="9"/>
  <c r="E16" i="9"/>
  <c r="C16" i="9"/>
  <c r="Q15" i="9"/>
  <c r="O15" i="9"/>
  <c r="M15" i="9"/>
  <c r="K15" i="9"/>
  <c r="I15" i="9"/>
  <c r="G15" i="9"/>
  <c r="E15" i="9"/>
  <c r="C15" i="9"/>
  <c r="L32" i="8"/>
  <c r="M32" i="8" s="1"/>
  <c r="H32" i="8"/>
  <c r="E32" i="8"/>
  <c r="V31" i="8"/>
  <c r="T31" i="8"/>
  <c r="R31" i="8"/>
  <c r="S31" i="8" s="1"/>
  <c r="M31" i="8"/>
  <c r="K31" i="8"/>
  <c r="J31" i="8"/>
  <c r="I31" i="8"/>
  <c r="D31" i="8"/>
  <c r="V30" i="8"/>
  <c r="T30" i="8"/>
  <c r="R30" i="8"/>
  <c r="S30" i="8" s="1"/>
  <c r="M30" i="8"/>
  <c r="K30" i="8"/>
  <c r="J30" i="8"/>
  <c r="I30" i="8"/>
  <c r="D30" i="8"/>
  <c r="V29" i="8"/>
  <c r="T29" i="8"/>
  <c r="R29" i="8"/>
  <c r="S29" i="8" s="1"/>
  <c r="M29" i="8"/>
  <c r="K29" i="8"/>
  <c r="J29" i="8"/>
  <c r="I29" i="8"/>
  <c r="D29" i="8"/>
  <c r="V28" i="8"/>
  <c r="T28" i="8"/>
  <c r="R28" i="8"/>
  <c r="M28" i="8"/>
  <c r="K28" i="8"/>
  <c r="J28" i="8"/>
  <c r="I28" i="8"/>
  <c r="D28" i="8"/>
  <c r="V27" i="8"/>
  <c r="T27" i="8"/>
  <c r="R27" i="8"/>
  <c r="S27" i="8" s="1"/>
  <c r="M27" i="8"/>
  <c r="K27" i="8"/>
  <c r="J27" i="8"/>
  <c r="I27" i="8"/>
  <c r="D27" i="8"/>
  <c r="V25" i="8"/>
  <c r="Q25" i="8"/>
  <c r="P25" i="8"/>
  <c r="O25" i="8"/>
  <c r="L25" i="8"/>
  <c r="H25" i="8"/>
  <c r="F25" i="8"/>
  <c r="E25" i="8"/>
  <c r="M25" i="8" s="1"/>
  <c r="C25" i="8"/>
  <c r="B25" i="8"/>
  <c r="D25" i="8" s="1"/>
  <c r="V24" i="8"/>
  <c r="T24" i="8"/>
  <c r="S24" i="8"/>
  <c r="R24" i="8"/>
  <c r="M24" i="8"/>
  <c r="K24" i="8"/>
  <c r="J24" i="8"/>
  <c r="I24" i="8"/>
  <c r="D24" i="8"/>
  <c r="V23" i="8"/>
  <c r="R23" i="8"/>
  <c r="M23" i="8"/>
  <c r="K23" i="8"/>
  <c r="I23" i="8"/>
  <c r="J23" i="8" s="1"/>
  <c r="D23" i="8"/>
  <c r="V22" i="8"/>
  <c r="R22" i="8"/>
  <c r="M22" i="8"/>
  <c r="I22" i="8"/>
  <c r="D22" i="8"/>
  <c r="V21" i="8"/>
  <c r="R21" i="8"/>
  <c r="M21" i="8"/>
  <c r="K21" i="8"/>
  <c r="I21" i="8"/>
  <c r="J21" i="8" s="1"/>
  <c r="D21" i="8"/>
  <c r="V20" i="8"/>
  <c r="R20" i="8"/>
  <c r="M20" i="8"/>
  <c r="I20" i="8"/>
  <c r="D20" i="8"/>
  <c r="Q18" i="8"/>
  <c r="Q32" i="8" s="1"/>
  <c r="P18" i="8"/>
  <c r="P32" i="8" s="1"/>
  <c r="O18" i="8"/>
  <c r="L18" i="8"/>
  <c r="M18" i="8" s="1"/>
  <c r="H18" i="8"/>
  <c r="G18" i="8"/>
  <c r="G32" i="8" s="1"/>
  <c r="F18" i="8"/>
  <c r="E18" i="8"/>
  <c r="V18" i="8" s="1"/>
  <c r="C18" i="8"/>
  <c r="B18" i="8"/>
  <c r="V17" i="8"/>
  <c r="T17" i="8"/>
  <c r="R17" i="8"/>
  <c r="M17" i="8"/>
  <c r="K17" i="8"/>
  <c r="J17" i="8"/>
  <c r="I17" i="8"/>
  <c r="D17" i="8"/>
  <c r="V16" i="8"/>
  <c r="R16" i="8"/>
  <c r="M16" i="8"/>
  <c r="I16" i="8"/>
  <c r="D16" i="8"/>
  <c r="V15" i="8"/>
  <c r="R15" i="8"/>
  <c r="M15" i="8"/>
  <c r="I15" i="8"/>
  <c r="D15" i="8"/>
  <c r="V14" i="8"/>
  <c r="T14" i="8"/>
  <c r="S14" i="8"/>
  <c r="R14" i="8"/>
  <c r="M14" i="8"/>
  <c r="K14" i="8"/>
  <c r="J14" i="8"/>
  <c r="I14" i="8"/>
  <c r="D14" i="8"/>
  <c r="V13" i="8"/>
  <c r="R13" i="8"/>
  <c r="S13" i="8" s="1"/>
  <c r="M13" i="8"/>
  <c r="I13" i="8"/>
  <c r="D13" i="8"/>
  <c r="V12" i="8"/>
  <c r="R12" i="8"/>
  <c r="M12" i="8"/>
  <c r="I12" i="8"/>
  <c r="K12" i="8" s="1"/>
  <c r="D12" i="8"/>
  <c r="V11" i="8"/>
  <c r="R11" i="8"/>
  <c r="M11" i="8"/>
  <c r="I11" i="8"/>
  <c r="D11" i="8"/>
  <c r="V10" i="8"/>
  <c r="T10" i="8"/>
  <c r="S10" i="8"/>
  <c r="R10" i="8"/>
  <c r="M10" i="8"/>
  <c r="K10" i="8"/>
  <c r="J10" i="8"/>
  <c r="I10" i="8"/>
  <c r="D10" i="8"/>
  <c r="T9" i="8"/>
  <c r="S9" i="8"/>
  <c r="R9" i="8"/>
  <c r="M9" i="8"/>
  <c r="K9" i="8"/>
  <c r="J9" i="8"/>
  <c r="I9" i="8"/>
  <c r="D9" i="8"/>
  <c r="H53" i="7"/>
  <c r="F53" i="7"/>
  <c r="M52" i="7"/>
  <c r="K52" i="7"/>
  <c r="M51" i="7"/>
  <c r="M53" i="7" s="1"/>
  <c r="K51" i="7"/>
  <c r="M50" i="7"/>
  <c r="L50" i="7"/>
  <c r="K50" i="7"/>
  <c r="J50" i="7"/>
  <c r="J53" i="7" s="1"/>
  <c r="M49" i="7"/>
  <c r="M48" i="7"/>
  <c r="K48" i="7"/>
  <c r="M47" i="7"/>
  <c r="K47" i="7"/>
  <c r="M46" i="7"/>
  <c r="K46" i="7"/>
  <c r="M45" i="7"/>
  <c r="K45" i="7"/>
  <c r="M42" i="7"/>
  <c r="K42" i="7"/>
  <c r="M41" i="7"/>
  <c r="K41" i="7"/>
  <c r="M40" i="7"/>
  <c r="K40" i="7"/>
  <c r="K43" i="7" s="1"/>
  <c r="K38" i="7"/>
  <c r="J38" i="7"/>
  <c r="H38" i="7"/>
  <c r="G38" i="7"/>
  <c r="F38" i="7"/>
  <c r="M37" i="7"/>
  <c r="M36" i="7"/>
  <c r="M38" i="7" s="1"/>
  <c r="K36" i="7"/>
  <c r="L34" i="7"/>
  <c r="K34" i="7"/>
  <c r="H34" i="7"/>
  <c r="F34" i="7"/>
  <c r="M33" i="7"/>
  <c r="M34" i="7" s="1"/>
  <c r="L33" i="7"/>
  <c r="K33" i="7"/>
  <c r="J33" i="7"/>
  <c r="J34" i="7" s="1"/>
  <c r="M31" i="7"/>
  <c r="H31" i="7"/>
  <c r="G31" i="7"/>
  <c r="F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L31" i="7" s="1"/>
  <c r="K27" i="7"/>
  <c r="K31" i="7" s="1"/>
  <c r="J27" i="7"/>
  <c r="J31" i="7" s="1"/>
  <c r="K25" i="7"/>
  <c r="J25" i="7"/>
  <c r="H25" i="7"/>
  <c r="F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M25" i="7" s="1"/>
  <c r="L18" i="7"/>
  <c r="L25" i="7" s="1"/>
  <c r="K18" i="7"/>
  <c r="J18" i="7"/>
  <c r="M16" i="7"/>
  <c r="J16" i="7"/>
  <c r="H16" i="7"/>
  <c r="H54" i="7" s="1"/>
  <c r="G16" i="7"/>
  <c r="F16" i="7"/>
  <c r="M15" i="7"/>
  <c r="L15" i="7"/>
  <c r="K15" i="7"/>
  <c r="J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L16" i="7" s="1"/>
  <c r="K10" i="7"/>
  <c r="K16" i="7" s="1"/>
  <c r="J10" i="7"/>
  <c r="M8" i="7"/>
  <c r="D28" i="6"/>
  <c r="M27" i="6"/>
  <c r="N27" i="6" s="1"/>
  <c r="H27" i="6"/>
  <c r="I27" i="6" s="1"/>
  <c r="E27" i="6"/>
  <c r="N26" i="6"/>
  <c r="M26" i="6"/>
  <c r="H26" i="6"/>
  <c r="I26" i="6" s="1"/>
  <c r="E26" i="6"/>
  <c r="M25" i="6"/>
  <c r="N25" i="6" s="1"/>
  <c r="H25" i="6"/>
  <c r="I25" i="6" s="1"/>
  <c r="E25" i="6"/>
  <c r="M24" i="6"/>
  <c r="N24" i="6" s="1"/>
  <c r="I24" i="6"/>
  <c r="H24" i="6"/>
  <c r="E24" i="6"/>
  <c r="M23" i="6"/>
  <c r="N23" i="6" s="1"/>
  <c r="H23" i="6"/>
  <c r="I23" i="6" s="1"/>
  <c r="E23" i="6"/>
  <c r="L21" i="6"/>
  <c r="K21" i="6"/>
  <c r="G21" i="6"/>
  <c r="F21" i="6"/>
  <c r="E21" i="6"/>
  <c r="D21" i="6"/>
  <c r="C21" i="6"/>
  <c r="B21" i="6"/>
  <c r="N20" i="6"/>
  <c r="M20" i="6"/>
  <c r="H20" i="6"/>
  <c r="E20" i="6"/>
  <c r="M19" i="6"/>
  <c r="N19" i="6" s="1"/>
  <c r="H19" i="6"/>
  <c r="I19" i="6" s="1"/>
  <c r="E19" i="6"/>
  <c r="M18" i="6"/>
  <c r="N18" i="6" s="1"/>
  <c r="I18" i="6"/>
  <c r="H18" i="6"/>
  <c r="E18" i="6"/>
  <c r="N17" i="6"/>
  <c r="M17" i="6"/>
  <c r="H17" i="6"/>
  <c r="E17" i="6"/>
  <c r="L15" i="6"/>
  <c r="L28" i="6" s="1"/>
  <c r="K15" i="6"/>
  <c r="G15" i="6"/>
  <c r="G28" i="6" s="1"/>
  <c r="F15" i="6"/>
  <c r="E15" i="6"/>
  <c r="D15" i="6"/>
  <c r="C15" i="6"/>
  <c r="C28" i="6" s="1"/>
  <c r="B15" i="6"/>
  <c r="N14" i="6"/>
  <c r="M14" i="6"/>
  <c r="H14" i="6"/>
  <c r="I14" i="6" s="1"/>
  <c r="E14" i="6"/>
  <c r="M13" i="6"/>
  <c r="N13" i="6" s="1"/>
  <c r="H13" i="6"/>
  <c r="I13" i="6" s="1"/>
  <c r="E13" i="6"/>
  <c r="M12" i="6"/>
  <c r="N12" i="6" s="1"/>
  <c r="I12" i="6"/>
  <c r="H12" i="6"/>
  <c r="E12" i="6"/>
  <c r="M11" i="6"/>
  <c r="N11" i="6" s="1"/>
  <c r="H11" i="6"/>
  <c r="I11" i="6" s="1"/>
  <c r="E11" i="6"/>
  <c r="N10" i="6"/>
  <c r="M10" i="6"/>
  <c r="H10" i="6"/>
  <c r="I10" i="6" s="1"/>
  <c r="E10" i="6"/>
  <c r="M9" i="6"/>
  <c r="N9" i="6" s="1"/>
  <c r="H9" i="6"/>
  <c r="I9" i="6" s="1"/>
  <c r="E9" i="6"/>
  <c r="M8" i="6"/>
  <c r="N8" i="6" s="1"/>
  <c r="I8" i="6"/>
  <c r="H8" i="6"/>
  <c r="E8" i="6"/>
  <c r="T30" i="5"/>
  <c r="N30" i="5"/>
  <c r="O30" i="5" s="1"/>
  <c r="Q30" i="5" s="1"/>
  <c r="U30" i="5" s="1"/>
  <c r="V30" i="5" s="1"/>
  <c r="J30" i="5"/>
  <c r="I30" i="5"/>
  <c r="D30" i="5"/>
  <c r="E30" i="5" s="1"/>
  <c r="G30" i="5" s="1"/>
  <c r="K30" i="5" s="1"/>
  <c r="L30" i="5" s="1"/>
  <c r="T29" i="5"/>
  <c r="N29" i="5"/>
  <c r="O29" i="5" s="1"/>
  <c r="Q29" i="5" s="1"/>
  <c r="J29" i="5"/>
  <c r="I29" i="5"/>
  <c r="D29" i="5"/>
  <c r="E29" i="5" s="1"/>
  <c r="G29" i="5" s="1"/>
  <c r="T28" i="5"/>
  <c r="O28" i="5"/>
  <c r="Q28" i="5" s="1"/>
  <c r="N28" i="5"/>
  <c r="J28" i="5"/>
  <c r="I28" i="5"/>
  <c r="E28" i="5"/>
  <c r="G28" i="5" s="1"/>
  <c r="D28" i="5"/>
  <c r="T27" i="5"/>
  <c r="N27" i="5"/>
  <c r="O27" i="5" s="1"/>
  <c r="Q27" i="5" s="1"/>
  <c r="J27" i="5"/>
  <c r="I27" i="5"/>
  <c r="D27" i="5"/>
  <c r="E27" i="5" s="1"/>
  <c r="G27" i="5" s="1"/>
  <c r="T26" i="5"/>
  <c r="S26" i="5"/>
  <c r="N26" i="5"/>
  <c r="O26" i="5" s="1"/>
  <c r="Q26" i="5" s="1"/>
  <c r="J26" i="5"/>
  <c r="I26" i="5"/>
  <c r="D26" i="5"/>
  <c r="E26" i="5" s="1"/>
  <c r="G26" i="5" s="1"/>
  <c r="T24" i="5"/>
  <c r="P24" i="5"/>
  <c r="F24" i="5"/>
  <c r="C24" i="5"/>
  <c r="T23" i="5"/>
  <c r="Q23" i="5"/>
  <c r="U23" i="5" s="1"/>
  <c r="V23" i="5" s="1"/>
  <c r="N23" i="5"/>
  <c r="O23" i="5" s="1"/>
  <c r="J23" i="5"/>
  <c r="I23" i="5"/>
  <c r="D23" i="5"/>
  <c r="E23" i="5" s="1"/>
  <c r="G23" i="5" s="1"/>
  <c r="T22" i="5"/>
  <c r="Q22" i="5"/>
  <c r="R22" i="5" s="1"/>
  <c r="O22" i="5"/>
  <c r="N22" i="5"/>
  <c r="J22" i="5"/>
  <c r="I22" i="5"/>
  <c r="E22" i="5"/>
  <c r="G22" i="5" s="1"/>
  <c r="D22" i="5"/>
  <c r="T21" i="5"/>
  <c r="N21" i="5"/>
  <c r="O21" i="5" s="1"/>
  <c r="Q21" i="5" s="1"/>
  <c r="J21" i="5"/>
  <c r="J24" i="5" s="1"/>
  <c r="I21" i="5"/>
  <c r="D21" i="5"/>
  <c r="E21" i="5" s="1"/>
  <c r="G21" i="5" s="1"/>
  <c r="T20" i="5"/>
  <c r="N20" i="5"/>
  <c r="J20" i="5"/>
  <c r="I20" i="5"/>
  <c r="I24" i="5" s="1"/>
  <c r="D20" i="5"/>
  <c r="P18" i="5"/>
  <c r="F18" i="5"/>
  <c r="F31" i="5" s="1"/>
  <c r="C18" i="5"/>
  <c r="C31" i="5" s="1"/>
  <c r="U17" i="5"/>
  <c r="V17" i="5" s="1"/>
  <c r="T17" i="5"/>
  <c r="R17" i="5"/>
  <c r="Q17" i="5"/>
  <c r="O17" i="5"/>
  <c r="N17" i="5"/>
  <c r="I17" i="5"/>
  <c r="J17" i="5" s="1"/>
  <c r="K17" i="5" s="1"/>
  <c r="L17" i="5" s="1"/>
  <c r="H17" i="5"/>
  <c r="G17" i="5"/>
  <c r="E17" i="5"/>
  <c r="D17" i="5"/>
  <c r="T16" i="5"/>
  <c r="N16" i="5"/>
  <c r="J16" i="5"/>
  <c r="I16" i="5"/>
  <c r="D16" i="5"/>
  <c r="E16" i="5" s="1"/>
  <c r="G16" i="5" s="1"/>
  <c r="T15" i="5"/>
  <c r="O15" i="5"/>
  <c r="Q15" i="5" s="1"/>
  <c r="N15" i="5"/>
  <c r="J15" i="5"/>
  <c r="I15" i="5"/>
  <c r="E15" i="5"/>
  <c r="G15" i="5" s="1"/>
  <c r="D15" i="5"/>
  <c r="T14" i="5"/>
  <c r="S14" i="5"/>
  <c r="O14" i="5"/>
  <c r="Q14" i="5" s="1"/>
  <c r="N14" i="5"/>
  <c r="J14" i="5"/>
  <c r="I14" i="5"/>
  <c r="E14" i="5"/>
  <c r="G14" i="5" s="1"/>
  <c r="D14" i="5"/>
  <c r="T13" i="5"/>
  <c r="S13" i="5"/>
  <c r="O13" i="5"/>
  <c r="Q13" i="5" s="1"/>
  <c r="N13" i="5"/>
  <c r="J13" i="5"/>
  <c r="I13" i="5"/>
  <c r="E13" i="5"/>
  <c r="G13" i="5" s="1"/>
  <c r="D13" i="5"/>
  <c r="T12" i="5"/>
  <c r="S12" i="5"/>
  <c r="O12" i="5"/>
  <c r="Q12" i="5" s="1"/>
  <c r="N12" i="5"/>
  <c r="J12" i="5"/>
  <c r="I12" i="5"/>
  <c r="E12" i="5"/>
  <c r="G12" i="5" s="1"/>
  <c r="D12" i="5"/>
  <c r="T11" i="5"/>
  <c r="S11" i="5"/>
  <c r="O11" i="5"/>
  <c r="Q11" i="5" s="1"/>
  <c r="N11" i="5"/>
  <c r="J11" i="5"/>
  <c r="I11" i="5"/>
  <c r="E11" i="5"/>
  <c r="G11" i="5" s="1"/>
  <c r="D11" i="5"/>
  <c r="T10" i="5"/>
  <c r="T18" i="5" s="1"/>
  <c r="S10" i="5"/>
  <c r="S18" i="5" s="1"/>
  <c r="O10" i="5"/>
  <c r="N10" i="5"/>
  <c r="J10" i="5"/>
  <c r="I10" i="5"/>
  <c r="E10" i="5"/>
  <c r="E18" i="5" s="1"/>
  <c r="D10" i="5"/>
  <c r="M59" i="3"/>
  <c r="J59" i="3"/>
  <c r="D59" i="3"/>
  <c r="R57" i="3"/>
  <c r="N57" i="3"/>
  <c r="S57" i="3" s="1"/>
  <c r="K57" i="3"/>
  <c r="I57" i="3"/>
  <c r="E57" i="3"/>
  <c r="C57" i="3"/>
  <c r="R56" i="3"/>
  <c r="S56" i="3" s="1"/>
  <c r="N56" i="3"/>
  <c r="K56" i="3"/>
  <c r="I56" i="3"/>
  <c r="E56" i="3"/>
  <c r="C56" i="3"/>
  <c r="U55" i="3"/>
  <c r="Z55" i="3" s="1"/>
  <c r="R55" i="3"/>
  <c r="S55" i="3" s="1"/>
  <c r="P55" i="3"/>
  <c r="N55" i="3"/>
  <c r="K55" i="3"/>
  <c r="I55" i="3"/>
  <c r="G55" i="3"/>
  <c r="E55" i="3"/>
  <c r="C55" i="3"/>
  <c r="L55" i="3" s="1"/>
  <c r="I54" i="3"/>
  <c r="E54" i="3"/>
  <c r="C54" i="3"/>
  <c r="L54" i="3" s="1"/>
  <c r="T52" i="3"/>
  <c r="T59" i="3" s="1"/>
  <c r="Q52" i="3"/>
  <c r="O52" i="3"/>
  <c r="M52" i="3"/>
  <c r="H52" i="3"/>
  <c r="F52" i="3"/>
  <c r="D52" i="3"/>
  <c r="B52" i="3"/>
  <c r="R51" i="3"/>
  <c r="N51" i="3"/>
  <c r="K51" i="3"/>
  <c r="I51" i="3"/>
  <c r="I52" i="3" s="1"/>
  <c r="G51" i="3"/>
  <c r="E51" i="3"/>
  <c r="C51" i="3"/>
  <c r="U50" i="3"/>
  <c r="S50" i="3"/>
  <c r="R50" i="3"/>
  <c r="P50" i="3"/>
  <c r="P52" i="3" s="1"/>
  <c r="N50" i="3"/>
  <c r="K50" i="3"/>
  <c r="I50" i="3"/>
  <c r="G50" i="3"/>
  <c r="E50" i="3"/>
  <c r="L50" i="3" s="1"/>
  <c r="C50" i="3"/>
  <c r="I49" i="3"/>
  <c r="G49" i="3"/>
  <c r="E49" i="3"/>
  <c r="C49" i="3"/>
  <c r="R48" i="3"/>
  <c r="N48" i="3"/>
  <c r="S48" i="3" s="1"/>
  <c r="K48" i="3"/>
  <c r="K52" i="3" s="1"/>
  <c r="I48" i="3"/>
  <c r="G48" i="3"/>
  <c r="E48" i="3"/>
  <c r="E52" i="3" s="1"/>
  <c r="C48" i="3"/>
  <c r="C52" i="3" s="1"/>
  <c r="T46" i="3"/>
  <c r="Q46" i="3"/>
  <c r="Q59" i="3" s="1"/>
  <c r="O46" i="3"/>
  <c r="O59" i="3" s="1"/>
  <c r="M46" i="3"/>
  <c r="H46" i="3"/>
  <c r="H59" i="3" s="1"/>
  <c r="F46" i="3"/>
  <c r="D46" i="3"/>
  <c r="B46" i="3"/>
  <c r="B59" i="3" s="1"/>
  <c r="R45" i="3"/>
  <c r="N45" i="3"/>
  <c r="S45" i="3" s="1"/>
  <c r="K45" i="3"/>
  <c r="I45" i="3"/>
  <c r="G45" i="3"/>
  <c r="E45" i="3"/>
  <c r="C45" i="3"/>
  <c r="U44" i="3"/>
  <c r="Z44" i="3" s="1"/>
  <c r="R44" i="3"/>
  <c r="P44" i="3"/>
  <c r="N44" i="3"/>
  <c r="S44" i="3" s="1"/>
  <c r="K44" i="3"/>
  <c r="I44" i="3"/>
  <c r="G44" i="3"/>
  <c r="E44" i="3"/>
  <c r="C44" i="3"/>
  <c r="L44" i="3" s="1"/>
  <c r="I43" i="3"/>
  <c r="E43" i="3"/>
  <c r="C43" i="3"/>
  <c r="R42" i="3"/>
  <c r="N42" i="3"/>
  <c r="K42" i="3"/>
  <c r="I42" i="3"/>
  <c r="G42" i="3"/>
  <c r="E42" i="3"/>
  <c r="C42" i="3"/>
  <c r="L42" i="3" s="1"/>
  <c r="R41" i="3"/>
  <c r="N41" i="3"/>
  <c r="S41" i="3" s="1"/>
  <c r="K41" i="3"/>
  <c r="I41" i="3"/>
  <c r="I46" i="3" s="1"/>
  <c r="G41" i="3"/>
  <c r="E41" i="3"/>
  <c r="E46" i="3" s="1"/>
  <c r="E59" i="3" s="1"/>
  <c r="C41" i="3"/>
  <c r="R40" i="3"/>
  <c r="N40" i="3"/>
  <c r="K40" i="3"/>
  <c r="I40" i="3"/>
  <c r="G40" i="3"/>
  <c r="E40" i="3"/>
  <c r="C40" i="3"/>
  <c r="R39" i="3"/>
  <c r="N39" i="3"/>
  <c r="S39" i="3" s="1"/>
  <c r="K39" i="3"/>
  <c r="K46" i="3" s="1"/>
  <c r="I39" i="3"/>
  <c r="G39" i="3"/>
  <c r="G46" i="3" s="1"/>
  <c r="E39" i="3"/>
  <c r="C39" i="3"/>
  <c r="X30" i="3"/>
  <c r="T30" i="3"/>
  <c r="O30" i="3"/>
  <c r="J30" i="3"/>
  <c r="F30" i="3"/>
  <c r="B30" i="3"/>
  <c r="AB29" i="3"/>
  <c r="AK29" i="3" s="1"/>
  <c r="U29" i="3"/>
  <c r="Z29" i="3" s="1"/>
  <c r="R29" i="3"/>
  <c r="P29" i="3"/>
  <c r="N29" i="3"/>
  <c r="S29" i="3" s="1"/>
  <c r="K29" i="3"/>
  <c r="I29" i="3"/>
  <c r="G29" i="3"/>
  <c r="E29" i="3"/>
  <c r="L29" i="3" s="1"/>
  <c r="C29" i="3"/>
  <c r="AB28" i="3"/>
  <c r="AK28" i="3" s="1"/>
  <c r="U28" i="3"/>
  <c r="Z28" i="3" s="1"/>
  <c r="R28" i="3"/>
  <c r="P28" i="3"/>
  <c r="N28" i="3"/>
  <c r="S28" i="3" s="1"/>
  <c r="K28" i="3"/>
  <c r="I28" i="3"/>
  <c r="G28" i="3"/>
  <c r="E28" i="3"/>
  <c r="L28" i="3" s="1"/>
  <c r="C28" i="3"/>
  <c r="AB27" i="3"/>
  <c r="AK27" i="3" s="1"/>
  <c r="U27" i="3"/>
  <c r="Z27" i="3" s="1"/>
  <c r="R27" i="3"/>
  <c r="P27" i="3"/>
  <c r="N27" i="3"/>
  <c r="S27" i="3" s="1"/>
  <c r="K27" i="3"/>
  <c r="I27" i="3"/>
  <c r="G27" i="3"/>
  <c r="E27" i="3"/>
  <c r="L27" i="3" s="1"/>
  <c r="C27" i="3"/>
  <c r="AB26" i="3"/>
  <c r="AK26" i="3" s="1"/>
  <c r="U26" i="3"/>
  <c r="Z26" i="3" s="1"/>
  <c r="R26" i="3"/>
  <c r="P26" i="3"/>
  <c r="N26" i="3"/>
  <c r="S26" i="3" s="1"/>
  <c r="K26" i="3"/>
  <c r="I26" i="3"/>
  <c r="G26" i="3"/>
  <c r="E26" i="3"/>
  <c r="L26" i="3" s="1"/>
  <c r="C26" i="3"/>
  <c r="AB25" i="3"/>
  <c r="AK25" i="3" s="1"/>
  <c r="Z25" i="3"/>
  <c r="U25" i="3"/>
  <c r="R25" i="3"/>
  <c r="P25" i="3"/>
  <c r="N25" i="3"/>
  <c r="S25" i="3" s="1"/>
  <c r="K25" i="3"/>
  <c r="I25" i="3"/>
  <c r="G25" i="3"/>
  <c r="E25" i="3"/>
  <c r="C25" i="3"/>
  <c r="X23" i="3"/>
  <c r="V23" i="3"/>
  <c r="U23" i="3"/>
  <c r="T23" i="3"/>
  <c r="Q23" i="3"/>
  <c r="O23" i="3"/>
  <c r="M23" i="3"/>
  <c r="J23" i="3"/>
  <c r="H23" i="3"/>
  <c r="F23" i="3"/>
  <c r="E23" i="3"/>
  <c r="D23" i="3"/>
  <c r="B23" i="3"/>
  <c r="AB22" i="3"/>
  <c r="AK22" i="3" s="1"/>
  <c r="Z22" i="3"/>
  <c r="U22" i="3"/>
  <c r="R22" i="3"/>
  <c r="P22" i="3"/>
  <c r="N22" i="3"/>
  <c r="S22" i="3" s="1"/>
  <c r="K22" i="3"/>
  <c r="I22" i="3"/>
  <c r="G22" i="3"/>
  <c r="E22" i="3"/>
  <c r="L22" i="3" s="1"/>
  <c r="C22" i="3"/>
  <c r="AB21" i="3"/>
  <c r="AK21" i="3" s="1"/>
  <c r="Z21" i="3"/>
  <c r="U21" i="3"/>
  <c r="R21" i="3"/>
  <c r="P21" i="3"/>
  <c r="N21" i="3"/>
  <c r="S21" i="3" s="1"/>
  <c r="K21" i="3"/>
  <c r="I21" i="3"/>
  <c r="G21" i="3"/>
  <c r="E21" i="3"/>
  <c r="L21" i="3" s="1"/>
  <c r="C21" i="3"/>
  <c r="AB20" i="3"/>
  <c r="AK20" i="3" s="1"/>
  <c r="Z20" i="3"/>
  <c r="U20" i="3"/>
  <c r="R20" i="3"/>
  <c r="P20" i="3"/>
  <c r="N20" i="3"/>
  <c r="S20" i="3" s="1"/>
  <c r="K20" i="3"/>
  <c r="I20" i="3"/>
  <c r="I23" i="3" s="1"/>
  <c r="G20" i="3"/>
  <c r="E20" i="3"/>
  <c r="L20" i="3" s="1"/>
  <c r="C20" i="3"/>
  <c r="AB19" i="3"/>
  <c r="AK19" i="3" s="1"/>
  <c r="AK23" i="3" s="1"/>
  <c r="Z19" i="3"/>
  <c r="Z23" i="3" s="1"/>
  <c r="U19" i="3"/>
  <c r="R19" i="3"/>
  <c r="R23" i="3" s="1"/>
  <c r="P19" i="3"/>
  <c r="P23" i="3" s="1"/>
  <c r="N19" i="3"/>
  <c r="K19" i="3"/>
  <c r="K23" i="3" s="1"/>
  <c r="I19" i="3"/>
  <c r="G19" i="3"/>
  <c r="G23" i="3" s="1"/>
  <c r="E19" i="3"/>
  <c r="C19" i="3"/>
  <c r="X17" i="3"/>
  <c r="V17" i="3"/>
  <c r="V30" i="3" s="1"/>
  <c r="T17" i="3"/>
  <c r="Q17" i="3"/>
  <c r="Q30" i="3" s="1"/>
  <c r="O17" i="3"/>
  <c r="M17" i="3"/>
  <c r="M30" i="3" s="1"/>
  <c r="J17" i="3"/>
  <c r="H17" i="3"/>
  <c r="H30" i="3" s="1"/>
  <c r="F17" i="3"/>
  <c r="D17" i="3"/>
  <c r="D30" i="3" s="1"/>
  <c r="B17" i="3"/>
  <c r="AB16" i="3"/>
  <c r="AK16" i="3" s="1"/>
  <c r="Z16" i="3"/>
  <c r="U16" i="3"/>
  <c r="R16" i="3"/>
  <c r="P16" i="3"/>
  <c r="N16" i="3"/>
  <c r="S16" i="3" s="1"/>
  <c r="K16" i="3"/>
  <c r="I16" i="3"/>
  <c r="G16" i="3"/>
  <c r="E16" i="3"/>
  <c r="L16" i="3" s="1"/>
  <c r="C16" i="3"/>
  <c r="AB15" i="3"/>
  <c r="AK15" i="3" s="1"/>
  <c r="Z15" i="3"/>
  <c r="U15" i="3"/>
  <c r="R15" i="3"/>
  <c r="P15" i="3"/>
  <c r="N15" i="3"/>
  <c r="S15" i="3" s="1"/>
  <c r="K15" i="3"/>
  <c r="I15" i="3"/>
  <c r="G15" i="3"/>
  <c r="E15" i="3"/>
  <c r="L15" i="3" s="1"/>
  <c r="BE15" i="3" s="1"/>
  <c r="C15" i="3"/>
  <c r="AB14" i="3"/>
  <c r="AK14" i="3" s="1"/>
  <c r="Z14" i="3"/>
  <c r="Y14" i="3"/>
  <c r="W14" i="3"/>
  <c r="U14" i="3"/>
  <c r="S14" i="3"/>
  <c r="R14" i="3"/>
  <c r="P14" i="3"/>
  <c r="N14" i="3"/>
  <c r="K14" i="3"/>
  <c r="I14" i="3"/>
  <c r="G14" i="3"/>
  <c r="E14" i="3"/>
  <c r="E17" i="3" s="1"/>
  <c r="E30" i="3" s="1"/>
  <c r="C14" i="3"/>
  <c r="AF13" i="3"/>
  <c r="AD13" i="3"/>
  <c r="AB13" i="3"/>
  <c r="AK13" i="3" s="1"/>
  <c r="Y13" i="3"/>
  <c r="W13" i="3"/>
  <c r="U13" i="3"/>
  <c r="Z13" i="3" s="1"/>
  <c r="R13" i="3"/>
  <c r="P13" i="3"/>
  <c r="N13" i="3"/>
  <c r="S13" i="3" s="1"/>
  <c r="K13" i="3"/>
  <c r="I13" i="3"/>
  <c r="G13" i="3"/>
  <c r="E13" i="3"/>
  <c r="L13" i="3" s="1"/>
  <c r="BE13" i="3" s="1"/>
  <c r="C13" i="3"/>
  <c r="AF12" i="3"/>
  <c r="AD12" i="3"/>
  <c r="AB12" i="3"/>
  <c r="Y12" i="3"/>
  <c r="W12" i="3"/>
  <c r="U12" i="3"/>
  <c r="Z12" i="3" s="1"/>
  <c r="R12" i="3"/>
  <c r="P12" i="3"/>
  <c r="N12" i="3"/>
  <c r="S12" i="3" s="1"/>
  <c r="K12" i="3"/>
  <c r="I12" i="3"/>
  <c r="G12" i="3"/>
  <c r="E12" i="3"/>
  <c r="C12" i="3"/>
  <c r="L12" i="3" s="1"/>
  <c r="AF11" i="3"/>
  <c r="AB11" i="3"/>
  <c r="AK11" i="3" s="1"/>
  <c r="Y11" i="3"/>
  <c r="W11" i="3"/>
  <c r="U11" i="3"/>
  <c r="R11" i="3"/>
  <c r="P11" i="3"/>
  <c r="N11" i="3"/>
  <c r="S11" i="3" s="1"/>
  <c r="K11" i="3"/>
  <c r="I11" i="3"/>
  <c r="G11" i="3"/>
  <c r="G17" i="3" s="1"/>
  <c r="G30" i="3" s="1"/>
  <c r="E11" i="3"/>
  <c r="C11" i="3"/>
  <c r="AF10" i="3"/>
  <c r="AD10" i="3"/>
  <c r="AB10" i="3"/>
  <c r="Y10" i="3"/>
  <c r="W10" i="3"/>
  <c r="U10" i="3"/>
  <c r="R10" i="3"/>
  <c r="R17" i="3" s="1"/>
  <c r="R30" i="3" s="1"/>
  <c r="P10" i="3"/>
  <c r="P17" i="3" s="1"/>
  <c r="P30" i="3" s="1"/>
  <c r="N10" i="3"/>
  <c r="N17" i="3" s="1"/>
  <c r="K10" i="3"/>
  <c r="K17" i="3" s="1"/>
  <c r="I10" i="3"/>
  <c r="I17" i="3" s="1"/>
  <c r="I30" i="3" s="1"/>
  <c r="G10" i="3"/>
  <c r="E10" i="3"/>
  <c r="C10" i="3"/>
  <c r="C17" i="3" s="1"/>
  <c r="D46" i="4"/>
  <c r="I45" i="4"/>
  <c r="J45" i="4" s="1"/>
  <c r="G45" i="4"/>
  <c r="F45" i="4"/>
  <c r="D45" i="4"/>
  <c r="I44" i="4"/>
  <c r="J44" i="4" s="1"/>
  <c r="G44" i="4"/>
  <c r="F44" i="4"/>
  <c r="D44" i="4"/>
  <c r="J43" i="4"/>
  <c r="I43" i="4"/>
  <c r="F43" i="4"/>
  <c r="G43" i="4" s="1"/>
  <c r="D43" i="4"/>
  <c r="I40" i="4"/>
  <c r="J40" i="4" s="1"/>
  <c r="G40" i="4"/>
  <c r="F40" i="4"/>
  <c r="D40" i="4"/>
  <c r="I39" i="4"/>
  <c r="J39" i="4" s="1"/>
  <c r="G39" i="4"/>
  <c r="G41" i="4" s="1"/>
  <c r="F39" i="4"/>
  <c r="D39" i="4"/>
  <c r="D41" i="4" s="1"/>
  <c r="I36" i="4"/>
  <c r="J36" i="4" s="1"/>
  <c r="F36" i="4"/>
  <c r="G36" i="4" s="1"/>
  <c r="D36" i="4"/>
  <c r="J35" i="4"/>
  <c r="I35" i="4"/>
  <c r="F35" i="4"/>
  <c r="G35" i="4" s="1"/>
  <c r="D35" i="4"/>
  <c r="I34" i="4"/>
  <c r="J34" i="4" s="1"/>
  <c r="F34" i="4"/>
  <c r="G34" i="4" s="1"/>
  <c r="D34" i="4"/>
  <c r="D37" i="4" s="1"/>
  <c r="J31" i="4"/>
  <c r="I31" i="4"/>
  <c r="G31" i="4"/>
  <c r="F31" i="4"/>
  <c r="D31" i="4"/>
  <c r="J30" i="4"/>
  <c r="I30" i="4"/>
  <c r="F30" i="4"/>
  <c r="G30" i="4" s="1"/>
  <c r="D30" i="4"/>
  <c r="J29" i="4"/>
  <c r="I29" i="4"/>
  <c r="F29" i="4"/>
  <c r="G29" i="4" s="1"/>
  <c r="D29" i="4"/>
  <c r="J28" i="4"/>
  <c r="I28" i="4"/>
  <c r="F28" i="4"/>
  <c r="G28" i="4" s="1"/>
  <c r="D28" i="4"/>
  <c r="D32" i="4" s="1"/>
  <c r="J27" i="4"/>
  <c r="I27" i="4"/>
  <c r="G27" i="4"/>
  <c r="G32" i="4" s="1"/>
  <c r="F27" i="4"/>
  <c r="D27" i="4"/>
  <c r="J24" i="4"/>
  <c r="I24" i="4"/>
  <c r="F24" i="4"/>
  <c r="G24" i="4" s="1"/>
  <c r="D24" i="4"/>
  <c r="I23" i="4"/>
  <c r="J23" i="4" s="1"/>
  <c r="F23" i="4"/>
  <c r="G23" i="4" s="1"/>
  <c r="D23" i="4"/>
  <c r="J22" i="4"/>
  <c r="I22" i="4"/>
  <c r="F22" i="4"/>
  <c r="G22" i="4" s="1"/>
  <c r="D22" i="4"/>
  <c r="J19" i="4"/>
  <c r="I19" i="4"/>
  <c r="F19" i="4"/>
  <c r="G19" i="4" s="1"/>
  <c r="D19" i="4"/>
  <c r="J18" i="4"/>
  <c r="I18" i="4"/>
  <c r="F18" i="4"/>
  <c r="G18" i="4" s="1"/>
  <c r="D18" i="4"/>
  <c r="J17" i="4"/>
  <c r="I17" i="4"/>
  <c r="G17" i="4"/>
  <c r="F17" i="4"/>
  <c r="D17" i="4"/>
  <c r="J14" i="4"/>
  <c r="I14" i="4"/>
  <c r="F14" i="4"/>
  <c r="G14" i="4" s="1"/>
  <c r="D14" i="4"/>
  <c r="I13" i="4"/>
  <c r="J13" i="4" s="1"/>
  <c r="F13" i="4"/>
  <c r="G13" i="4" s="1"/>
  <c r="D13" i="4"/>
  <c r="J12" i="4"/>
  <c r="I12" i="4"/>
  <c r="F12" i="4"/>
  <c r="G12" i="4" s="1"/>
  <c r="D12" i="4"/>
  <c r="I11" i="4"/>
  <c r="J11" i="4" s="1"/>
  <c r="F11" i="4"/>
  <c r="G11" i="4" s="1"/>
  <c r="D11" i="4"/>
  <c r="J10" i="4"/>
  <c r="I10" i="4"/>
  <c r="F10" i="4"/>
  <c r="G10" i="4" s="1"/>
  <c r="G15" i="4" s="1"/>
  <c r="D10" i="4"/>
  <c r="H97" i="18"/>
  <c r="I97" i="18" s="1"/>
  <c r="D97" i="18"/>
  <c r="E97" i="18" s="1"/>
  <c r="H96" i="18"/>
  <c r="I96" i="18" s="1"/>
  <c r="D96" i="18"/>
  <c r="E96" i="18" s="1"/>
  <c r="C95" i="18"/>
  <c r="B95" i="18"/>
  <c r="H93" i="18"/>
  <c r="I93" i="18" s="1"/>
  <c r="D93" i="18"/>
  <c r="E93" i="18" s="1"/>
  <c r="I92" i="18"/>
  <c r="H92" i="18"/>
  <c r="D92" i="18"/>
  <c r="E92" i="18" s="1"/>
  <c r="H91" i="18"/>
  <c r="I91" i="18" s="1"/>
  <c r="D91" i="18"/>
  <c r="E91" i="18" s="1"/>
  <c r="H89" i="18"/>
  <c r="I89" i="18" s="1"/>
  <c r="D89" i="18"/>
  <c r="E89" i="18" s="1"/>
  <c r="H88" i="18"/>
  <c r="C88" i="18"/>
  <c r="D88" i="18" s="1"/>
  <c r="B88" i="18"/>
  <c r="D86" i="18"/>
  <c r="E86" i="18" s="1"/>
  <c r="C86" i="18"/>
  <c r="B86" i="18"/>
  <c r="H85" i="18"/>
  <c r="I85" i="18" s="1"/>
  <c r="D85" i="18"/>
  <c r="E85" i="18" s="1"/>
  <c r="H84" i="18"/>
  <c r="D84" i="18"/>
  <c r="C84" i="18"/>
  <c r="B84" i="18"/>
  <c r="C83" i="18"/>
  <c r="B83" i="18"/>
  <c r="C82" i="18"/>
  <c r="C81" i="18" s="1"/>
  <c r="D81" i="18" s="1"/>
  <c r="B82" i="18"/>
  <c r="B81" i="18"/>
  <c r="I80" i="18"/>
  <c r="H80" i="18"/>
  <c r="E80" i="18"/>
  <c r="D80" i="18"/>
  <c r="I79" i="18"/>
  <c r="H79" i="18"/>
  <c r="E79" i="18"/>
  <c r="D79" i="18"/>
  <c r="H78" i="18"/>
  <c r="C78" i="18"/>
  <c r="D78" i="18" s="1"/>
  <c r="B78" i="18"/>
  <c r="E78" i="18" s="1"/>
  <c r="H77" i="18"/>
  <c r="I77" i="18" s="1"/>
  <c r="D77" i="18"/>
  <c r="E77" i="18" s="1"/>
  <c r="H76" i="18"/>
  <c r="I76" i="18" s="1"/>
  <c r="D76" i="18"/>
  <c r="E76" i="18" s="1"/>
  <c r="H74" i="18"/>
  <c r="I74" i="18" s="1"/>
  <c r="D74" i="18"/>
  <c r="E74" i="18" s="1"/>
  <c r="G73" i="18"/>
  <c r="H73" i="18" s="1"/>
  <c r="C73" i="18"/>
  <c r="B73" i="18"/>
  <c r="I71" i="18"/>
  <c r="H71" i="18"/>
  <c r="D71" i="18"/>
  <c r="E71" i="18" s="1"/>
  <c r="I70" i="18"/>
  <c r="H70" i="18"/>
  <c r="D70" i="18"/>
  <c r="E70" i="18" s="1"/>
  <c r="C68" i="18"/>
  <c r="D68" i="18" s="1"/>
  <c r="E68" i="18" s="1"/>
  <c r="B68" i="18"/>
  <c r="H68" i="18" s="1"/>
  <c r="I68" i="18" s="1"/>
  <c r="I67" i="18"/>
  <c r="H67" i="18"/>
  <c r="E67" i="18"/>
  <c r="D67" i="18"/>
  <c r="H66" i="18"/>
  <c r="I66" i="18" s="1"/>
  <c r="E66" i="18"/>
  <c r="D66" i="18"/>
  <c r="H65" i="18"/>
  <c r="I65" i="18" s="1"/>
  <c r="E65" i="18"/>
  <c r="D65" i="18"/>
  <c r="H64" i="18"/>
  <c r="I64" i="18" s="1"/>
  <c r="E64" i="18"/>
  <c r="D64" i="18"/>
  <c r="H63" i="18"/>
  <c r="C63" i="18"/>
  <c r="D63" i="18" s="1"/>
  <c r="E63" i="18" s="1"/>
  <c r="B63" i="18"/>
  <c r="I63" i="18" s="1"/>
  <c r="I62" i="18"/>
  <c r="H62" i="18"/>
  <c r="E62" i="18"/>
  <c r="D62" i="18"/>
  <c r="I61" i="18"/>
  <c r="H61" i="18"/>
  <c r="E61" i="18"/>
  <c r="D61" i="18"/>
  <c r="I60" i="18"/>
  <c r="H60" i="18"/>
  <c r="E60" i="18"/>
  <c r="D60" i="18"/>
  <c r="I59" i="18"/>
  <c r="H59" i="18"/>
  <c r="E59" i="18"/>
  <c r="D59" i="18"/>
  <c r="B58" i="18"/>
  <c r="C56" i="18"/>
  <c r="D56" i="18" s="1"/>
  <c r="B56" i="18"/>
  <c r="H55" i="18"/>
  <c r="I55" i="18" s="1"/>
  <c r="D55" i="18"/>
  <c r="E55" i="18" s="1"/>
  <c r="C54" i="18"/>
  <c r="B54" i="18"/>
  <c r="H53" i="18"/>
  <c r="I53" i="18" s="1"/>
  <c r="G53" i="18"/>
  <c r="C53" i="18"/>
  <c r="D53" i="18" s="1"/>
  <c r="E53" i="18" s="1"/>
  <c r="B53" i="18"/>
  <c r="G52" i="18"/>
  <c r="H52" i="18" s="1"/>
  <c r="I52" i="18" s="1"/>
  <c r="C52" i="18"/>
  <c r="C51" i="18" s="1"/>
  <c r="B52" i="18"/>
  <c r="I50" i="18"/>
  <c r="H50" i="18"/>
  <c r="D50" i="18"/>
  <c r="E50" i="18" s="1"/>
  <c r="I49" i="18"/>
  <c r="H49" i="18"/>
  <c r="E49" i="18"/>
  <c r="D49" i="18"/>
  <c r="G48" i="18"/>
  <c r="C48" i="18"/>
  <c r="B48" i="18"/>
  <c r="H47" i="18"/>
  <c r="I47" i="18" s="1"/>
  <c r="D47" i="18"/>
  <c r="E47" i="18" s="1"/>
  <c r="I46" i="18"/>
  <c r="H46" i="18"/>
  <c r="E46" i="18"/>
  <c r="D46" i="18"/>
  <c r="I45" i="18"/>
  <c r="H45" i="18"/>
  <c r="D45" i="18"/>
  <c r="E45" i="18" s="1"/>
  <c r="H44" i="18"/>
  <c r="I44" i="18" s="1"/>
  <c r="D44" i="18"/>
  <c r="E44" i="18" s="1"/>
  <c r="H43" i="18"/>
  <c r="D43" i="18"/>
  <c r="C43" i="18"/>
  <c r="B43" i="18"/>
  <c r="I42" i="18"/>
  <c r="H42" i="18"/>
  <c r="E42" i="18"/>
  <c r="D42" i="18"/>
  <c r="H41" i="18"/>
  <c r="I41" i="18" s="1"/>
  <c r="E41" i="18"/>
  <c r="D41" i="18"/>
  <c r="H40" i="18"/>
  <c r="I40" i="18" s="1"/>
  <c r="D40" i="18"/>
  <c r="E40" i="18" s="1"/>
  <c r="H39" i="18"/>
  <c r="I39" i="18" s="1"/>
  <c r="D39" i="18"/>
  <c r="E39" i="18" s="1"/>
  <c r="G38" i="18"/>
  <c r="C38" i="18"/>
  <c r="B38" i="18"/>
  <c r="I37" i="18"/>
  <c r="H37" i="18"/>
  <c r="E37" i="18"/>
  <c r="D37" i="18"/>
  <c r="I36" i="18"/>
  <c r="H36" i="18"/>
  <c r="D36" i="18"/>
  <c r="E36" i="18" s="1"/>
  <c r="I35" i="18"/>
  <c r="H35" i="18"/>
  <c r="D35" i="18"/>
  <c r="E35" i="18" s="1"/>
  <c r="I34" i="18"/>
  <c r="H34" i="18"/>
  <c r="D34" i="18"/>
  <c r="E34" i="18" s="1"/>
  <c r="G33" i="18"/>
  <c r="D33" i="18"/>
  <c r="E33" i="18" s="1"/>
  <c r="C33" i="18"/>
  <c r="B33" i="18"/>
  <c r="I32" i="18"/>
  <c r="H32" i="18"/>
  <c r="E32" i="18"/>
  <c r="D32" i="18"/>
  <c r="H31" i="18"/>
  <c r="I31" i="18" s="1"/>
  <c r="D31" i="18"/>
  <c r="E31" i="18" s="1"/>
  <c r="H30" i="18"/>
  <c r="I30" i="18" s="1"/>
  <c r="D30" i="18"/>
  <c r="E30" i="18" s="1"/>
  <c r="H29" i="18"/>
  <c r="I29" i="18" s="1"/>
  <c r="D29" i="18"/>
  <c r="E29" i="18" s="1"/>
  <c r="I28" i="18"/>
  <c r="H28" i="18"/>
  <c r="G28" i="18"/>
  <c r="D28" i="18"/>
  <c r="E28" i="18" s="1"/>
  <c r="C28" i="18"/>
  <c r="B28" i="18"/>
  <c r="I27" i="18"/>
  <c r="H27" i="18"/>
  <c r="E27" i="18"/>
  <c r="D27" i="18"/>
  <c r="H26" i="18"/>
  <c r="I26" i="18" s="1"/>
  <c r="E26" i="18"/>
  <c r="D26" i="18"/>
  <c r="H25" i="18"/>
  <c r="I25" i="18" s="1"/>
  <c r="E25" i="18"/>
  <c r="D25" i="18"/>
  <c r="H24" i="18"/>
  <c r="I24" i="18" s="1"/>
  <c r="E24" i="18"/>
  <c r="D24" i="18"/>
  <c r="G23" i="18"/>
  <c r="C23" i="18"/>
  <c r="D23" i="18" s="1"/>
  <c r="B23" i="18"/>
  <c r="I22" i="18"/>
  <c r="H22" i="18"/>
  <c r="E22" i="18"/>
  <c r="D22" i="18"/>
  <c r="H21" i="18"/>
  <c r="I21" i="18" s="1"/>
  <c r="D21" i="18"/>
  <c r="E21" i="18" s="1"/>
  <c r="H20" i="18"/>
  <c r="I20" i="18" s="1"/>
  <c r="D20" i="18"/>
  <c r="E20" i="18" s="1"/>
  <c r="H19" i="18"/>
  <c r="I19" i="18" s="1"/>
  <c r="E19" i="18"/>
  <c r="D19" i="18"/>
  <c r="G18" i="18"/>
  <c r="H18" i="18" s="1"/>
  <c r="C18" i="18"/>
  <c r="B18" i="18"/>
  <c r="I17" i="18"/>
  <c r="H17" i="18"/>
  <c r="E17" i="18"/>
  <c r="D17" i="18"/>
  <c r="I16" i="18"/>
  <c r="H16" i="18"/>
  <c r="D16" i="18"/>
  <c r="E16" i="18" s="1"/>
  <c r="I15" i="18"/>
  <c r="H15" i="18"/>
  <c r="D15" i="18"/>
  <c r="E15" i="18" s="1"/>
  <c r="I14" i="18"/>
  <c r="H14" i="18"/>
  <c r="D14" i="18"/>
  <c r="E14" i="18" s="1"/>
  <c r="G13" i="18"/>
  <c r="C13" i="18"/>
  <c r="B13" i="18"/>
  <c r="I12" i="18"/>
  <c r="H12" i="18"/>
  <c r="E12" i="18"/>
  <c r="D12" i="18"/>
  <c r="H11" i="18"/>
  <c r="I11" i="18" s="1"/>
  <c r="D11" i="18"/>
  <c r="E11" i="18" s="1"/>
  <c r="I10" i="18"/>
  <c r="H10" i="18"/>
  <c r="D10" i="18"/>
  <c r="E10" i="18" s="1"/>
  <c r="H9" i="18"/>
  <c r="I9" i="18" s="1"/>
  <c r="D9" i="18"/>
  <c r="E9" i="18" s="1"/>
  <c r="H8" i="18"/>
  <c r="I8" i="18" s="1"/>
  <c r="G8" i="18"/>
  <c r="C8" i="18"/>
  <c r="D8" i="18" s="1"/>
  <c r="E8" i="18" s="1"/>
  <c r="B8" i="18"/>
  <c r="G18" i="17"/>
  <c r="C18" i="17"/>
  <c r="B18" i="17"/>
  <c r="I17" i="17"/>
  <c r="H17" i="17"/>
  <c r="D17" i="17"/>
  <c r="E17" i="17" s="1"/>
  <c r="H16" i="17"/>
  <c r="I16" i="17" s="1"/>
  <c r="D16" i="17"/>
  <c r="G14" i="17"/>
  <c r="C14" i="17"/>
  <c r="B14" i="17"/>
  <c r="H13" i="17"/>
  <c r="I13" i="17" s="1"/>
  <c r="D13" i="17"/>
  <c r="E13" i="17" s="1"/>
  <c r="H12" i="17"/>
  <c r="I12" i="17" s="1"/>
  <c r="D12" i="17"/>
  <c r="E12" i="17" s="1"/>
  <c r="H11" i="17"/>
  <c r="I11" i="17" s="1"/>
  <c r="D11" i="17"/>
  <c r="E11" i="17" s="1"/>
  <c r="H10" i="17"/>
  <c r="I10" i="17" s="1"/>
  <c r="D10" i="17"/>
  <c r="E10" i="17" s="1"/>
  <c r="H9" i="17"/>
  <c r="I9" i="17" s="1"/>
  <c r="D9" i="17"/>
  <c r="E9" i="17" s="1"/>
  <c r="I8" i="17"/>
  <c r="H8" i="17"/>
  <c r="D8" i="17"/>
  <c r="E8" i="17" s="1"/>
  <c r="H18" i="17" l="1"/>
  <c r="I18" i="17"/>
  <c r="C19" i="17"/>
  <c r="D18" i="17"/>
  <c r="E18" i="17" s="1"/>
  <c r="G19" i="17"/>
  <c r="BE20" i="3"/>
  <c r="G59" i="3"/>
  <c r="H23" i="5"/>
  <c r="K23" i="5"/>
  <c r="L23" i="5" s="1"/>
  <c r="H27" i="5"/>
  <c r="K27" i="5"/>
  <c r="L27" i="5" s="1"/>
  <c r="K29" i="5"/>
  <c r="L29" i="5" s="1"/>
  <c r="H29" i="5"/>
  <c r="BE26" i="3"/>
  <c r="BE28" i="3"/>
  <c r="K11" i="5"/>
  <c r="L11" i="5" s="1"/>
  <c r="H11" i="5"/>
  <c r="U11" i="5"/>
  <c r="V11" i="5" s="1"/>
  <c r="R11" i="5"/>
  <c r="U12" i="5"/>
  <c r="V12" i="5" s="1"/>
  <c r="R12" i="5"/>
  <c r="K13" i="5"/>
  <c r="L13" i="5" s="1"/>
  <c r="H13" i="5"/>
  <c r="U13" i="5"/>
  <c r="V13" i="5" s="1"/>
  <c r="R13" i="5"/>
  <c r="K14" i="5"/>
  <c r="L14" i="5" s="1"/>
  <c r="H14" i="5"/>
  <c r="K15" i="5"/>
  <c r="L15" i="5" s="1"/>
  <c r="H15" i="5"/>
  <c r="U15" i="5"/>
  <c r="V15" i="5" s="1"/>
  <c r="R15" i="5"/>
  <c r="H22" i="5"/>
  <c r="K22" i="5"/>
  <c r="L22" i="5" s="1"/>
  <c r="U26" i="5"/>
  <c r="V26" i="5" s="1"/>
  <c r="R26" i="5"/>
  <c r="C30" i="3"/>
  <c r="K30" i="3"/>
  <c r="BE22" i="3"/>
  <c r="G37" i="4"/>
  <c r="N30" i="3"/>
  <c r="BE16" i="3"/>
  <c r="BE29" i="3"/>
  <c r="I59" i="3"/>
  <c r="K16" i="5"/>
  <c r="L16" i="5" s="1"/>
  <c r="H16" i="5"/>
  <c r="K21" i="5"/>
  <c r="L21" i="5" s="1"/>
  <c r="H21" i="5"/>
  <c r="R27" i="5"/>
  <c r="U27" i="5"/>
  <c r="V27" i="5" s="1"/>
  <c r="U29" i="5"/>
  <c r="V29" i="5" s="1"/>
  <c r="R29" i="5"/>
  <c r="J37" i="4"/>
  <c r="K12" i="5"/>
  <c r="L12" i="5" s="1"/>
  <c r="H12" i="5"/>
  <c r="U14" i="5"/>
  <c r="V14" i="5" s="1"/>
  <c r="R14" i="5"/>
  <c r="J23" i="14"/>
  <c r="Q23" i="14"/>
  <c r="C128" i="18"/>
  <c r="K59" i="3"/>
  <c r="R21" i="5"/>
  <c r="U21" i="5"/>
  <c r="V21" i="5" s="1"/>
  <c r="H26" i="5"/>
  <c r="K26" i="5"/>
  <c r="L26" i="5" s="1"/>
  <c r="H28" i="5"/>
  <c r="K28" i="5"/>
  <c r="L28" i="5" s="1"/>
  <c r="R28" i="5"/>
  <c r="U28" i="5"/>
  <c r="V28" i="5" s="1"/>
  <c r="H18" i="15"/>
  <c r="K18" i="15"/>
  <c r="G22" i="15"/>
  <c r="H13" i="18"/>
  <c r="E23" i="18"/>
  <c r="H23" i="18"/>
  <c r="H38" i="18"/>
  <c r="I38" i="18" s="1"/>
  <c r="H48" i="18"/>
  <c r="I48" i="18" s="1"/>
  <c r="I54" i="18"/>
  <c r="H54" i="18"/>
  <c r="E56" i="18"/>
  <c r="I56" i="18"/>
  <c r="I81" i="18"/>
  <c r="H95" i="18"/>
  <c r="I95" i="18" s="1"/>
  <c r="J15" i="4"/>
  <c r="G20" i="4"/>
  <c r="J25" i="4"/>
  <c r="J32" i="4"/>
  <c r="L14" i="3"/>
  <c r="N23" i="3"/>
  <c r="S19" i="3"/>
  <c r="S23" i="3" s="1"/>
  <c r="N46" i="3"/>
  <c r="D24" i="5"/>
  <c r="E20" i="5"/>
  <c r="T12" i="8"/>
  <c r="S12" i="8"/>
  <c r="S15" i="8"/>
  <c r="T15" i="8"/>
  <c r="C32" i="8"/>
  <c r="D18" i="8"/>
  <c r="T22" i="8"/>
  <c r="S22" i="8"/>
  <c r="J99" i="12"/>
  <c r="C101" i="12"/>
  <c r="L37" i="12"/>
  <c r="U37" i="12"/>
  <c r="W59" i="3"/>
  <c r="D14" i="17"/>
  <c r="I13" i="18"/>
  <c r="I23" i="18"/>
  <c r="D38" i="18"/>
  <c r="G51" i="18"/>
  <c r="D52" i="18"/>
  <c r="E52" i="18" s="1"/>
  <c r="D58" i="18"/>
  <c r="E58" i="18" s="1"/>
  <c r="I73" i="18"/>
  <c r="D15" i="4"/>
  <c r="D25" i="4"/>
  <c r="W17" i="3"/>
  <c r="S52" i="3"/>
  <c r="Z50" i="3"/>
  <c r="BE50" i="3" s="1"/>
  <c r="U52" i="3"/>
  <c r="R23" i="5"/>
  <c r="M21" i="6"/>
  <c r="N21" i="6" s="1"/>
  <c r="H21" i="6"/>
  <c r="I21" i="6" s="1"/>
  <c r="I18" i="8"/>
  <c r="I32" i="8" s="1"/>
  <c r="K11" i="8"/>
  <c r="J11" i="8"/>
  <c r="S16" i="8"/>
  <c r="T16" i="8"/>
  <c r="O32" i="8"/>
  <c r="K27" i="15"/>
  <c r="L27" i="15" s="1"/>
  <c r="H27" i="15"/>
  <c r="I27" i="15" s="1"/>
  <c r="F22" i="15"/>
  <c r="K21" i="15"/>
  <c r="L21" i="15" s="1"/>
  <c r="H14" i="15"/>
  <c r="I14" i="15" s="1"/>
  <c r="K14" i="15"/>
  <c r="L14" i="15" s="1"/>
  <c r="F29" i="15"/>
  <c r="L69" i="12"/>
  <c r="B19" i="17"/>
  <c r="D13" i="18"/>
  <c r="E13" i="18" s="1"/>
  <c r="I18" i="18"/>
  <c r="H33" i="18"/>
  <c r="I33" i="18" s="1"/>
  <c r="E38" i="18"/>
  <c r="E43" i="18"/>
  <c r="D48" i="18"/>
  <c r="E48" i="18" s="1"/>
  <c r="B51" i="18"/>
  <c r="D51" i="18" s="1"/>
  <c r="H58" i="18"/>
  <c r="I58" i="18" s="1"/>
  <c r="D73" i="18"/>
  <c r="E73" i="18" s="1"/>
  <c r="E84" i="18"/>
  <c r="H86" i="18"/>
  <c r="I86" i="18" s="1"/>
  <c r="D95" i="18"/>
  <c r="E95" i="18" s="1"/>
  <c r="J20" i="4"/>
  <c r="J41" i="4"/>
  <c r="Y17" i="3"/>
  <c r="U17" i="3"/>
  <c r="U30" i="3" s="1"/>
  <c r="AB17" i="3"/>
  <c r="AB23" i="3"/>
  <c r="C46" i="3"/>
  <c r="C59" i="3" s="1"/>
  <c r="L40" i="3"/>
  <c r="R52" i="3"/>
  <c r="J18" i="5"/>
  <c r="J31" i="5" s="1"/>
  <c r="O18" i="5"/>
  <c r="U22" i="5"/>
  <c r="V22" i="5" s="1"/>
  <c r="K28" i="6"/>
  <c r="I17" i="6"/>
  <c r="I20" i="6"/>
  <c r="M43" i="7"/>
  <c r="T13" i="8"/>
  <c r="K15" i="8"/>
  <c r="J15" i="8"/>
  <c r="J22" i="8"/>
  <c r="K22" i="8"/>
  <c r="V32" i="8"/>
  <c r="AE23" i="9"/>
  <c r="H14" i="17"/>
  <c r="D18" i="18"/>
  <c r="E18" i="18" s="1"/>
  <c r="I78" i="18"/>
  <c r="H81" i="18"/>
  <c r="H82" i="18"/>
  <c r="I82" i="18" s="1"/>
  <c r="D83" i="18"/>
  <c r="E83" i="18" s="1"/>
  <c r="E88" i="18"/>
  <c r="I88" i="18"/>
  <c r="D20" i="4"/>
  <c r="G25" i="4"/>
  <c r="L10" i="3"/>
  <c r="S10" i="3"/>
  <c r="S17" i="3" s="1"/>
  <c r="S30" i="3" s="1"/>
  <c r="Z10" i="3"/>
  <c r="L11" i="3"/>
  <c r="Z11" i="3"/>
  <c r="AK12" i="3"/>
  <c r="BE12" i="3" s="1"/>
  <c r="L19" i="3"/>
  <c r="C23" i="3"/>
  <c r="L25" i="3"/>
  <c r="BE25" i="3" s="1"/>
  <c r="L39" i="3"/>
  <c r="S40" i="3"/>
  <c r="L43" i="3"/>
  <c r="F59" i="3"/>
  <c r="L49" i="3"/>
  <c r="BE49" i="3" s="1"/>
  <c r="S51" i="3"/>
  <c r="G10" i="5"/>
  <c r="Q10" i="5"/>
  <c r="I18" i="5"/>
  <c r="I31" i="5" s="1"/>
  <c r="O16" i="5"/>
  <c r="Q16" i="5" s="1"/>
  <c r="N18" i="5"/>
  <c r="R30" i="5"/>
  <c r="P31" i="5"/>
  <c r="M15" i="6"/>
  <c r="N15" i="6" s="1"/>
  <c r="H15" i="6"/>
  <c r="I15" i="6" s="1"/>
  <c r="B28" i="6"/>
  <c r="F28" i="6"/>
  <c r="G54" i="7"/>
  <c r="M54" i="7"/>
  <c r="R18" i="8"/>
  <c r="T18" i="8" s="1"/>
  <c r="S11" i="8"/>
  <c r="T11" i="8"/>
  <c r="J13" i="8"/>
  <c r="K13" i="8"/>
  <c r="K16" i="8"/>
  <c r="J16" i="8"/>
  <c r="B32" i="8"/>
  <c r="D32" i="8" s="1"/>
  <c r="J20" i="8"/>
  <c r="K20" i="8"/>
  <c r="I25" i="8"/>
  <c r="K25" i="8" s="1"/>
  <c r="AE22" i="9"/>
  <c r="AG25" i="9"/>
  <c r="AE28" i="9"/>
  <c r="AG29" i="9"/>
  <c r="AE32" i="9"/>
  <c r="AG33" i="9"/>
  <c r="S23" i="12"/>
  <c r="H99" i="12"/>
  <c r="H101" i="12" s="1"/>
  <c r="H24" i="15"/>
  <c r="I24" i="15" s="1"/>
  <c r="K12" i="15"/>
  <c r="L12" i="15" s="1"/>
  <c r="H12" i="15"/>
  <c r="I12" i="15" s="1"/>
  <c r="G10" i="15"/>
  <c r="D99" i="12"/>
  <c r="G75" i="12"/>
  <c r="P75" i="12"/>
  <c r="G49" i="12"/>
  <c r="P49" i="12"/>
  <c r="Q99" i="12"/>
  <c r="Q101" i="12" s="1"/>
  <c r="L48" i="3"/>
  <c r="AR44" i="3"/>
  <c r="AM46" i="3"/>
  <c r="BD41" i="3"/>
  <c r="AY46" i="3"/>
  <c r="AR46" i="3"/>
  <c r="H83" i="18"/>
  <c r="I83" i="18" s="1"/>
  <c r="J46" i="4"/>
  <c r="AD17" i="3"/>
  <c r="AD30" i="3" s="1"/>
  <c r="R46" i="3"/>
  <c r="R59" i="3" s="1"/>
  <c r="N52" i="3"/>
  <c r="L57" i="3"/>
  <c r="N24" i="5"/>
  <c r="O20" i="5"/>
  <c r="S20" i="8"/>
  <c r="T20" i="8"/>
  <c r="R25" i="8"/>
  <c r="T25" i="8" s="1"/>
  <c r="G58" i="12"/>
  <c r="P58" i="12"/>
  <c r="AT52" i="3"/>
  <c r="AT59" i="3" s="1"/>
  <c r="E16" i="17"/>
  <c r="I43" i="18"/>
  <c r="D54" i="18"/>
  <c r="E54" i="18" s="1"/>
  <c r="E81" i="18"/>
  <c r="D82" i="18"/>
  <c r="E82" i="18" s="1"/>
  <c r="I84" i="18"/>
  <c r="G46" i="4"/>
  <c r="AF17" i="3"/>
  <c r="AF30" i="3" s="1"/>
  <c r="G52" i="3"/>
  <c r="T31" i="5"/>
  <c r="D18" i="5"/>
  <c r="D31" i="5" s="1"/>
  <c r="H30" i="5"/>
  <c r="F32" i="8"/>
  <c r="P23" i="12"/>
  <c r="B99" i="12"/>
  <c r="G23" i="12"/>
  <c r="F99" i="12"/>
  <c r="F23" i="14"/>
  <c r="G25" i="15"/>
  <c r="K20" i="15"/>
  <c r="L20" i="15" s="1"/>
  <c r="H20" i="15"/>
  <c r="I20" i="15" s="1"/>
  <c r="Q22" i="14"/>
  <c r="J22" i="14"/>
  <c r="J16" i="14"/>
  <c r="Q16" i="14"/>
  <c r="K101" i="12"/>
  <c r="J98" i="12"/>
  <c r="S98" i="12"/>
  <c r="O100" i="12"/>
  <c r="L72" i="12"/>
  <c r="U72" i="12"/>
  <c r="D100" i="12"/>
  <c r="L43" i="12"/>
  <c r="R99" i="12"/>
  <c r="R101" i="12" s="1"/>
  <c r="AQ17" i="3"/>
  <c r="AR10" i="3"/>
  <c r="AK10" i="3"/>
  <c r="L41" i="3"/>
  <c r="S42" i="3"/>
  <c r="S46" i="3" s="1"/>
  <c r="S59" i="3" s="1"/>
  <c r="L45" i="3"/>
  <c r="L51" i="3"/>
  <c r="L56" i="3"/>
  <c r="BE56" i="3" s="1"/>
  <c r="S31" i="5"/>
  <c r="F54" i="7"/>
  <c r="J12" i="8"/>
  <c r="AG15" i="9"/>
  <c r="AG16" i="9"/>
  <c r="AE26" i="9"/>
  <c r="AE30" i="9"/>
  <c r="AE35" i="9"/>
  <c r="E99" i="12"/>
  <c r="E101" i="12" s="1"/>
  <c r="J23" i="12"/>
  <c r="D22" i="13"/>
  <c r="E22" i="13" s="1"/>
  <c r="G13" i="15"/>
  <c r="L23" i="14"/>
  <c r="M23" i="14" s="1"/>
  <c r="H22" i="13"/>
  <c r="D16" i="13"/>
  <c r="D29" i="13" s="1"/>
  <c r="G90" i="12"/>
  <c r="P90" i="12"/>
  <c r="K100" i="12"/>
  <c r="F100" i="12"/>
  <c r="B100" i="12"/>
  <c r="N99" i="12"/>
  <c r="N101" i="12" s="1"/>
  <c r="AW52" i="3"/>
  <c r="AV23" i="3"/>
  <c r="AW21" i="3"/>
  <c r="BE21" i="3" s="1"/>
  <c r="BA23" i="3"/>
  <c r="AR23" i="3"/>
  <c r="AW14" i="3"/>
  <c r="AT17" i="3"/>
  <c r="BC17" i="3"/>
  <c r="BC30" i="3" s="1"/>
  <c r="BD11" i="3"/>
  <c r="K53" i="7"/>
  <c r="K54" i="7" s="1"/>
  <c r="S21" i="8"/>
  <c r="T21" i="8"/>
  <c r="S23" i="8"/>
  <c r="T23" i="8"/>
  <c r="AE15" i="9"/>
  <c r="AG18" i="9"/>
  <c r="AG20" i="9"/>
  <c r="AE24" i="9"/>
  <c r="G16" i="13"/>
  <c r="E22" i="15"/>
  <c r="E29" i="15" s="1"/>
  <c r="G9" i="15"/>
  <c r="M22" i="14"/>
  <c r="O16" i="14"/>
  <c r="C23" i="14"/>
  <c r="J72" i="12"/>
  <c r="S72" i="12"/>
  <c r="C100" i="12"/>
  <c r="O99" i="12"/>
  <c r="O101" i="12" s="1"/>
  <c r="J37" i="12"/>
  <c r="S37" i="12"/>
  <c r="AK54" i="3"/>
  <c r="BE54" i="3" s="1"/>
  <c r="AF52" i="3"/>
  <c r="AK50" i="3"/>
  <c r="AD59" i="3"/>
  <c r="BD17" i="3"/>
  <c r="BD30" i="3" s="1"/>
  <c r="B29" i="13"/>
  <c r="S69" i="12"/>
  <c r="S54" i="12"/>
  <c r="S43" i="12"/>
  <c r="J43" i="7"/>
  <c r="J54" i="7" s="1"/>
  <c r="BD58" i="3"/>
  <c r="AK58" i="3"/>
  <c r="AW56" i="3"/>
  <c r="BD55" i="3"/>
  <c r="BE55" i="3" s="1"/>
  <c r="AR54" i="3"/>
  <c r="AK51" i="3"/>
  <c r="AK49" i="3"/>
  <c r="AQ52" i="3"/>
  <c r="AQ59" i="3" s="1"/>
  <c r="AJ52" i="3"/>
  <c r="AJ59" i="3" s="1"/>
  <c r="AB52" i="3"/>
  <c r="BD44" i="3"/>
  <c r="AK44" i="3"/>
  <c r="BE44" i="3" s="1"/>
  <c r="AW42" i="3"/>
  <c r="AW46" i="3" s="1"/>
  <c r="AW59" i="3" s="1"/>
  <c r="AK42" i="3"/>
  <c r="BA46" i="3"/>
  <c r="BA59" i="3" s="1"/>
  <c r="Z41" i="3"/>
  <c r="U46" i="3"/>
  <c r="U59" i="3" s="1"/>
  <c r="AV46" i="3"/>
  <c r="BD46" i="3"/>
  <c r="AF46" i="3"/>
  <c r="AF59" i="3" s="1"/>
  <c r="AW19" i="3"/>
  <c r="AW23" i="3" s="1"/>
  <c r="AT23" i="3"/>
  <c r="AM17" i="3"/>
  <c r="AM30" i="3" s="1"/>
  <c r="AR14" i="3"/>
  <c r="AV17" i="3"/>
  <c r="AW11" i="3"/>
  <c r="AW17" i="3" s="1"/>
  <c r="AW30" i="3" s="1"/>
  <c r="AY17" i="3"/>
  <c r="D123" i="18"/>
  <c r="E123" i="18" s="1"/>
  <c r="I123" i="18"/>
  <c r="AW58" i="3"/>
  <c r="AR57" i="3"/>
  <c r="BD56" i="3"/>
  <c r="AK56" i="3"/>
  <c r="W52" i="3"/>
  <c r="Z45" i="3"/>
  <c r="AW44" i="3"/>
  <c r="AK39" i="3"/>
  <c r="AB46" i="3"/>
  <c r="AB59" i="3" s="1"/>
  <c r="BC23" i="3"/>
  <c r="BD21" i="3"/>
  <c r="AJ23" i="3"/>
  <c r="AJ30" i="3" s="1"/>
  <c r="Y23" i="3"/>
  <c r="AR16" i="3"/>
  <c r="BA30" i="3"/>
  <c r="L53" i="7"/>
  <c r="L54" i="7" s="1"/>
  <c r="BE58" i="3"/>
  <c r="AK57" i="3"/>
  <c r="AR56" i="3"/>
  <c r="AR51" i="3"/>
  <c r="BD50" i="3"/>
  <c r="BD52" i="3" s="1"/>
  <c r="AV52" i="3"/>
  <c r="AR49" i="3"/>
  <c r="AY52" i="3"/>
  <c r="AR52" i="3"/>
  <c r="Z48" i="3"/>
  <c r="Y46" i="3"/>
  <c r="Y59" i="3" s="1"/>
  <c r="AR28" i="3"/>
  <c r="AQ23" i="3"/>
  <c r="AR20" i="3"/>
  <c r="AH23" i="3"/>
  <c r="AH30" i="3" s="1"/>
  <c r="W23" i="3"/>
  <c r="AS30" i="3"/>
  <c r="AC30" i="3"/>
  <c r="AM52" i="3"/>
  <c r="S43" i="3"/>
  <c r="AK40" i="3"/>
  <c r="Z39" i="3"/>
  <c r="AR22" i="3"/>
  <c r="BD14" i="3"/>
  <c r="E102" i="18"/>
  <c r="I102" i="18"/>
  <c r="AR40" i="3"/>
  <c r="AW28" i="3"/>
  <c r="AR27" i="3"/>
  <c r="BE27" i="3" s="1"/>
  <c r="BD22" i="3"/>
  <c r="BD19" i="3"/>
  <c r="BD23" i="3" s="1"/>
  <c r="AY23" i="3"/>
  <c r="G16" i="15" l="1"/>
  <c r="G29" i="15" s="1"/>
  <c r="K9" i="15"/>
  <c r="H9" i="15"/>
  <c r="AR17" i="3"/>
  <c r="AR30" i="3" s="1"/>
  <c r="H25" i="15"/>
  <c r="I25" i="15" s="1"/>
  <c r="K25" i="15"/>
  <c r="L25" i="15" s="1"/>
  <c r="D101" i="12"/>
  <c r="U99" i="12"/>
  <c r="L99" i="12"/>
  <c r="BE39" i="3"/>
  <c r="L46" i="3"/>
  <c r="O31" i="5"/>
  <c r="Y30" i="3"/>
  <c r="J101" i="12"/>
  <c r="S101" i="12"/>
  <c r="E24" i="5"/>
  <c r="E31" i="5" s="1"/>
  <c r="G20" i="5"/>
  <c r="I47" i="4"/>
  <c r="K15" i="4"/>
  <c r="L18" i="15"/>
  <c r="K22" i="15"/>
  <c r="L22" i="15" s="1"/>
  <c r="E29" i="13"/>
  <c r="AQ30" i="3"/>
  <c r="Q20" i="5"/>
  <c r="O24" i="5"/>
  <c r="AY59" i="3"/>
  <c r="BE48" i="3"/>
  <c r="L52" i="3"/>
  <c r="H10" i="15"/>
  <c r="I10" i="15" s="1"/>
  <c r="K10" i="15"/>
  <c r="L10" i="15" s="1"/>
  <c r="M28" i="6"/>
  <c r="H28" i="6"/>
  <c r="E28" i="6"/>
  <c r="Q18" i="5"/>
  <c r="U10" i="5"/>
  <c r="V10" i="5" s="1"/>
  <c r="R10" i="5"/>
  <c r="BE10" i="3"/>
  <c r="L17" i="3"/>
  <c r="K41" i="4"/>
  <c r="I19" i="17"/>
  <c r="G128" i="18"/>
  <c r="H51" i="18"/>
  <c r="I51" i="18" s="1"/>
  <c r="S99" i="12"/>
  <c r="H22" i="15"/>
  <c r="I22" i="15" s="1"/>
  <c r="I18" i="15"/>
  <c r="K37" i="4"/>
  <c r="AK52" i="3"/>
  <c r="J18" i="8"/>
  <c r="J100" i="12"/>
  <c r="S100" i="12"/>
  <c r="BE51" i="3"/>
  <c r="L100" i="12"/>
  <c r="U100" i="12"/>
  <c r="Z46" i="3"/>
  <c r="Z59" i="3" s="1"/>
  <c r="Z52" i="3"/>
  <c r="AV30" i="3"/>
  <c r="AV59" i="3"/>
  <c r="G29" i="13"/>
  <c r="H29" i="13" s="1"/>
  <c r="H16" i="13"/>
  <c r="AT30" i="3"/>
  <c r="G100" i="12"/>
  <c r="P100" i="12"/>
  <c r="K13" i="15"/>
  <c r="L13" i="15" s="1"/>
  <c r="H13" i="15"/>
  <c r="I13" i="15" s="1"/>
  <c r="BE45" i="3"/>
  <c r="F101" i="12"/>
  <c r="J32" i="8"/>
  <c r="K18" i="8"/>
  <c r="BE57" i="3"/>
  <c r="AM59" i="3"/>
  <c r="U16" i="5"/>
  <c r="V16" i="5" s="1"/>
  <c r="R16" i="5"/>
  <c r="BE19" i="3"/>
  <c r="L23" i="3"/>
  <c r="BE23" i="3" s="1"/>
  <c r="Z17" i="3"/>
  <c r="Z30" i="3" s="1"/>
  <c r="BE40" i="3"/>
  <c r="S32" i="8"/>
  <c r="BE42" i="3"/>
  <c r="BE14" i="3"/>
  <c r="K25" i="4"/>
  <c r="AR59" i="3"/>
  <c r="R32" i="8"/>
  <c r="S25" i="8"/>
  <c r="AK46" i="3"/>
  <c r="AK59" i="3" s="1"/>
  <c r="AY30" i="3"/>
  <c r="H23" i="14"/>
  <c r="O23" i="14"/>
  <c r="S18" i="8"/>
  <c r="BE41" i="3"/>
  <c r="E16" i="13"/>
  <c r="B101" i="12"/>
  <c r="G99" i="12"/>
  <c r="P99" i="12"/>
  <c r="E20" i="4"/>
  <c r="K20" i="4"/>
  <c r="K32" i="4"/>
  <c r="BD59" i="3"/>
  <c r="AK17" i="3"/>
  <c r="AK30" i="3" s="1"/>
  <c r="N31" i="5"/>
  <c r="K10" i="5"/>
  <c r="L10" i="5" s="1"/>
  <c r="G18" i="5"/>
  <c r="H10" i="5"/>
  <c r="BE43" i="3"/>
  <c r="BE11" i="3"/>
  <c r="H19" i="17"/>
  <c r="I14" i="17"/>
  <c r="AB30" i="3"/>
  <c r="B128" i="18"/>
  <c r="E51" i="18"/>
  <c r="W30" i="3"/>
  <c r="C47" i="4"/>
  <c r="E14" i="17"/>
  <c r="D19" i="17"/>
  <c r="E19" i="17" s="1"/>
  <c r="K32" i="8"/>
  <c r="T32" i="8"/>
  <c r="N59" i="3"/>
  <c r="H20" i="4"/>
  <c r="J25" i="8"/>
  <c r="F47" i="4"/>
  <c r="H46" i="4" s="1"/>
  <c r="U18" i="5" l="1"/>
  <c r="R18" i="5"/>
  <c r="L9" i="15"/>
  <c r="K16" i="15"/>
  <c r="G101" i="12"/>
  <c r="P101" i="12"/>
  <c r="L101" i="12"/>
  <c r="U101" i="12"/>
  <c r="H37" i="4"/>
  <c r="E36" i="4"/>
  <c r="E43" i="4"/>
  <c r="E35" i="4"/>
  <c r="E24" i="4"/>
  <c r="E22" i="4"/>
  <c r="E14" i="4"/>
  <c r="E12" i="4"/>
  <c r="E10" i="4"/>
  <c r="E11" i="4"/>
  <c r="E44" i="4"/>
  <c r="E23" i="4"/>
  <c r="E29" i="4"/>
  <c r="E17" i="4"/>
  <c r="E39" i="4"/>
  <c r="E18" i="4"/>
  <c r="E41" i="4"/>
  <c r="E32" i="4"/>
  <c r="E28" i="4"/>
  <c r="E40" i="4"/>
  <c r="E45" i="4"/>
  <c r="E19" i="4"/>
  <c r="E34" i="4"/>
  <c r="E30" i="4"/>
  <c r="E27" i="4"/>
  <c r="E46" i="4"/>
  <c r="E13" i="4"/>
  <c r="E37" i="4"/>
  <c r="E31" i="4"/>
  <c r="K18" i="5"/>
  <c r="H18" i="5"/>
  <c r="E15" i="4"/>
  <c r="I128" i="18"/>
  <c r="D128" i="18"/>
  <c r="E128" i="18" s="1"/>
  <c r="E25" i="4"/>
  <c r="BE17" i="3"/>
  <c r="L30" i="3"/>
  <c r="N28" i="6"/>
  <c r="K20" i="5"/>
  <c r="L20" i="5" s="1"/>
  <c r="G24" i="5"/>
  <c r="G31" i="5" s="1"/>
  <c r="H31" i="5" s="1"/>
  <c r="H20" i="5"/>
  <c r="BE46" i="3"/>
  <c r="L59" i="3"/>
  <c r="I9" i="15"/>
  <c r="H16" i="15"/>
  <c r="H40" i="4"/>
  <c r="H23" i="4"/>
  <c r="H13" i="4"/>
  <c r="H11" i="4"/>
  <c r="H24" i="4"/>
  <c r="H19" i="4"/>
  <c r="H29" i="4"/>
  <c r="H45" i="4"/>
  <c r="H34" i="4"/>
  <c r="H15" i="4"/>
  <c r="H12" i="4"/>
  <c r="H22" i="4"/>
  <c r="H30" i="4"/>
  <c r="H43" i="4"/>
  <c r="H31" i="4"/>
  <c r="H14" i="4"/>
  <c r="H18" i="4"/>
  <c r="H28" i="4"/>
  <c r="H35" i="4"/>
  <c r="H44" i="4"/>
  <c r="H39" i="4"/>
  <c r="H10" i="4"/>
  <c r="H36" i="4"/>
  <c r="H17" i="4"/>
  <c r="H32" i="4"/>
  <c r="H41" i="4"/>
  <c r="H27" i="4"/>
  <c r="H25" i="4"/>
  <c r="H128" i="18"/>
  <c r="I28" i="6"/>
  <c r="BE52" i="3"/>
  <c r="Q24" i="5"/>
  <c r="U20" i="5"/>
  <c r="V20" i="5" s="1"/>
  <c r="R20" i="5"/>
  <c r="K44" i="4"/>
  <c r="K31" i="4"/>
  <c r="K27" i="4"/>
  <c r="K17" i="4"/>
  <c r="K36" i="4"/>
  <c r="K11" i="4"/>
  <c r="K30" i="4"/>
  <c r="K19" i="4"/>
  <c r="K12" i="4"/>
  <c r="K13" i="4"/>
  <c r="K28" i="4"/>
  <c r="K24" i="4"/>
  <c r="K29" i="4"/>
  <c r="K35" i="4"/>
  <c r="K10" i="4"/>
  <c r="K43" i="4"/>
  <c r="K40" i="4"/>
  <c r="K18" i="4"/>
  <c r="K23" i="4"/>
  <c r="K14" i="4"/>
  <c r="K22" i="4"/>
  <c r="K45" i="4"/>
  <c r="K39" i="4"/>
  <c r="K34" i="4"/>
  <c r="K46" i="4"/>
  <c r="U24" i="5" l="1"/>
  <c r="V24" i="5" s="1"/>
  <c r="R24" i="5"/>
  <c r="H29" i="15"/>
  <c r="I29" i="15" s="1"/>
  <c r="I16" i="15"/>
  <c r="K29" i="15"/>
  <c r="L29" i="15" s="1"/>
  <c r="L16" i="15"/>
  <c r="BF52" i="3"/>
  <c r="Q31" i="5"/>
  <c r="R31" i="5" s="1"/>
  <c r="BE30" i="3"/>
  <c r="L31" i="3"/>
  <c r="BE59" i="3"/>
  <c r="K24" i="5"/>
  <c r="L24" i="5" s="1"/>
  <c r="H24" i="5"/>
  <c r="L18" i="5"/>
  <c r="V18" i="5"/>
  <c r="O60" i="3" l="1"/>
  <c r="AG60" i="3"/>
  <c r="D60" i="3"/>
  <c r="BB60" i="3"/>
  <c r="AN60" i="3"/>
  <c r="AP60" i="3"/>
  <c r="BF55" i="3"/>
  <c r="AE60" i="3"/>
  <c r="AZ60" i="3"/>
  <c r="S60" i="3"/>
  <c r="Q60" i="3"/>
  <c r="BF54" i="3"/>
  <c r="V60" i="3"/>
  <c r="BF44" i="3"/>
  <c r="AS60" i="3"/>
  <c r="AA60" i="3"/>
  <c r="T60" i="3"/>
  <c r="B60" i="3"/>
  <c r="H60" i="3"/>
  <c r="AC60" i="3"/>
  <c r="AW60" i="3"/>
  <c r="BF50" i="3"/>
  <c r="BF49" i="3"/>
  <c r="AI60" i="3"/>
  <c r="BF58" i="3"/>
  <c r="F60" i="3"/>
  <c r="BF56" i="3"/>
  <c r="J60" i="3"/>
  <c r="X60" i="3"/>
  <c r="AL60" i="3"/>
  <c r="BF39" i="3"/>
  <c r="BF41" i="3"/>
  <c r="Z60" i="3"/>
  <c r="BF57" i="3"/>
  <c r="BF51" i="3"/>
  <c r="AR60" i="3"/>
  <c r="AX60" i="3"/>
  <c r="M60" i="3"/>
  <c r="BF45" i="3"/>
  <c r="BD60" i="3"/>
  <c r="BF42" i="3"/>
  <c r="BF43" i="3"/>
  <c r="BF48" i="3"/>
  <c r="AK60" i="3"/>
  <c r="BF40" i="3"/>
  <c r="AU60" i="3"/>
  <c r="BF15" i="3"/>
  <c r="H31" i="3"/>
  <c r="D31" i="3"/>
  <c r="Q31" i="3"/>
  <c r="O31" i="3"/>
  <c r="BF13" i="3"/>
  <c r="AN31" i="3"/>
  <c r="F31" i="3"/>
  <c r="AI31" i="3"/>
  <c r="BF27" i="3"/>
  <c r="S31" i="3"/>
  <c r="BF16" i="3"/>
  <c r="BF26" i="3"/>
  <c r="BF20" i="3"/>
  <c r="BB31" i="3"/>
  <c r="BD31" i="3"/>
  <c r="BF29" i="3"/>
  <c r="BF21" i="3"/>
  <c r="AE31" i="3"/>
  <c r="AL31" i="3"/>
  <c r="BF22" i="3"/>
  <c r="AZ31" i="3"/>
  <c r="J31" i="3"/>
  <c r="AW31" i="3"/>
  <c r="BF28" i="3"/>
  <c r="BF25" i="3"/>
  <c r="AC31" i="3"/>
  <c r="T31" i="3"/>
  <c r="B31" i="3"/>
  <c r="M31" i="3"/>
  <c r="BF12" i="3"/>
  <c r="AG31" i="3"/>
  <c r="V31" i="3"/>
  <c r="Z31" i="3"/>
  <c r="BF23" i="3"/>
  <c r="BF14" i="3"/>
  <c r="BF11" i="3"/>
  <c r="AR31" i="3"/>
  <c r="BF10" i="3"/>
  <c r="AK31" i="3"/>
  <c r="AA31" i="3"/>
  <c r="AX31" i="3"/>
  <c r="AS31" i="3"/>
  <c r="BF19" i="3"/>
  <c r="AP31" i="3"/>
  <c r="X31" i="3"/>
  <c r="AU31" i="3"/>
  <c r="K31" i="5"/>
  <c r="L31" i="5" s="1"/>
  <c r="L60" i="3"/>
  <c r="BF46" i="3"/>
  <c r="U31" i="5"/>
  <c r="V31" i="5" s="1"/>
  <c r="BF17" i="3"/>
</calcChain>
</file>

<file path=xl/sharedStrings.xml><?xml version="1.0" encoding="utf-8"?>
<sst xmlns="http://schemas.openxmlformats.org/spreadsheetml/2006/main" count="1047" uniqueCount="364">
  <si>
    <t>House Budget Recommendation</t>
  </si>
  <si>
    <t>Run Date: 2/18/2015 11:10 AM</t>
  </si>
  <si>
    <t>Operating Input Summary</t>
  </si>
  <si>
    <t>FY 2016</t>
  </si>
  <si>
    <t>FY 2017</t>
  </si>
  <si>
    <t>Recommended Performance Funding</t>
  </si>
  <si>
    <t>PFF % of Total Operating</t>
  </si>
  <si>
    <t>Reallocation % of Base Operating</t>
  </si>
  <si>
    <t>New Funding % of Base Operating</t>
  </si>
  <si>
    <t>Recommended IU SOMD Funding</t>
  </si>
  <si>
    <t>Flat % of Base Operating</t>
  </si>
  <si>
    <t>Capital Input Summary</t>
  </si>
  <si>
    <t>Total project requests with requested state funding</t>
  </si>
  <si>
    <t>Total requested state funding</t>
  </si>
  <si>
    <t>Recommended Debt Service Funded Projects</t>
  </si>
  <si>
    <t>Number of projects</t>
  </si>
  <si>
    <t>Total project state funding</t>
  </si>
  <si>
    <t>Total funding per year</t>
  </si>
  <si>
    <t>Recommended Cash Funded Projects</t>
  </si>
  <si>
    <t>Line Item Input Summary (General Fund Only)</t>
  </si>
  <si>
    <t>Requested Line Item Funding</t>
  </si>
  <si>
    <t>Total line items</t>
  </si>
  <si>
    <t>Total state funding (GF)</t>
  </si>
  <si>
    <t>Recommended Line Item Funding</t>
  </si>
  <si>
    <t>Dual Credit Line Item Input Summary</t>
  </si>
  <si>
    <t>Recommended dollar amt per T+HP dual credit awarded</t>
  </si>
  <si>
    <t>Repair and Rehabilitation Input Summary</t>
  </si>
  <si>
    <t>Recommended funding % of R&amp;R Assets</t>
  </si>
  <si>
    <t>Recommended funding % of Infrastructure Assets</t>
  </si>
  <si>
    <t>Other Budget Run Notes</t>
  </si>
  <si>
    <t>OVERALL Summary</t>
  </si>
  <si>
    <t>House Budget Recommendation [2/18/2015 11:10 AM]</t>
  </si>
  <si>
    <t>This report outlines a summary of overall recommended funding</t>
  </si>
  <si>
    <t>FY 2015 Appropriation</t>
  </si>
  <si>
    <t>Appropriation</t>
  </si>
  <si>
    <t>$ Change from FY 2015</t>
  </si>
  <si>
    <t>% Change from FY 2015</t>
  </si>
  <si>
    <t>IHE Operating</t>
  </si>
  <si>
    <t>IHE Debt Service</t>
  </si>
  <si>
    <t>IHE Repair and Rehab</t>
  </si>
  <si>
    <t>IHE Line Items</t>
  </si>
  <si>
    <t>State Financial Aid Support</t>
  </si>
  <si>
    <t>Other Higher Ed Line Items</t>
  </si>
  <si>
    <t>TOTAL GENERAL FUND</t>
  </si>
  <si>
    <t>BIF Dedicated Funds</t>
  </si>
  <si>
    <t>Other Dedicated Funds</t>
  </si>
  <si>
    <t>TOTAL DEDICATED FUNDS</t>
  </si>
  <si>
    <t>TOTAL</t>
  </si>
  <si>
    <t>OVERALL Summary Detail</t>
  </si>
  <si>
    <t>This report outlines a detailed summary of overall recommended funding (general fund only)</t>
  </si>
  <si>
    <t>IUB</t>
  </si>
  <si>
    <t>Operating</t>
  </si>
  <si>
    <t>Debt Service</t>
  </si>
  <si>
    <t>Repair and Rehab</t>
  </si>
  <si>
    <t>Capital Projects (Cash)</t>
  </si>
  <si>
    <t>IUE</t>
  </si>
  <si>
    <t>IUK</t>
  </si>
  <si>
    <t>IUNW</t>
  </si>
  <si>
    <t>IUPUI: GA</t>
  </si>
  <si>
    <t>IUSB</t>
  </si>
  <si>
    <t>IUSE</t>
  </si>
  <si>
    <t>IU SOMD</t>
  </si>
  <si>
    <t>Other IU</t>
  </si>
  <si>
    <t>TOTAL IU</t>
  </si>
  <si>
    <t>Line Items</t>
  </si>
  <si>
    <t>PUWL</t>
  </si>
  <si>
    <t>PUC</t>
  </si>
  <si>
    <t>PUNC</t>
  </si>
  <si>
    <t>IPFW</t>
  </si>
  <si>
    <t>Other PU</t>
  </si>
  <si>
    <t>TOTAL PU</t>
  </si>
  <si>
    <t>BSU</t>
  </si>
  <si>
    <t>ISU</t>
  </si>
  <si>
    <t>USI</t>
  </si>
  <si>
    <t>VU</t>
  </si>
  <si>
    <t>ITCCI</t>
  </si>
  <si>
    <t>Other Higher Education Line Items</t>
  </si>
  <si>
    <t>IDOA</t>
  </si>
  <si>
    <t>MED ED BOARD</t>
  </si>
  <si>
    <t>SFA</t>
  </si>
  <si>
    <t>CHE</t>
  </si>
  <si>
    <t>OPERATING Performance Outputs</t>
  </si>
  <si>
    <t>This report outlines the performance funding formula outputs for each institution</t>
  </si>
  <si>
    <t>Overall Degree Completion Metric</t>
  </si>
  <si>
    <t>At-Risk Degree Completion Metric</t>
  </si>
  <si>
    <t>High Impact Degree Completion Metric</t>
  </si>
  <si>
    <t>Student Persistence Metric</t>
  </si>
  <si>
    <t>Remediation Success Metric</t>
  </si>
  <si>
    <t>On-Time Graduation Rate Metric</t>
  </si>
  <si>
    <t>Institution Defined</t>
  </si>
  <si>
    <t>Change in Average</t>
  </si>
  <si>
    <t>Change in Rate/Change in Average</t>
  </si>
  <si>
    <t>% Change in Average</t>
  </si>
  <si>
    <t>1 Yr Cert</t>
  </si>
  <si>
    <t>Associate</t>
  </si>
  <si>
    <t>Bachelor</t>
  </si>
  <si>
    <t>Master</t>
  </si>
  <si>
    <t>Doctoral</t>
  </si>
  <si>
    <t>15 CH</t>
  </si>
  <si>
    <t>30 CH (2 YR)</t>
  </si>
  <si>
    <t>30 CH (4 YR)</t>
  </si>
  <si>
    <t>45 CH</t>
  </si>
  <si>
    <t>60 CH</t>
  </si>
  <si>
    <t>Math</t>
  </si>
  <si>
    <t>English</t>
  </si>
  <si>
    <t>Math &amp; English</t>
  </si>
  <si>
    <t>2 Year</t>
  </si>
  <si>
    <t>4 Year</t>
  </si>
  <si>
    <t>Productivity Metric</t>
  </si>
  <si>
    <t>Notes:</t>
  </si>
  <si>
    <t>A cell will be blank if the metric does not apply for the institution</t>
  </si>
  <si>
    <t>Change in Average represents difference between the 2008-2010 three year average and the 2011-2013 three year average</t>
  </si>
  <si>
    <t>Change in Rate represents difference between the 2008-2010 three year rate and the 2011-2013 three year rate</t>
  </si>
  <si>
    <t>% Change in Average represents the percent change from the 2008-2010 three year average to the 2011-2013 three year average</t>
  </si>
  <si>
    <t>OPERATING Performance Per Unit</t>
  </si>
  <si>
    <t>This report outlines the recommended performance funding for each metric</t>
  </si>
  <si>
    <t>Total Units</t>
  </si>
  <si>
    <t>Base</t>
  </si>
  <si>
    <t>Per Unit Value</t>
  </si>
  <si>
    <t>Metric Total</t>
  </si>
  <si>
    <t>% of TOTAL</t>
  </si>
  <si>
    <t>Per Unit Value Reduction %</t>
  </si>
  <si>
    <t>&gt; 0%</t>
  </si>
  <si>
    <t>&gt;= 5%</t>
  </si>
  <si>
    <t>&gt;= 10%</t>
  </si>
  <si>
    <t>OPERATING Performance Funding</t>
  </si>
  <si>
    <t>This report outlines the recommended performance funding for each institution</t>
  </si>
  <si>
    <t>TOTALS</t>
  </si>
  <si>
    <t>% of TOTAL FUNDING</t>
  </si>
  <si>
    <t>Per 100 FTE (Undergad Resident)</t>
  </si>
  <si>
    <t>Subtotal</t>
  </si>
  <si>
    <t>IU TOTAL</t>
  </si>
  <si>
    <t>PU TOTAL</t>
  </si>
  <si>
    <t>OPERATING Total Funding</t>
  </si>
  <si>
    <t>This report outlines recommended operating funding for each institution</t>
  </si>
  <si>
    <t>FY 2015
Approp</t>
  </si>
  <si>
    <t>Operating - Performance Funding</t>
  </si>
  <si>
    <t>Operating - IU SOMD*</t>
  </si>
  <si>
    <t>Total FY 2016
Appropriation</t>
  </si>
  <si>
    <t>FY 2016
vs
FY 2015</t>
  </si>
  <si>
    <t>Total FY 2017
Appropriation</t>
  </si>
  <si>
    <t>FY 2017
vs
FY 2015</t>
  </si>
  <si>
    <t>Reallocation</t>
  </si>
  <si>
    <t>New Funding (PFF Total - Reallocation)</t>
  </si>
  <si>
    <t>PFF Total</t>
  </si>
  <si>
    <t>PFF as % of Operating</t>
  </si>
  <si>
    <t>Flat Inc</t>
  </si>
  <si>
    <t>* Based on average % increase of total operating for performance funded institutions</t>
  </si>
  <si>
    <t>OPERATING Funding Per FTE</t>
  </si>
  <si>
    <t>This report outlines recommended operating funding per FTE for each institution</t>
  </si>
  <si>
    <t>2012-13
Resident FTE</t>
  </si>
  <si>
    <t>FY 2015</t>
  </si>
  <si>
    <t>Approp</t>
  </si>
  <si>
    <t>Approp FTE Adjustment</t>
  </si>
  <si>
    <t>Approx. Approp per FTE</t>
  </si>
  <si>
    <t>CAPITAL Project Requests</t>
  </si>
  <si>
    <t>Cash</t>
  </si>
  <si>
    <t>Interest Rate</t>
  </si>
  <si>
    <t>Delay until Yr 2</t>
  </si>
  <si>
    <t>Yes</t>
  </si>
  <si>
    <t>This report outlines all captial projects requests with requested state funding</t>
  </si>
  <si>
    <t>Years</t>
  </si>
  <si>
    <t>No</t>
  </si>
  <si>
    <t>Project Request</t>
  </si>
  <si>
    <t>Recommended</t>
  </si>
  <si>
    <t>Project Name</t>
  </si>
  <si>
    <t>SBA Project Number</t>
  </si>
  <si>
    <t>Priority</t>
  </si>
  <si>
    <t>Prev Apprvd by General Assmbly</t>
  </si>
  <si>
    <t>Campus</t>
  </si>
  <si>
    <t>Total Project Cost</t>
  </si>
  <si>
    <t>Requested
State Funds</t>
  </si>
  <si>
    <t>Funding</t>
  </si>
  <si>
    <t>Funding Method</t>
  </si>
  <si>
    <t>Indiana University System</t>
  </si>
  <si>
    <t>Old Crescent Renovation - Phase II</t>
  </si>
  <si>
    <t>A-1-15-2-02</t>
  </si>
  <si>
    <t>IU School of Medicine Integrated Health Education Complex - Phase I</t>
  </si>
  <si>
    <t>A-2-15-2-18</t>
  </si>
  <si>
    <t>IU School of Medicine Health Science Innovation Renovation and Expansion</t>
  </si>
  <si>
    <t>A-2-15-2-10</t>
  </si>
  <si>
    <t>Lab Renovations - Phase II</t>
  </si>
  <si>
    <t>A-1-15-2-04</t>
  </si>
  <si>
    <t>Regional Campus Deferred Maintenance - Phase II</t>
  </si>
  <si>
    <t>A-0-15-2-03</t>
  </si>
  <si>
    <t>IU School of Medicine Multi-Institutional Academic Health Science and Research Center - Evansville</t>
  </si>
  <si>
    <t>A-2-14-1-15</t>
  </si>
  <si>
    <t>Indiana University System Total</t>
  </si>
  <si>
    <t>Purdue University System</t>
  </si>
  <si>
    <t>Agricultural and Life Sciences Facility Phase I</t>
  </si>
  <si>
    <t>B-1-13-1-02</t>
  </si>
  <si>
    <t>Emerging Technologies Building Planning Funds</t>
  </si>
  <si>
    <t>B-2-09-1-10</t>
  </si>
  <si>
    <t>Emerging Technologies Building</t>
  </si>
  <si>
    <t>B-2-05-1-05</t>
  </si>
  <si>
    <t>Brown Teaching Labs Renovation</t>
  </si>
  <si>
    <t>B-1-15-2-10</t>
  </si>
  <si>
    <t>South Campus Renovations Phase II</t>
  </si>
  <si>
    <t>B-3-15-2-11</t>
  </si>
  <si>
    <t>Central Power Plant Expansion and Replacement</t>
  </si>
  <si>
    <t>B-4-15-1-13</t>
  </si>
  <si>
    <t>Animal Disease Diagnostic Laboratory (BSL-3)</t>
  </si>
  <si>
    <t>B-1-08-1-02</t>
  </si>
  <si>
    <t>Purdue University System Total</t>
  </si>
  <si>
    <t>Ball State University</t>
  </si>
  <si>
    <t>STEM and Health Professions Facility Renovation and Expansion Project, Phase I</t>
  </si>
  <si>
    <t>D-1-13-2-04</t>
  </si>
  <si>
    <t>College of Architecture and Planning Expansion and Renovation</t>
  </si>
  <si>
    <t>D-1-11-2-01</t>
  </si>
  <si>
    <t>Campus Utilities Distribution and Energy Efficiency Project</t>
  </si>
  <si>
    <t>D-1-11-2-02</t>
  </si>
  <si>
    <t>Department of Theatre and Dance Instructional Venue</t>
  </si>
  <si>
    <t>D-1-15-1-01</t>
  </si>
  <si>
    <t>Ball State University Total</t>
  </si>
  <si>
    <t>Indiana State University</t>
  </si>
  <si>
    <t>College of Nursing, Health, and Human Services Renovation and Expansion</t>
  </si>
  <si>
    <t>C-1-15-2-02</t>
  </si>
  <si>
    <t>Indiana State University Total</t>
  </si>
  <si>
    <t>University of Southern Indiana</t>
  </si>
  <si>
    <t>Classroom Renovation/Expansion - Health Prof. Ctr.</t>
  </si>
  <si>
    <t>G-0-15-2-02</t>
  </si>
  <si>
    <t>Multi-Institutional Academic Health Science/Research Ctr. - USI</t>
  </si>
  <si>
    <t>G-0-15-1-01</t>
  </si>
  <si>
    <t>University of Southern Indiana Total</t>
  </si>
  <si>
    <t>Vincennes University</t>
  </si>
  <si>
    <t>CENTER OF SCIENCE, ENGINEERING AND MATHEMATICS</t>
  </si>
  <si>
    <t>E-1-13-1-04</t>
  </si>
  <si>
    <t>BUILDING CONTROLS UPGRADE/REPLACEMENT</t>
  </si>
  <si>
    <t>E-1-14-2-01</t>
  </si>
  <si>
    <t>WALTER A. DAVIS HALL RENOVATION</t>
  </si>
  <si>
    <t>E-1-14-2-02</t>
  </si>
  <si>
    <t>Vincennes University Total</t>
  </si>
  <si>
    <t>Ivy Tech Community College</t>
  </si>
  <si>
    <t>Muncie New Construction and Renovation</t>
  </si>
  <si>
    <t>F-0-08-1-05</t>
  </si>
  <si>
    <t>Kokomo New Construction and Renovation</t>
  </si>
  <si>
    <t>F-0-13-1-01</t>
  </si>
  <si>
    <t>Columbus Additiona and Renovation</t>
  </si>
  <si>
    <t>F-0-11-1-04</t>
  </si>
  <si>
    <t>Lafayette Schools of Business, Education, and Public &amp; Social Services</t>
  </si>
  <si>
    <t>F-0-11-1-01</t>
  </si>
  <si>
    <t>Sellersburg Science and Health Services Center</t>
  </si>
  <si>
    <t>F-0-13-1-03</t>
  </si>
  <si>
    <t>South Bend Health Sciences Building</t>
  </si>
  <si>
    <t>F-0-11-1-02</t>
  </si>
  <si>
    <t>Evanvsville Health Sciences and Nurshing</t>
  </si>
  <si>
    <t>F-0-15-1-01</t>
  </si>
  <si>
    <t>Terre Haute Advanced Manufacturing and Health Care Building</t>
  </si>
  <si>
    <t>F-0-15-1-02</t>
  </si>
  <si>
    <t>Ivy Tech Community College Total</t>
  </si>
  <si>
    <t>CAPITAL Summary</t>
  </si>
  <si>
    <t>This report outlines recommended capital funding for each institution</t>
  </si>
  <si>
    <t xml:space="preserve"> Allocated Debt Service</t>
  </si>
  <si>
    <t>Debt Ratio</t>
  </si>
  <si>
    <t>Existing</t>
  </si>
  <si>
    <t>New</t>
  </si>
  <si>
    <t>Total</t>
  </si>
  <si>
    <t>CAPITAL Debt Summary</t>
  </si>
  <si>
    <t>This report outlines outstanding debt including recommended new projects (Fee replacement debt ONLY)</t>
  </si>
  <si>
    <t>New Debt</t>
  </si>
  <si>
    <t>Fiscal Year</t>
  </si>
  <si>
    <t>Totals</t>
  </si>
  <si>
    <t>Outstanding Debt</t>
  </si>
  <si>
    <t>LINE ITEM Requests</t>
  </si>
  <si>
    <t>This report outlines all line item appropriation requests</t>
  </si>
  <si>
    <t>General Fund</t>
  </si>
  <si>
    <t>Requested</t>
  </si>
  <si>
    <t>Abilene Network Operations Center</t>
  </si>
  <si>
    <t>Clinical and Translational Science Institute</t>
  </si>
  <si>
    <t>Dual Credit: Indiana University System</t>
  </si>
  <si>
    <t>Geological Survey</t>
  </si>
  <si>
    <t>I-Light Network Operations</t>
  </si>
  <si>
    <t>Indiana GigaPoP</t>
  </si>
  <si>
    <t>Indiana Higher Education Telecommunication Sys. (IHETS)</t>
  </si>
  <si>
    <t>Institute for the Study of Developmental Disabilities</t>
  </si>
  <si>
    <t>Local Government Advisory Commission</t>
  </si>
  <si>
    <t>Optometry Board Eduation Fund</t>
  </si>
  <si>
    <t>Spinal Cord and Head Injury Research</t>
  </si>
  <si>
    <t>Regional Resources to Support Student Academic Success*</t>
  </si>
  <si>
    <t>Statewide Engagement*</t>
  </si>
  <si>
    <t>Agricultural Research and Extension - Crossroads</t>
  </si>
  <si>
    <t>Animal Disease Diagnostic Lab System</t>
  </si>
  <si>
    <t>Center for Paralysis Research</t>
  </si>
  <si>
    <t>County Agriculture Extension Educators</t>
  </si>
  <si>
    <t>Dual Credit: Purdue University System</t>
  </si>
  <si>
    <t>IN-MaC (IN Next Generation Manufacturing Compet. Center)</t>
  </si>
  <si>
    <t>Statewide Technology</t>
  </si>
  <si>
    <t>University-Based Business Assistance</t>
  </si>
  <si>
    <t>Veterinary Research</t>
  </si>
  <si>
    <t>Wine and Grape Market Fund</t>
  </si>
  <si>
    <t>Engineering Expansion*</t>
  </si>
  <si>
    <t>Summer Expansion*</t>
  </si>
  <si>
    <t>College for Sciences, Math and Humanities</t>
  </si>
  <si>
    <t>Dual Credit: Ball State University</t>
  </si>
  <si>
    <t>Entrepreneurial University</t>
  </si>
  <si>
    <t>Investing in Student Success and Quality*</t>
  </si>
  <si>
    <t>Degree Link</t>
  </si>
  <si>
    <t>Dual Credit: Indiana State University</t>
  </si>
  <si>
    <t>Nursing Program</t>
  </si>
  <si>
    <t>Principal Leadership Academy</t>
  </si>
  <si>
    <t>Dual Credit: University of Southern Indiana</t>
  </si>
  <si>
    <t>New Harmony</t>
  </si>
  <si>
    <t>USI STEM Initiative*</t>
  </si>
  <si>
    <t>Dual Credit: Vincennes University</t>
  </si>
  <si>
    <t>Career and Technical Early College Program*</t>
  </si>
  <si>
    <t>Dual Credit: Ivy Tech Community College</t>
  </si>
  <si>
    <t>Fort Wayne Public Safety Training Center</t>
  </si>
  <si>
    <t>Southern Indiana Educational Alliance</t>
  </si>
  <si>
    <t>Statewide Nursing Partnership</t>
  </si>
  <si>
    <t>Workforce Centers</t>
  </si>
  <si>
    <t>Academic Advisors*</t>
  </si>
  <si>
    <t>Crown Point-Merrilville Lease*</t>
  </si>
  <si>
    <t>Equipment*</t>
  </si>
  <si>
    <t>Full-Time Faculty Support*</t>
  </si>
  <si>
    <t>Indiana Department of Administration</t>
  </si>
  <si>
    <t>Columbus Learning Center Lease Program</t>
  </si>
  <si>
    <t>Indiana Department of Administration Total</t>
  </si>
  <si>
    <t>Indiana Medical Education Board</t>
  </si>
  <si>
    <t>Indiana Medical Education Board Total</t>
  </si>
  <si>
    <t>Student Financial Aid</t>
  </si>
  <si>
    <t>21st Century Scholars Administration</t>
  </si>
  <si>
    <t>21st Century Scholars Awards</t>
  </si>
  <si>
    <t>EARN Indiana</t>
  </si>
  <si>
    <t>Freedom of Choice Grants</t>
  </si>
  <si>
    <t>High Need Student Teaching Stipend</t>
  </si>
  <si>
    <t>Higher Education Award Program</t>
  </si>
  <si>
    <t>Minority Student Teaching Stipend</t>
  </si>
  <si>
    <t>Minority Teacher Scholarship</t>
  </si>
  <si>
    <t>National Guard Scholarship</t>
  </si>
  <si>
    <t>Part-Time Student Grant Distribution</t>
  </si>
  <si>
    <t>Primary Care Shortage Area Scholarship</t>
  </si>
  <si>
    <t>Statutory Fee Remission (CVO Program)</t>
  </si>
  <si>
    <t>Return and Complete Placeholder*</t>
  </si>
  <si>
    <t>Student Financial Aid Total</t>
  </si>
  <si>
    <t>Commission for Higher Education</t>
  </si>
  <si>
    <t>Career College Assurance</t>
  </si>
  <si>
    <t>Learn More Indiana</t>
  </si>
  <si>
    <t>Midwest Higher Education Commission</t>
  </si>
  <si>
    <t>Postsecondary Proprietary Inst. Accred.</t>
  </si>
  <si>
    <t>Statewide Transfer and Technology</t>
  </si>
  <si>
    <t>Commission for Higher Education Total</t>
  </si>
  <si>
    <t>TOTAL INSTITUTION LINE ITEMS</t>
  </si>
  <si>
    <t>TOTAL OTHER HIGHER EDUCATION LINE ITEMS</t>
  </si>
  <si>
    <t>ALL LINE ITEMS</t>
  </si>
  <si>
    <t>* Not funded in the previous biennium</t>
  </si>
  <si>
    <t>LINE ITEM Dual Credit</t>
  </si>
  <si>
    <t>This report outlines recommended dual credit line item funding</t>
  </si>
  <si>
    <t>FY 2015
Funding</t>
  </si>
  <si>
    <t>2012-13 T+HP Credit Awarded</t>
  </si>
  <si>
    <t>Per Credit Value</t>
  </si>
  <si>
    <t>Credits awarded represent total dual  credit Technical + High Priority credits earned from institutions by high school students taking off-campus dual credit courses in the 2012-13 school year.</t>
  </si>
  <si>
    <t>LINE ITEM Summary</t>
  </si>
  <si>
    <t>This report outlines all recommended line item funding</t>
  </si>
  <si>
    <t>IU</t>
  </si>
  <si>
    <t>PU</t>
  </si>
  <si>
    <t>INSTITUTION TOTAL</t>
  </si>
  <si>
    <t>MED BOARD</t>
  </si>
  <si>
    <t>OTHER HIGHER ED TOTAL</t>
  </si>
  <si>
    <t>R&amp;R Funding</t>
  </si>
  <si>
    <t>This report outlines recommended repair and rehabilitation funding</t>
  </si>
  <si>
    <t>R&amp;R Asset Total</t>
  </si>
  <si>
    <t>Infrastructure Asset Total</t>
  </si>
  <si>
    <t>R&amp;R</t>
  </si>
  <si>
    <t>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</si>
</sst>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_(* #,##0_);_(* \(#,##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1">
    <xf numFmtId="0" fontId="0" fillId="0" borderId="0" xfId="0"/>
    <xf numFmtId="0" fontId="0" fillId="0" borderId="0" xfId="0" applyFill="1" applyProtection="1"/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center" vertical="center"/>
    </xf>
    <xf numFmtId="0" fontId="0" fillId="0" borderId="21" xfId="0" applyFill="1" applyBorder="1" applyProtection="1"/>
    <xf numFmtId="5" fontId="0" fillId="0" borderId="0" xfId="0" applyNumberForma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top" wrapText="1"/>
    </xf>
    <xf numFmtId="0" fontId="4" fillId="0" borderId="0" xfId="0" applyFont="1" applyFill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0" fillId="9" borderId="1" xfId="0" applyFill="1" applyBorder="1" applyProtection="1"/>
    <xf numFmtId="0" fontId="8" fillId="18" borderId="65" xfId="0" applyFont="1" applyFill="1" applyBorder="1" applyAlignment="1" applyProtection="1">
      <alignment horizontal="center" vertical="center" wrapText="1"/>
    </xf>
    <xf numFmtId="0" fontId="8" fillId="18" borderId="66" xfId="0" applyFont="1" applyFill="1" applyBorder="1" applyAlignment="1" applyProtection="1">
      <alignment horizontal="center" vertical="center" wrapText="1"/>
    </xf>
    <xf numFmtId="0" fontId="8" fillId="18" borderId="60" xfId="0" applyFont="1" applyFill="1" applyBorder="1" applyAlignment="1" applyProtection="1">
      <alignment horizontal="center" vertical="center" wrapText="1"/>
    </xf>
    <xf numFmtId="0" fontId="0" fillId="9" borderId="8" xfId="0" applyFill="1" applyBorder="1" applyProtection="1"/>
    <xf numFmtId="0" fontId="0" fillId="0" borderId="2" xfId="0" applyFill="1" applyBorder="1" applyAlignment="1" applyProtection="1">
      <alignment vertical="center"/>
    </xf>
    <xf numFmtId="5" fontId="0" fillId="0" borderId="8" xfId="0" applyNumberFormat="1" applyFill="1" applyBorder="1" applyAlignment="1" applyProtection="1">
      <alignment vertical="center"/>
    </xf>
    <xf numFmtId="5" fontId="0" fillId="0" borderId="9" xfId="0" applyNumberFormat="1" applyFill="1" applyBorder="1" applyAlignment="1" applyProtection="1">
      <alignment vertical="center"/>
    </xf>
    <xf numFmtId="5" fontId="0" fillId="0" borderId="10" xfId="0" applyNumberFormat="1" applyFill="1" applyBorder="1" applyAlignment="1" applyProtection="1">
      <alignment vertical="center"/>
    </xf>
    <xf numFmtId="165" fontId="0" fillId="0" borderId="11" xfId="0" applyNumberFormat="1" applyFill="1" applyBorder="1" applyAlignment="1" applyProtection="1">
      <alignment horizontal="center" vertical="center"/>
    </xf>
    <xf numFmtId="5" fontId="0" fillId="9" borderId="8" xfId="0" applyNumberForma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8" fillId="0" borderId="64" xfId="0" applyFont="1" applyFill="1" applyBorder="1" applyAlignment="1" applyProtection="1">
      <alignment vertical="center"/>
    </xf>
    <xf numFmtId="5" fontId="8" fillId="0" borderId="42" xfId="0" applyNumberFormat="1" applyFont="1" applyFill="1" applyBorder="1" applyAlignment="1" applyProtection="1">
      <alignment vertical="center"/>
    </xf>
    <xf numFmtId="5" fontId="8" fillId="0" borderId="67" xfId="0" applyNumberFormat="1" applyFont="1" applyFill="1" applyBorder="1" applyAlignment="1" applyProtection="1">
      <alignment vertical="center"/>
    </xf>
    <xf numFmtId="5" fontId="8" fillId="0" borderId="68" xfId="0" applyNumberFormat="1" applyFont="1" applyFill="1" applyBorder="1" applyAlignment="1" applyProtection="1">
      <alignment vertical="center"/>
    </xf>
    <xf numFmtId="165" fontId="8" fillId="0" borderId="69" xfId="0" applyNumberFormat="1" applyFont="1" applyFill="1" applyBorder="1" applyAlignment="1" applyProtection="1">
      <alignment horizontal="center" vertical="center"/>
    </xf>
    <xf numFmtId="5" fontId="8" fillId="9" borderId="42" xfId="0" applyNumberFormat="1" applyFont="1" applyFill="1" applyBorder="1" applyAlignment="1" applyProtection="1">
      <alignment vertical="center"/>
    </xf>
    <xf numFmtId="0" fontId="8" fillId="9" borderId="16" xfId="0" applyFont="1" applyFill="1" applyBorder="1" applyAlignment="1" applyProtection="1">
      <alignment vertical="center"/>
    </xf>
    <xf numFmtId="5" fontId="0" fillId="9" borderId="9" xfId="0" applyNumberFormat="1" applyFill="1" applyBorder="1" applyAlignment="1" applyProtection="1">
      <alignment vertical="center"/>
    </xf>
    <xf numFmtId="5" fontId="0" fillId="9" borderId="10" xfId="0" applyNumberFormat="1" applyFill="1" applyBorder="1" applyAlignment="1" applyProtection="1">
      <alignment vertical="center"/>
    </xf>
    <xf numFmtId="165" fontId="0" fillId="9" borderId="11" xfId="0" applyNumberFormat="1" applyFill="1" applyBorder="1" applyAlignment="1" applyProtection="1">
      <alignment horizontal="center" vertical="center"/>
    </xf>
    <xf numFmtId="0" fontId="8" fillId="0" borderId="78" xfId="0" applyFont="1" applyFill="1" applyBorder="1" applyAlignment="1" applyProtection="1">
      <alignment vertical="center"/>
    </xf>
    <xf numFmtId="5" fontId="8" fillId="0" borderId="56" xfId="0" applyNumberFormat="1" applyFont="1" applyFill="1" applyBorder="1" applyAlignment="1" applyProtection="1">
      <alignment vertical="center"/>
    </xf>
    <xf numFmtId="5" fontId="8" fillId="0" borderId="76" xfId="0" applyNumberFormat="1" applyFont="1" applyFill="1" applyBorder="1" applyAlignment="1" applyProtection="1">
      <alignment vertical="center"/>
    </xf>
    <xf numFmtId="5" fontId="8" fillId="0" borderId="77" xfId="0" applyNumberFormat="1" applyFont="1" applyFill="1" applyBorder="1" applyAlignment="1" applyProtection="1">
      <alignment vertical="center"/>
    </xf>
    <xf numFmtId="165" fontId="8" fillId="0" borderId="57" xfId="0" applyNumberFormat="1" applyFont="1" applyFill="1" applyBorder="1" applyAlignment="1" applyProtection="1">
      <alignment horizontal="center" vertical="center"/>
    </xf>
    <xf numFmtId="5" fontId="8" fillId="9" borderId="56" xfId="0" applyNumberFormat="1" applyFont="1" applyFill="1" applyBorder="1" applyAlignment="1" applyProtection="1">
      <alignment vertical="center"/>
    </xf>
    <xf numFmtId="0" fontId="8" fillId="10" borderId="58" xfId="0" applyFont="1" applyFill="1" applyBorder="1" applyAlignment="1" applyProtection="1">
      <alignment vertical="center"/>
    </xf>
    <xf numFmtId="5" fontId="8" fillId="10" borderId="63" xfId="0" applyNumberFormat="1" applyFont="1" applyFill="1" applyBorder="1" applyAlignment="1" applyProtection="1">
      <alignment vertical="center"/>
    </xf>
    <xf numFmtId="5" fontId="8" fillId="10" borderId="65" xfId="0" applyNumberFormat="1" applyFont="1" applyFill="1" applyBorder="1" applyAlignment="1" applyProtection="1">
      <alignment vertical="center"/>
    </xf>
    <xf numFmtId="5" fontId="8" fillId="10" borderId="66" xfId="0" applyNumberFormat="1" applyFont="1" applyFill="1" applyBorder="1" applyAlignment="1" applyProtection="1">
      <alignment vertical="center"/>
    </xf>
    <xf numFmtId="165" fontId="8" fillId="10" borderId="70" xfId="0" applyNumberFormat="1" applyFont="1" applyFill="1" applyBorder="1" applyAlignment="1" applyProtection="1">
      <alignment horizontal="center" vertical="center"/>
    </xf>
    <xf numFmtId="5" fontId="8" fillId="9" borderId="63" xfId="0" applyNumberFormat="1" applyFont="1" applyFill="1" applyBorder="1" applyAlignment="1" applyProtection="1">
      <alignment vertical="center"/>
    </xf>
    <xf numFmtId="0" fontId="8" fillId="18" borderId="31" xfId="0" applyFont="1" applyFill="1" applyBorder="1" applyAlignment="1" applyProtection="1">
      <alignment horizontal="center" vertical="center" wrapText="1"/>
    </xf>
    <xf numFmtId="0" fontId="8" fillId="18" borderId="10" xfId="0" applyFont="1" applyFill="1" applyBorder="1" applyAlignment="1" applyProtection="1">
      <alignment horizontal="center" vertical="center" wrapText="1"/>
    </xf>
    <xf numFmtId="0" fontId="8" fillId="18" borderId="11" xfId="0" applyFont="1" applyFill="1" applyBorder="1" applyAlignment="1" applyProtection="1">
      <alignment horizontal="center" vertical="center" wrapText="1"/>
    </xf>
    <xf numFmtId="0" fontId="8" fillId="18" borderId="6" xfId="0" applyFont="1" applyFill="1" applyBorder="1" applyAlignment="1" applyProtection="1">
      <alignment horizontal="center" vertical="center" wrapText="1"/>
    </xf>
    <xf numFmtId="0" fontId="8" fillId="18" borderId="32" xfId="0" applyFont="1" applyFill="1" applyBorder="1" applyAlignment="1" applyProtection="1">
      <alignment horizontal="center" vertical="center" wrapText="1"/>
    </xf>
    <xf numFmtId="0" fontId="8" fillId="18" borderId="4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Protection="1"/>
    <xf numFmtId="5" fontId="8" fillId="0" borderId="1" xfId="0" applyNumberFormat="1" applyFont="1" applyFill="1" applyBorder="1" applyAlignment="1" applyProtection="1">
      <alignment vertical="center"/>
    </xf>
    <xf numFmtId="5" fontId="8" fillId="0" borderId="32" xfId="0" applyNumberFormat="1" applyFont="1" applyFill="1" applyBorder="1" applyAlignment="1" applyProtection="1">
      <alignment vertical="center"/>
    </xf>
    <xf numFmtId="5" fontId="8" fillId="0" borderId="7" xfId="0" applyNumberFormat="1" applyFont="1" applyFill="1" applyBorder="1" applyAlignment="1" applyProtection="1">
      <alignment vertical="center"/>
    </xf>
    <xf numFmtId="165" fontId="8" fillId="0" borderId="4" xfId="0" applyNumberFormat="1" applyFont="1" applyFill="1" applyBorder="1" applyAlignment="1" applyProtection="1">
      <alignment horizontal="center" vertical="center"/>
    </xf>
    <xf numFmtId="5" fontId="8" fillId="9" borderId="1" xfId="0" applyNumberFormat="1" applyFont="1" applyFill="1" applyBorder="1" applyAlignment="1" applyProtection="1">
      <alignment vertical="center"/>
    </xf>
    <xf numFmtId="5" fontId="8" fillId="0" borderId="6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left" indent="3"/>
    </xf>
    <xf numFmtId="5" fontId="0" fillId="0" borderId="8" xfId="0" applyNumberFormat="1" applyFill="1" applyBorder="1" applyProtection="1"/>
    <xf numFmtId="5" fontId="0" fillId="0" borderId="31" xfId="0" applyNumberFormat="1" applyFill="1" applyBorder="1" applyProtection="1"/>
    <xf numFmtId="165" fontId="0" fillId="0" borderId="92" xfId="0" applyNumberFormat="1" applyFill="1" applyBorder="1" applyAlignment="1" applyProtection="1">
      <alignment horizontal="center" vertical="center"/>
    </xf>
    <xf numFmtId="5" fontId="0" fillId="0" borderId="9" xfId="0" applyNumberFormat="1" applyFill="1" applyBorder="1" applyProtection="1"/>
    <xf numFmtId="0" fontId="0" fillId="0" borderId="20" xfId="0" applyFill="1" applyBorder="1" applyAlignment="1" applyProtection="1">
      <alignment horizontal="left" indent="3"/>
    </xf>
    <xf numFmtId="5" fontId="0" fillId="0" borderId="5" xfId="0" applyNumberFormat="1" applyFill="1" applyBorder="1" applyProtection="1"/>
    <xf numFmtId="5" fontId="0" fillId="0" borderId="33" xfId="0" applyNumberFormat="1" applyFill="1" applyBorder="1" applyProtection="1"/>
    <xf numFmtId="5" fontId="0" fillId="0" borderId="18" xfId="0" applyNumberFormat="1" applyFill="1" applyBorder="1" applyAlignment="1" applyProtection="1">
      <alignment vertical="center"/>
    </xf>
    <xf numFmtId="0" fontId="0" fillId="9" borderId="5" xfId="0" applyFill="1" applyBorder="1" applyProtection="1"/>
    <xf numFmtId="5" fontId="0" fillId="0" borderId="17" xfId="0" applyNumberFormat="1" applyFill="1" applyBorder="1" applyProtection="1"/>
    <xf numFmtId="0" fontId="8" fillId="10" borderId="64" xfId="0" applyFont="1" applyFill="1" applyBorder="1" applyProtection="1"/>
    <xf numFmtId="5" fontId="8" fillId="10" borderId="42" xfId="0" applyNumberFormat="1" applyFont="1" applyFill="1" applyBorder="1" applyAlignment="1" applyProtection="1">
      <alignment vertical="center"/>
    </xf>
    <xf numFmtId="5" fontId="8" fillId="10" borderId="43" xfId="0" applyNumberFormat="1" applyFont="1" applyFill="1" applyBorder="1" applyAlignment="1" applyProtection="1">
      <alignment vertical="center"/>
    </xf>
    <xf numFmtId="5" fontId="8" fillId="10" borderId="68" xfId="0" applyNumberFormat="1" applyFont="1" applyFill="1" applyBorder="1" applyAlignment="1" applyProtection="1">
      <alignment vertical="center"/>
    </xf>
    <xf numFmtId="165" fontId="8" fillId="10" borderId="46" xfId="0" applyNumberFormat="1" applyFont="1" applyFill="1" applyBorder="1" applyAlignment="1" applyProtection="1">
      <alignment horizontal="center" vertical="center"/>
    </xf>
    <xf numFmtId="5" fontId="8" fillId="10" borderId="67" xfId="0" applyNumberFormat="1" applyFont="1" applyFill="1" applyBorder="1" applyAlignment="1" applyProtection="1">
      <alignment vertical="center"/>
    </xf>
    <xf numFmtId="0" fontId="0" fillId="10" borderId="16" xfId="0" applyFill="1" applyBorder="1" applyAlignment="1" applyProtection="1">
      <alignment horizontal="left" indent="3"/>
    </xf>
    <xf numFmtId="5" fontId="0" fillId="10" borderId="8" xfId="0" applyNumberFormat="1" applyFill="1" applyBorder="1" applyProtection="1"/>
    <xf numFmtId="5" fontId="0" fillId="10" borderId="31" xfId="0" applyNumberFormat="1" applyFill="1" applyBorder="1" applyProtection="1"/>
    <xf numFmtId="5" fontId="0" fillId="10" borderId="10" xfId="0" applyNumberFormat="1" applyFill="1" applyBorder="1" applyAlignment="1" applyProtection="1">
      <alignment vertical="center"/>
    </xf>
    <xf numFmtId="165" fontId="0" fillId="10" borderId="92" xfId="0" applyNumberFormat="1" applyFill="1" applyBorder="1" applyAlignment="1" applyProtection="1">
      <alignment horizontal="center" vertical="center"/>
    </xf>
    <xf numFmtId="5" fontId="0" fillId="10" borderId="9" xfId="0" applyNumberFormat="1" applyFill="1" applyBorder="1" applyProtection="1"/>
    <xf numFmtId="165" fontId="0" fillId="10" borderId="11" xfId="0" applyNumberFormat="1" applyFill="1" applyBorder="1" applyAlignment="1" applyProtection="1">
      <alignment horizontal="center" vertical="center"/>
    </xf>
    <xf numFmtId="0" fontId="0" fillId="10" borderId="20" xfId="0" applyFill="1" applyBorder="1" applyAlignment="1" applyProtection="1">
      <alignment horizontal="left" indent="3"/>
    </xf>
    <xf numFmtId="5" fontId="0" fillId="10" borderId="5" xfId="0" applyNumberFormat="1" applyFill="1" applyBorder="1" applyProtection="1"/>
    <xf numFmtId="5" fontId="0" fillId="10" borderId="17" xfId="0" applyNumberFormat="1" applyFill="1" applyBorder="1" applyProtection="1"/>
    <xf numFmtId="5" fontId="0" fillId="10" borderId="33" xfId="0" applyNumberFormat="1" applyFill="1" applyBorder="1" applyAlignment="1" applyProtection="1">
      <alignment vertical="center"/>
    </xf>
    <xf numFmtId="165" fontId="0" fillId="10" borderId="41" xfId="0" applyNumberFormat="1" applyFill="1" applyBorder="1" applyAlignment="1" applyProtection="1">
      <alignment horizontal="center" vertical="center"/>
    </xf>
    <xf numFmtId="5" fontId="0" fillId="10" borderId="18" xfId="0" applyNumberFormat="1" applyFill="1" applyBorder="1" applyAlignment="1" applyProtection="1">
      <alignment vertical="center"/>
    </xf>
    <xf numFmtId="165" fontId="0" fillId="10" borderId="19" xfId="0" applyNumberFormat="1" applyFill="1" applyBorder="1" applyAlignment="1" applyProtection="1">
      <alignment horizontal="center" vertical="center"/>
    </xf>
    <xf numFmtId="0" fontId="0" fillId="9" borderId="58" xfId="0" applyFill="1" applyBorder="1" applyProtection="1"/>
    <xf numFmtId="0" fontId="0" fillId="9" borderId="63" xfId="0" applyFill="1" applyBorder="1" applyProtection="1"/>
    <xf numFmtId="0" fontId="0" fillId="9" borderId="59" xfId="0" applyFill="1" applyBorder="1" applyProtection="1"/>
    <xf numFmtId="0" fontId="0" fillId="9" borderId="60" xfId="0" applyFill="1" applyBorder="1" applyProtection="1"/>
    <xf numFmtId="5" fontId="0" fillId="10" borderId="33" xfId="0" applyNumberFormat="1" applyFill="1" applyBorder="1" applyProtection="1"/>
    <xf numFmtId="165" fontId="0" fillId="0" borderId="41" xfId="0" applyNumberFormat="1" applyFill="1" applyBorder="1" applyAlignment="1" applyProtection="1">
      <alignment horizontal="center" vertical="center"/>
    </xf>
    <xf numFmtId="165" fontId="0" fillId="0" borderId="19" xfId="0" applyNumberFormat="1" applyFill="1" applyBorder="1" applyAlignment="1" applyProtection="1">
      <alignment horizontal="center" vertical="center"/>
    </xf>
    <xf numFmtId="0" fontId="8" fillId="10" borderId="63" xfId="0" applyFont="1" applyFill="1" applyBorder="1" applyAlignment="1" applyProtection="1">
      <alignment horizontal="left"/>
    </xf>
    <xf numFmtId="5" fontId="8" fillId="10" borderId="5" xfId="0" applyNumberFormat="1" applyFont="1" applyFill="1" applyBorder="1" applyProtection="1"/>
    <xf numFmtId="5" fontId="8" fillId="10" borderId="65" xfId="0" applyNumberFormat="1" applyFont="1" applyFill="1" applyBorder="1" applyProtection="1"/>
    <xf numFmtId="5" fontId="8" fillId="10" borderId="33" xfId="0" applyNumberFormat="1" applyFont="1" applyFill="1" applyBorder="1" applyAlignment="1" applyProtection="1">
      <alignment vertical="center"/>
    </xf>
    <xf numFmtId="165" fontId="8" fillId="10" borderId="19" xfId="0" applyNumberFormat="1" applyFont="1" applyFill="1" applyBorder="1" applyAlignment="1" applyProtection="1">
      <alignment horizontal="center" vertical="center"/>
    </xf>
    <xf numFmtId="0" fontId="8" fillId="9" borderId="5" xfId="0" applyFont="1" applyFill="1" applyBorder="1" applyProtection="1"/>
    <xf numFmtId="0" fontId="1" fillId="8" borderId="1" xfId="0" applyFont="1" applyFill="1" applyBorder="1" applyAlignment="1" applyProtection="1">
      <alignment horizontal="center" wrapText="1"/>
    </xf>
    <xf numFmtId="0" fontId="3" fillId="8" borderId="15" xfId="0" applyFont="1" applyFill="1" applyBorder="1" applyAlignment="1" applyProtection="1">
      <alignment horizontal="center" wrapText="1"/>
    </xf>
    <xf numFmtId="164" fontId="2" fillId="3" borderId="22" xfId="0" applyNumberFormat="1" applyFont="1" applyFill="1" applyBorder="1" applyAlignment="1" applyProtection="1">
      <alignment horizontal="center"/>
    </xf>
    <xf numFmtId="164" fontId="2" fillId="3" borderId="23" xfId="0" applyNumberFormat="1" applyFont="1" applyFill="1" applyBorder="1" applyAlignment="1" applyProtection="1">
      <alignment horizontal="center"/>
    </xf>
    <xf numFmtId="164" fontId="2" fillId="3" borderId="24" xfId="0" applyNumberFormat="1" applyFont="1" applyFill="1" applyBorder="1" applyAlignment="1" applyProtection="1">
      <alignment horizontal="center"/>
    </xf>
    <xf numFmtId="164" fontId="2" fillId="3" borderId="25" xfId="0" applyNumberFormat="1" applyFont="1" applyFill="1" applyBorder="1" applyAlignment="1" applyProtection="1">
      <alignment horizontal="center"/>
    </xf>
    <xf numFmtId="164" fontId="2" fillId="4" borderId="22" xfId="0" applyNumberFormat="1" applyFont="1" applyFill="1" applyBorder="1" applyAlignment="1" applyProtection="1">
      <alignment horizontal="center"/>
    </xf>
    <xf numFmtId="164" fontId="2" fillId="4" borderId="24" xfId="0" applyNumberFormat="1" applyFont="1" applyFill="1" applyBorder="1" applyAlignment="1" applyProtection="1">
      <alignment horizontal="center"/>
    </xf>
    <xf numFmtId="164" fontId="2" fillId="4" borderId="25" xfId="0" applyNumberFormat="1" applyFont="1" applyFill="1" applyBorder="1" applyAlignment="1" applyProtection="1">
      <alignment horizontal="center"/>
    </xf>
    <xf numFmtId="164" fontId="2" fillId="2" borderId="22" xfId="0" applyNumberFormat="1" applyFont="1" applyFill="1" applyBorder="1" applyAlignment="1" applyProtection="1">
      <alignment horizontal="center"/>
    </xf>
    <xf numFmtId="164" fontId="2" fillId="2" borderId="24" xfId="0" applyNumberFormat="1" applyFont="1" applyFill="1" applyBorder="1" applyAlignment="1" applyProtection="1">
      <alignment horizontal="center"/>
    </xf>
    <xf numFmtId="164" fontId="2" fillId="2" borderId="25" xfId="0" applyNumberFormat="1" applyFont="1" applyFill="1" applyBorder="1" applyAlignment="1" applyProtection="1">
      <alignment horizontal="center"/>
    </xf>
    <xf numFmtId="164" fontId="2" fillId="5" borderId="22" xfId="0" applyNumberFormat="1" applyFont="1" applyFill="1" applyBorder="1" applyAlignment="1" applyProtection="1">
      <alignment horizontal="center"/>
    </xf>
    <xf numFmtId="164" fontId="2" fillId="5" borderId="24" xfId="0" applyNumberFormat="1" applyFont="1" applyFill="1" applyBorder="1" applyAlignment="1" applyProtection="1">
      <alignment horizontal="center"/>
    </xf>
    <xf numFmtId="164" fontId="2" fillId="5" borderId="25" xfId="0" applyNumberFormat="1" applyFont="1" applyFill="1" applyBorder="1" applyAlignment="1" applyProtection="1">
      <alignment horizontal="center"/>
    </xf>
    <xf numFmtId="164" fontId="2" fillId="8" borderId="27" xfId="0" applyNumberFormat="1" applyFont="1" applyFill="1" applyBorder="1" applyAlignment="1" applyProtection="1">
      <alignment horizontal="center"/>
    </xf>
    <xf numFmtId="0" fontId="0" fillId="0" borderId="8" xfId="0" applyFill="1" applyBorder="1" applyProtection="1"/>
    <xf numFmtId="3" fontId="0" fillId="0" borderId="6" xfId="0" applyNumberFormat="1" applyFill="1" applyBorder="1" applyAlignment="1" applyProtection="1">
      <alignment horizontal="center"/>
    </xf>
    <xf numFmtId="3" fontId="0" fillId="0" borderId="7" xfId="0" applyNumberFormat="1" applyFill="1" applyBorder="1" applyAlignment="1" applyProtection="1">
      <alignment horizontal="center"/>
    </xf>
    <xf numFmtId="3" fontId="0" fillId="0" borderId="11" xfId="0" applyNumberFormat="1" applyFill="1" applyBorder="1" applyAlignment="1" applyProtection="1">
      <alignment horizontal="center"/>
    </xf>
    <xf numFmtId="3" fontId="0" fillId="0" borderId="32" xfId="0" applyNumberFormat="1" applyFill="1" applyBorder="1" applyAlignment="1" applyProtection="1">
      <alignment horizontal="center"/>
    </xf>
    <xf numFmtId="165" fontId="0" fillId="0" borderId="16" xfId="0" applyNumberFormat="1" applyFill="1" applyBorder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165" fontId="0" fillId="0" borderId="8" xfId="0" applyNumberFormat="1" applyFill="1" applyBorder="1" applyAlignment="1" applyProtection="1">
      <alignment horizontal="center"/>
    </xf>
    <xf numFmtId="3" fontId="0" fillId="0" borderId="9" xfId="0" applyNumberFormat="1" applyFill="1" applyBorder="1" applyAlignment="1" applyProtection="1">
      <alignment horizontal="center"/>
    </xf>
    <xf numFmtId="3" fontId="0" fillId="0" borderId="10" xfId="0" applyNumberFormat="1" applyFill="1" applyBorder="1" applyAlignment="1" applyProtection="1">
      <alignment horizontal="center"/>
    </xf>
    <xf numFmtId="3" fontId="0" fillId="0" borderId="31" xfId="0" applyNumberFormat="1" applyFill="1" applyBorder="1" applyAlignment="1" applyProtection="1">
      <alignment horizontal="center"/>
    </xf>
    <xf numFmtId="0" fontId="0" fillId="0" borderId="5" xfId="0" applyFill="1" applyBorder="1" applyProtection="1"/>
    <xf numFmtId="3" fontId="0" fillId="0" borderId="17" xfId="0" applyNumberFormat="1" applyFill="1" applyBorder="1" applyAlignment="1" applyProtection="1">
      <alignment horizontal="center"/>
    </xf>
    <xf numFmtId="3" fontId="0" fillId="0" borderId="18" xfId="0" applyNumberFormat="1" applyFill="1" applyBorder="1" applyAlignment="1" applyProtection="1">
      <alignment horizontal="center"/>
    </xf>
    <xf numFmtId="3" fontId="0" fillId="0" borderId="19" xfId="0" applyNumberFormat="1" applyFill="1" applyBorder="1" applyAlignment="1" applyProtection="1">
      <alignment horizontal="center"/>
    </xf>
    <xf numFmtId="3" fontId="0" fillId="0" borderId="33" xfId="0" applyNumberFormat="1" applyFill="1" applyBorder="1" applyAlignment="1" applyProtection="1">
      <alignment horizontal="center"/>
    </xf>
    <xf numFmtId="165" fontId="0" fillId="0" borderId="20" xfId="0" applyNumberFormat="1" applyFill="1" applyBorder="1" applyAlignment="1" applyProtection="1">
      <alignment horizontal="center"/>
    </xf>
    <xf numFmtId="165" fontId="0" fillId="0" borderId="21" xfId="0" applyNumberFormat="1" applyFill="1" applyBorder="1" applyAlignment="1" applyProtection="1">
      <alignment horizontal="center"/>
    </xf>
    <xf numFmtId="3" fontId="0" fillId="0" borderId="21" xfId="0" applyNumberFormat="1" applyFill="1" applyBorder="1" applyAlignment="1" applyProtection="1">
      <alignment horizontal="center"/>
    </xf>
    <xf numFmtId="165" fontId="0" fillId="0" borderId="5" xfId="0" applyNumberFormat="1" applyFill="1" applyBorder="1" applyAlignment="1" applyProtection="1">
      <alignment horizontal="center"/>
    </xf>
    <xf numFmtId="0" fontId="7" fillId="0" borderId="0" xfId="0" applyFont="1" applyFill="1" applyProtection="1"/>
    <xf numFmtId="0" fontId="8" fillId="12" borderId="1" xfId="0" applyFont="1" applyFill="1" applyBorder="1" applyProtection="1"/>
    <xf numFmtId="3" fontId="0" fillId="0" borderId="1" xfId="0" applyNumberFormat="1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12" borderId="8" xfId="0" applyFill="1" applyBorder="1" applyAlignment="1" applyProtection="1">
      <alignment horizontal="left" indent="2"/>
    </xf>
    <xf numFmtId="3" fontId="0" fillId="0" borderId="8" xfId="0" applyNumberFormat="1" applyFill="1" applyBorder="1" applyAlignment="1" applyProtection="1">
      <alignment horizontal="center"/>
    </xf>
    <xf numFmtId="5" fontId="0" fillId="0" borderId="10" xfId="0" applyNumberFormat="1" applyFill="1" applyBorder="1" applyProtection="1"/>
    <xf numFmtId="165" fontId="0" fillId="0" borderId="11" xfId="0" applyNumberFormat="1" applyFill="1" applyBorder="1" applyAlignment="1" applyProtection="1">
      <alignment horizontal="center"/>
    </xf>
    <xf numFmtId="0" fontId="8" fillId="12" borderId="5" xfId="0" applyFont="1" applyFill="1" applyBorder="1" applyAlignment="1" applyProtection="1">
      <alignment horizontal="left" indent="2"/>
    </xf>
    <xf numFmtId="0" fontId="8" fillId="0" borderId="56" xfId="0" applyFont="1" applyFill="1" applyBorder="1" applyProtection="1"/>
    <xf numFmtId="0" fontId="8" fillId="0" borderId="76" xfId="0" applyFont="1" applyFill="1" applyBorder="1" applyProtection="1"/>
    <xf numFmtId="5" fontId="8" fillId="0" borderId="77" xfId="0" applyNumberFormat="1" applyFont="1" applyFill="1" applyBorder="1" applyProtection="1"/>
    <xf numFmtId="165" fontId="8" fillId="0" borderId="57" xfId="0" applyNumberFormat="1" applyFont="1" applyFill="1" applyBorder="1" applyAlignment="1" applyProtection="1">
      <alignment horizontal="center"/>
    </xf>
    <xf numFmtId="0" fontId="8" fillId="15" borderId="1" xfId="0" applyFont="1" applyFill="1" applyBorder="1" applyProtection="1"/>
    <xf numFmtId="0" fontId="0" fillId="0" borderId="4" xfId="0" applyFill="1" applyBorder="1" applyProtection="1"/>
    <xf numFmtId="0" fontId="0" fillId="15" borderId="8" xfId="0" applyFill="1" applyBorder="1" applyAlignment="1" applyProtection="1">
      <alignment horizontal="left" indent="2"/>
    </xf>
    <xf numFmtId="0" fontId="8" fillId="15" borderId="5" xfId="0" applyFont="1" applyFill="1" applyBorder="1" applyAlignment="1" applyProtection="1">
      <alignment horizontal="left" indent="2"/>
    </xf>
    <xf numFmtId="0" fontId="8" fillId="14" borderId="1" xfId="0" applyFont="1" applyFill="1" applyBorder="1" applyProtection="1"/>
    <xf numFmtId="0" fontId="0" fillId="14" borderId="8" xfId="0" applyFill="1" applyBorder="1" applyAlignment="1" applyProtection="1">
      <alignment horizontal="left" indent="2"/>
    </xf>
    <xf numFmtId="0" fontId="8" fillId="14" borderId="5" xfId="0" applyFont="1" applyFill="1" applyBorder="1" applyAlignment="1" applyProtection="1">
      <alignment horizontal="left" indent="2"/>
    </xf>
    <xf numFmtId="0" fontId="8" fillId="13" borderId="1" xfId="0" applyFont="1" applyFill="1" applyBorder="1" applyProtection="1"/>
    <xf numFmtId="0" fontId="0" fillId="13" borderId="8" xfId="0" applyFill="1" applyBorder="1" applyAlignment="1" applyProtection="1">
      <alignment horizontal="left" indent="2"/>
    </xf>
    <xf numFmtId="0" fontId="8" fillId="13" borderId="5" xfId="0" applyFont="1" applyFill="1" applyBorder="1" applyAlignment="1" applyProtection="1">
      <alignment horizontal="left" indent="2"/>
    </xf>
    <xf numFmtId="0" fontId="8" fillId="11" borderId="1" xfId="0" applyFont="1" applyFill="1" applyBorder="1" applyProtection="1"/>
    <xf numFmtId="0" fontId="0" fillId="11" borderId="8" xfId="0" applyFill="1" applyBorder="1" applyAlignment="1" applyProtection="1">
      <alignment horizontal="left" indent="2"/>
    </xf>
    <xf numFmtId="0" fontId="8" fillId="11" borderId="5" xfId="0" applyFont="1" applyFill="1" applyBorder="1" applyAlignment="1" applyProtection="1">
      <alignment horizontal="left" indent="2"/>
    </xf>
    <xf numFmtId="0" fontId="8" fillId="16" borderId="1" xfId="0" applyFont="1" applyFill="1" applyBorder="1" applyProtection="1"/>
    <xf numFmtId="0" fontId="0" fillId="16" borderId="8" xfId="0" applyFill="1" applyBorder="1" applyAlignment="1" applyProtection="1">
      <alignment horizontal="left" indent="2"/>
    </xf>
    <xf numFmtId="0" fontId="8" fillId="16" borderId="5" xfId="0" applyFont="1" applyFill="1" applyBorder="1" applyAlignment="1" applyProtection="1">
      <alignment horizontal="left" indent="2"/>
    </xf>
    <xf numFmtId="0" fontId="8" fillId="17" borderId="8" xfId="0" applyFont="1" applyFill="1" applyBorder="1" applyProtection="1"/>
    <xf numFmtId="3" fontId="0" fillId="0" borderId="8" xfId="0" applyNumberFormat="1" applyFill="1" applyBorder="1" applyAlignment="1" applyProtection="1">
      <alignment horizont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Protection="1"/>
    <xf numFmtId="0" fontId="0" fillId="0" borderId="9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17" borderId="8" xfId="0" applyFill="1" applyBorder="1" applyAlignment="1" applyProtection="1">
      <alignment horizontal="left" indent="2"/>
    </xf>
    <xf numFmtId="0" fontId="8" fillId="17" borderId="5" xfId="0" applyFont="1" applyFill="1" applyBorder="1" applyAlignment="1" applyProtection="1">
      <alignment horizontal="left" indent="2"/>
    </xf>
    <xf numFmtId="0" fontId="0" fillId="0" borderId="1" xfId="0" applyFill="1" applyBorder="1" applyProtection="1"/>
    <xf numFmtId="3" fontId="9" fillId="0" borderId="3" xfId="0" applyNumberFormat="1" applyFont="1" applyFill="1" applyBorder="1" applyAlignment="1" applyProtection="1">
      <alignment horizontal="center"/>
    </xf>
    <xf numFmtId="5" fontId="9" fillId="0" borderId="32" xfId="0" applyNumberFormat="1" applyFont="1" applyFill="1" applyBorder="1" applyProtection="1"/>
    <xf numFmtId="3" fontId="9" fillId="0" borderId="35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Alignment="1" applyProtection="1">
      <alignment horizontal="center"/>
    </xf>
    <xf numFmtId="5" fontId="9" fillId="0" borderId="11" xfId="0" applyNumberFormat="1" applyFont="1" applyFill="1" applyBorder="1" applyProtection="1"/>
    <xf numFmtId="5" fontId="9" fillId="0" borderId="0" xfId="0" applyNumberFormat="1" applyFont="1" applyFill="1" applyProtection="1"/>
    <xf numFmtId="5" fontId="8" fillId="10" borderId="51" xfId="0" applyNumberFormat="1" applyFont="1" applyFill="1" applyBorder="1" applyProtection="1"/>
    <xf numFmtId="165" fontId="8" fillId="10" borderId="52" xfId="0" applyNumberFormat="1" applyFont="1" applyFill="1" applyBorder="1" applyAlignment="1" applyProtection="1">
      <alignment horizontal="center"/>
    </xf>
    <xf numFmtId="5" fontId="9" fillId="0" borderId="31" xfId="0" applyNumberFormat="1" applyFont="1" applyFill="1" applyBorder="1" applyProtection="1"/>
    <xf numFmtId="3" fontId="9" fillId="0" borderId="34" xfId="0" applyNumberFormat="1" applyFont="1" applyFill="1" applyBorder="1" applyAlignment="1" applyProtection="1">
      <alignment horizontal="center"/>
    </xf>
    <xf numFmtId="5" fontId="8" fillId="10" borderId="53" xfId="0" applyNumberFormat="1" applyFont="1" applyFill="1" applyBorder="1" applyProtection="1"/>
    <xf numFmtId="165" fontId="8" fillId="10" borderId="40" xfId="0" applyNumberFormat="1" applyFont="1" applyFill="1" applyBorder="1" applyAlignment="1" applyProtection="1">
      <alignment horizontal="center"/>
    </xf>
    <xf numFmtId="0" fontId="8" fillId="0" borderId="42" xfId="0" applyFont="1" applyFill="1" applyBorder="1" applyProtection="1"/>
    <xf numFmtId="3" fontId="10" fillId="0" borderId="45" xfId="0" applyNumberFormat="1" applyFont="1" applyFill="1" applyBorder="1" applyAlignment="1" applyProtection="1">
      <alignment horizontal="center"/>
    </xf>
    <xf numFmtId="5" fontId="10" fillId="0" borderId="43" xfId="0" applyNumberFormat="1" applyFont="1" applyFill="1" applyBorder="1" applyProtection="1"/>
    <xf numFmtId="3" fontId="10" fillId="0" borderId="44" xfId="0" applyNumberFormat="1" applyFont="1" applyFill="1" applyBorder="1" applyAlignment="1" applyProtection="1">
      <alignment horizontal="center"/>
    </xf>
    <xf numFmtId="5" fontId="10" fillId="0" borderId="46" xfId="0" applyNumberFormat="1" applyFont="1" applyFill="1" applyBorder="1" applyProtection="1"/>
    <xf numFmtId="5" fontId="10" fillId="0" borderId="45" xfId="0" applyNumberFormat="1" applyFont="1" applyFill="1" applyBorder="1" applyProtection="1"/>
    <xf numFmtId="5" fontId="8" fillId="10" borderId="54" xfId="0" applyNumberFormat="1" applyFont="1" applyFill="1" applyBorder="1" applyProtection="1"/>
    <xf numFmtId="165" fontId="8" fillId="10" borderId="55" xfId="0" applyNumberFormat="1" applyFont="1" applyFill="1" applyBorder="1" applyAlignment="1" applyProtection="1">
      <alignment horizontal="center"/>
    </xf>
    <xf numFmtId="0" fontId="8" fillId="9" borderId="8" xfId="0" applyFont="1" applyFill="1" applyBorder="1" applyProtection="1"/>
    <xf numFmtId="3" fontId="9" fillId="9" borderId="0" xfId="0" applyNumberFormat="1" applyFont="1" applyFill="1" applyAlignment="1" applyProtection="1">
      <alignment horizontal="center"/>
    </xf>
    <xf numFmtId="5" fontId="9" fillId="9" borderId="31" xfId="0" applyNumberFormat="1" applyFont="1" applyFill="1" applyBorder="1" applyProtection="1"/>
    <xf numFmtId="3" fontId="9" fillId="9" borderId="34" xfId="0" applyNumberFormat="1" applyFont="1" applyFill="1" applyBorder="1" applyAlignment="1" applyProtection="1">
      <alignment horizontal="center"/>
    </xf>
    <xf numFmtId="5" fontId="9" fillId="9" borderId="11" xfId="0" applyNumberFormat="1" applyFont="1" applyFill="1" applyBorder="1" applyProtection="1"/>
    <xf numFmtId="5" fontId="9" fillId="9" borderId="0" xfId="0" applyNumberFormat="1" applyFont="1" applyFill="1" applyProtection="1"/>
    <xf numFmtId="5" fontId="8" fillId="9" borderId="51" xfId="0" applyNumberFormat="1" applyFont="1" applyFill="1" applyBorder="1" applyProtection="1"/>
    <xf numFmtId="0" fontId="8" fillId="9" borderId="52" xfId="0" applyFont="1" applyFill="1" applyBorder="1" applyProtection="1"/>
    <xf numFmtId="3" fontId="10" fillId="9" borderId="0" xfId="0" applyNumberFormat="1" applyFont="1" applyFill="1" applyAlignment="1" applyProtection="1">
      <alignment horizontal="center"/>
    </xf>
    <xf numFmtId="5" fontId="10" fillId="9" borderId="31" xfId="0" applyNumberFormat="1" applyFont="1" applyFill="1" applyBorder="1" applyProtection="1"/>
    <xf numFmtId="3" fontId="10" fillId="9" borderId="34" xfId="0" applyNumberFormat="1" applyFont="1" applyFill="1" applyBorder="1" applyAlignment="1" applyProtection="1">
      <alignment horizontal="center"/>
    </xf>
    <xf numFmtId="5" fontId="10" fillId="9" borderId="11" xfId="0" applyNumberFormat="1" applyFont="1" applyFill="1" applyBorder="1" applyProtection="1"/>
    <xf numFmtId="5" fontId="10" fillId="9" borderId="0" xfId="0" applyNumberFormat="1" applyFont="1" applyFill="1" applyProtection="1"/>
    <xf numFmtId="0" fontId="8" fillId="10" borderId="1" xfId="0" applyFont="1" applyFill="1" applyBorder="1" applyProtection="1"/>
    <xf numFmtId="3" fontId="10" fillId="10" borderId="47" xfId="0" applyNumberFormat="1" applyFont="1" applyFill="1" applyBorder="1" applyAlignment="1" applyProtection="1">
      <alignment horizontal="center"/>
    </xf>
    <xf numFmtId="5" fontId="10" fillId="10" borderId="48" xfId="0" applyNumberFormat="1" applyFont="1" applyFill="1" applyBorder="1" applyProtection="1"/>
    <xf numFmtId="3" fontId="10" fillId="10" borderId="48" xfId="0" applyNumberFormat="1" applyFont="1" applyFill="1" applyBorder="1" applyAlignment="1" applyProtection="1">
      <alignment horizontal="center"/>
    </xf>
    <xf numFmtId="5" fontId="10" fillId="10" borderId="49" xfId="0" applyNumberFormat="1" applyFont="1" applyFill="1" applyBorder="1" applyProtection="1"/>
    <xf numFmtId="5" fontId="10" fillId="10" borderId="50" xfId="0" applyNumberFormat="1" applyFont="1" applyFill="1" applyBorder="1" applyProtection="1"/>
    <xf numFmtId="5" fontId="8" fillId="10" borderId="2" xfId="0" applyNumberFormat="1" applyFont="1" applyFill="1" applyBorder="1" applyProtection="1"/>
    <xf numFmtId="5" fontId="8" fillId="10" borderId="4" xfId="0" applyNumberFormat="1" applyFont="1" applyFill="1" applyBorder="1" applyProtection="1"/>
    <xf numFmtId="0" fontId="8" fillId="10" borderId="27" xfId="0" applyFont="1" applyFill="1" applyBorder="1" applyAlignment="1" applyProtection="1">
      <alignment wrapText="1"/>
    </xf>
    <xf numFmtId="165" fontId="10" fillId="10" borderId="25" xfId="0" applyNumberFormat="1" applyFont="1" applyFill="1" applyBorder="1" applyAlignment="1" applyProtection="1">
      <alignment horizontal="center" vertical="center"/>
    </xf>
    <xf numFmtId="165" fontId="10" fillId="10" borderId="23" xfId="0" applyNumberFormat="1" applyFont="1" applyFill="1" applyBorder="1" applyAlignment="1" applyProtection="1">
      <alignment horizontal="center" vertical="center"/>
    </xf>
    <xf numFmtId="5" fontId="8" fillId="10" borderId="20" xfId="0" applyNumberFormat="1" applyFont="1" applyFill="1" applyBorder="1" applyProtection="1"/>
    <xf numFmtId="5" fontId="8" fillId="10" borderId="19" xfId="0" applyNumberFormat="1" applyFont="1" applyFill="1" applyBorder="1" applyProtection="1"/>
    <xf numFmtId="0" fontId="0" fillId="0" borderId="3" xfId="0" applyFill="1" applyBorder="1" applyProtection="1"/>
    <xf numFmtId="0" fontId="8" fillId="19" borderId="53" xfId="0" applyFont="1" applyFill="1" applyBorder="1" applyAlignment="1" applyProtection="1">
      <alignment horizontal="center"/>
    </xf>
    <xf numFmtId="0" fontId="8" fillId="20" borderId="53" xfId="0" applyFont="1" applyFill="1" applyBorder="1" applyAlignment="1" applyProtection="1">
      <alignment horizontal="center"/>
    </xf>
    <xf numFmtId="165" fontId="8" fillId="19" borderId="17" xfId="0" applyNumberFormat="1" applyFont="1" applyFill="1" applyBorder="1" applyAlignment="1" applyProtection="1">
      <alignment horizontal="center" vertical="top"/>
    </xf>
    <xf numFmtId="165" fontId="8" fillId="20" borderId="17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/>
    <xf numFmtId="5" fontId="0" fillId="0" borderId="1" xfId="0" applyNumberFormat="1" applyFill="1" applyBorder="1" applyProtection="1"/>
    <xf numFmtId="5" fontId="0" fillId="0" borderId="11" xfId="0" applyNumberFormat="1" applyFill="1" applyBorder="1" applyProtection="1"/>
    <xf numFmtId="0" fontId="0" fillId="0" borderId="16" xfId="0" applyFill="1" applyBorder="1" applyProtection="1"/>
    <xf numFmtId="0" fontId="8" fillId="0" borderId="64" xfId="0" applyFont="1" applyFill="1" applyBorder="1" applyProtection="1"/>
    <xf numFmtId="5" fontId="8" fillId="0" borderId="42" xfId="0" applyNumberFormat="1" applyFont="1" applyFill="1" applyBorder="1" applyProtection="1"/>
    <xf numFmtId="5" fontId="8" fillId="0" borderId="67" xfId="0" applyNumberFormat="1" applyFont="1" applyFill="1" applyBorder="1" applyProtection="1"/>
    <xf numFmtId="5" fontId="8" fillId="0" borderId="68" xfId="0" applyNumberFormat="1" applyFont="1" applyFill="1" applyBorder="1" applyProtection="1"/>
    <xf numFmtId="5" fontId="8" fillId="0" borderId="43" xfId="0" applyNumberFormat="1" applyFont="1" applyFill="1" applyBorder="1" applyProtection="1"/>
    <xf numFmtId="165" fontId="8" fillId="0" borderId="69" xfId="0" applyNumberFormat="1" applyFont="1" applyFill="1" applyBorder="1" applyAlignment="1" applyProtection="1">
      <alignment horizontal="center"/>
    </xf>
    <xf numFmtId="5" fontId="8" fillId="0" borderId="46" xfId="0" applyNumberFormat="1" applyFont="1" applyFill="1" applyBorder="1" applyProtection="1"/>
    <xf numFmtId="0" fontId="8" fillId="9" borderId="16" xfId="0" applyFont="1" applyFill="1" applyBorder="1" applyProtection="1"/>
    <xf numFmtId="5" fontId="0" fillId="9" borderId="8" xfId="0" applyNumberFormat="1" applyFill="1" applyBorder="1" applyProtection="1"/>
    <xf numFmtId="5" fontId="0" fillId="9" borderId="9" xfId="0" applyNumberFormat="1" applyFill="1" applyBorder="1" applyProtection="1"/>
    <xf numFmtId="5" fontId="0" fillId="9" borderId="10" xfId="0" applyNumberFormat="1" applyFill="1" applyBorder="1" applyProtection="1"/>
    <xf numFmtId="5" fontId="0" fillId="9" borderId="31" xfId="0" applyNumberFormat="1" applyFill="1" applyBorder="1" applyProtection="1"/>
    <xf numFmtId="5" fontId="0" fillId="9" borderId="0" xfId="0" applyNumberFormat="1" applyFill="1" applyAlignment="1" applyProtection="1">
      <alignment horizontal="center"/>
    </xf>
    <xf numFmtId="5" fontId="0" fillId="9" borderId="11" xfId="0" applyNumberFormat="1" applyFill="1" applyBorder="1" applyProtection="1"/>
    <xf numFmtId="0" fontId="0" fillId="9" borderId="11" xfId="0" applyFill="1" applyBorder="1" applyAlignment="1" applyProtection="1">
      <alignment horizontal="center"/>
    </xf>
    <xf numFmtId="0" fontId="8" fillId="10" borderId="65" xfId="0" applyFont="1" applyFill="1" applyBorder="1" applyProtection="1"/>
    <xf numFmtId="0" fontId="8" fillId="10" borderId="71" xfId="0" applyFont="1" applyFill="1" applyBorder="1" applyProtection="1"/>
    <xf numFmtId="5" fontId="8" fillId="10" borderId="63" xfId="0" applyNumberFormat="1" applyFont="1" applyFill="1" applyBorder="1" applyProtection="1"/>
    <xf numFmtId="5" fontId="8" fillId="10" borderId="66" xfId="0" applyNumberFormat="1" applyFont="1" applyFill="1" applyBorder="1" applyProtection="1"/>
    <xf numFmtId="5" fontId="8" fillId="10" borderId="72" xfId="0" applyNumberFormat="1" applyFont="1" applyFill="1" applyBorder="1" applyProtection="1"/>
    <xf numFmtId="165" fontId="8" fillId="10" borderId="70" xfId="0" applyNumberFormat="1" applyFont="1" applyFill="1" applyBorder="1" applyAlignment="1" applyProtection="1">
      <alignment horizontal="center"/>
    </xf>
    <xf numFmtId="5" fontId="8" fillId="10" borderId="70" xfId="0" applyNumberFormat="1" applyFont="1" applyFill="1" applyBorder="1" applyProtection="1"/>
    <xf numFmtId="0" fontId="8" fillId="10" borderId="60" xfId="0" applyFont="1" applyFill="1" applyBorder="1" applyAlignment="1" applyProtection="1">
      <alignment horizontal="center" vertical="center" wrapText="1"/>
    </xf>
    <xf numFmtId="0" fontId="8" fillId="9" borderId="3" xfId="0" applyFont="1" applyFill="1" applyBorder="1" applyAlignment="1" applyProtection="1">
      <alignment horizontal="center" vertical="center" wrapText="1"/>
    </xf>
    <xf numFmtId="0" fontId="8" fillId="10" borderId="65" xfId="0" applyFont="1" applyFill="1" applyBorder="1" applyAlignment="1" applyProtection="1">
      <alignment horizontal="center" vertical="center" wrapText="1"/>
    </xf>
    <xf numFmtId="0" fontId="8" fillId="10" borderId="66" xfId="0" applyFont="1" applyFill="1" applyBorder="1" applyAlignment="1" applyProtection="1">
      <alignment horizontal="center" vertical="center" wrapText="1"/>
    </xf>
    <xf numFmtId="0" fontId="8" fillId="18" borderId="70" xfId="0" applyFont="1" applyFill="1" applyBorder="1" applyAlignment="1" applyProtection="1">
      <alignment horizontal="center" vertical="center" wrapText="1"/>
    </xf>
    <xf numFmtId="0" fontId="8" fillId="9" borderId="59" xfId="0" applyFont="1" applyFill="1" applyBorder="1" applyAlignment="1" applyProtection="1">
      <alignment horizontal="center" vertical="center" wrapText="1"/>
    </xf>
    <xf numFmtId="37" fontId="0" fillId="0" borderId="16" xfId="0" applyNumberFormat="1" applyFill="1" applyBorder="1" applyAlignment="1" applyProtection="1">
      <alignment horizontal="center"/>
    </xf>
    <xf numFmtId="165" fontId="0" fillId="9" borderId="0" xfId="0" applyNumberFormat="1" applyFill="1" applyAlignment="1" applyProtection="1">
      <alignment horizontal="center"/>
    </xf>
    <xf numFmtId="37" fontId="8" fillId="0" borderId="64" xfId="0" applyNumberFormat="1" applyFont="1" applyFill="1" applyBorder="1" applyAlignment="1" applyProtection="1">
      <alignment horizontal="center"/>
    </xf>
    <xf numFmtId="5" fontId="8" fillId="0" borderId="69" xfId="0" applyNumberFormat="1" applyFont="1" applyFill="1" applyBorder="1" applyProtection="1"/>
    <xf numFmtId="165" fontId="8" fillId="9" borderId="45" xfId="0" applyNumberFormat="1" applyFont="1" applyFill="1" applyBorder="1" applyAlignment="1" applyProtection="1">
      <alignment horizontal="center"/>
    </xf>
    <xf numFmtId="37" fontId="0" fillId="9" borderId="16" xfId="0" applyNumberFormat="1" applyFill="1" applyBorder="1" applyAlignment="1" applyProtection="1">
      <alignment horizontal="center"/>
    </xf>
    <xf numFmtId="165" fontId="0" fillId="9" borderId="11" xfId="0" applyNumberFormat="1" applyFill="1" applyBorder="1" applyAlignment="1" applyProtection="1">
      <alignment horizontal="center"/>
    </xf>
    <xf numFmtId="37" fontId="8" fillId="10" borderId="58" xfId="0" applyNumberFormat="1" applyFont="1" applyFill="1" applyBorder="1" applyAlignment="1" applyProtection="1">
      <alignment horizontal="center"/>
    </xf>
    <xf numFmtId="5" fontId="8" fillId="10" borderId="60" xfId="0" applyNumberFormat="1" applyFont="1" applyFill="1" applyBorder="1" applyProtection="1"/>
    <xf numFmtId="165" fontId="8" fillId="10" borderId="60" xfId="0" applyNumberFormat="1" applyFont="1" applyFill="1" applyBorder="1" applyAlignment="1" applyProtection="1">
      <alignment horizontal="center"/>
    </xf>
    <xf numFmtId="165" fontId="8" fillId="9" borderId="59" xfId="0" applyNumberFormat="1" applyFont="1" applyFill="1" applyBorder="1" applyAlignment="1" applyProtection="1">
      <alignment horizontal="center"/>
    </xf>
    <xf numFmtId="0" fontId="8" fillId="0" borderId="16" xfId="0" applyFont="1" applyFill="1" applyBorder="1" applyProtection="1"/>
    <xf numFmtId="10" fontId="0" fillId="0" borderId="32" xfId="0" applyNumberFormat="1" applyFill="1" applyBorder="1" applyAlignment="1" applyProtection="1">
      <alignment horizontal="center"/>
    </xf>
    <xf numFmtId="0" fontId="8" fillId="0" borderId="0" xfId="0" applyFont="1" applyFill="1" applyProtection="1"/>
    <xf numFmtId="0" fontId="0" fillId="0" borderId="11" xfId="0" applyFill="1" applyBorder="1" applyAlignment="1" applyProtection="1">
      <alignment horizontal="center"/>
    </xf>
    <xf numFmtId="0" fontId="8" fillId="0" borderId="20" xfId="0" applyFont="1" applyFill="1" applyBorder="1" applyProtection="1"/>
    <xf numFmtId="0" fontId="0" fillId="0" borderId="33" xfId="0" applyFill="1" applyBorder="1" applyAlignment="1" applyProtection="1">
      <alignment horizontal="center"/>
    </xf>
    <xf numFmtId="0" fontId="0" fillId="0" borderId="19" xfId="0" applyFill="1" applyBorder="1" applyProtection="1"/>
    <xf numFmtId="0" fontId="11" fillId="19" borderId="4" xfId="0" applyFont="1" applyFill="1" applyBorder="1" applyAlignment="1" applyProtection="1">
      <alignment horizontal="center" wrapText="1"/>
    </xf>
    <xf numFmtId="9" fontId="11" fillId="19" borderId="41" xfId="0" applyNumberFormat="1" applyFont="1" applyFill="1" applyBorder="1" applyAlignment="1" applyProtection="1">
      <alignment horizontal="center" vertical="top" wrapText="1"/>
    </xf>
    <xf numFmtId="0" fontId="8" fillId="22" borderId="73" xfId="0" applyFont="1" applyFill="1" applyBorder="1" applyAlignment="1" applyProtection="1">
      <alignment vertical="center"/>
    </xf>
    <xf numFmtId="0" fontId="0" fillId="22" borderId="75" xfId="0" applyFill="1" applyBorder="1" applyAlignment="1" applyProtection="1">
      <alignment vertical="center"/>
    </xf>
    <xf numFmtId="0" fontId="0" fillId="22" borderId="74" xfId="0" applyFill="1" applyBorder="1" applyAlignment="1" applyProtection="1">
      <alignment vertical="center"/>
    </xf>
    <xf numFmtId="0" fontId="0" fillId="22" borderId="73" xfId="0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 wrapText="1"/>
    </xf>
    <xf numFmtId="0" fontId="0" fillId="0" borderId="36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5" fontId="0" fillId="0" borderId="62" xfId="0" applyNumberFormat="1" applyFill="1" applyBorder="1" applyAlignment="1" applyProtection="1">
      <alignment vertical="center"/>
    </xf>
    <xf numFmtId="5" fontId="0" fillId="0" borderId="11" xfId="0" applyNumberFormat="1" applyFill="1" applyBorder="1" applyAlignment="1" applyProtection="1">
      <alignment vertical="center"/>
    </xf>
    <xf numFmtId="5" fontId="0" fillId="0" borderId="5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5" fontId="0" fillId="0" borderId="83" xfId="0" applyNumberFormat="1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 wrapText="1"/>
    </xf>
    <xf numFmtId="0" fontId="0" fillId="0" borderId="81" xfId="0" applyFill="1" applyBorder="1" applyAlignment="1" applyProtection="1">
      <alignment horizontal="center" vertical="center"/>
    </xf>
    <xf numFmtId="0" fontId="0" fillId="0" borderId="82" xfId="0" applyFill="1" applyBorder="1" applyAlignment="1" applyProtection="1">
      <alignment horizontal="center" vertical="center"/>
    </xf>
    <xf numFmtId="5" fontId="0" fillId="0" borderId="82" xfId="0" applyNumberFormat="1" applyFill="1" applyBorder="1" applyAlignment="1" applyProtection="1">
      <alignment vertical="center"/>
    </xf>
    <xf numFmtId="5" fontId="0" fillId="0" borderId="51" xfId="0" applyNumberFormat="1" applyFill="1" applyBorder="1" applyAlignment="1" applyProtection="1">
      <alignment vertical="center"/>
    </xf>
    <xf numFmtId="0" fontId="0" fillId="0" borderId="83" xfId="0" applyFill="1" applyBorder="1" applyAlignment="1" applyProtection="1">
      <alignment horizontal="center" vertical="center"/>
    </xf>
    <xf numFmtId="0" fontId="8" fillId="24" borderId="78" xfId="0" applyFont="1" applyFill="1" applyBorder="1" applyAlignment="1" applyProtection="1">
      <alignment vertical="center"/>
    </xf>
    <xf numFmtId="0" fontId="8" fillId="24" borderId="79" xfId="0" applyFont="1" applyFill="1" applyBorder="1" applyAlignment="1" applyProtection="1">
      <alignment vertical="center"/>
    </xf>
    <xf numFmtId="0" fontId="8" fillId="24" borderId="80" xfId="0" applyFont="1" applyFill="1" applyBorder="1" applyAlignment="1" applyProtection="1">
      <alignment vertical="center"/>
    </xf>
    <xf numFmtId="5" fontId="8" fillId="24" borderId="77" xfId="0" applyNumberFormat="1" applyFont="1" applyFill="1" applyBorder="1" applyAlignment="1" applyProtection="1">
      <alignment vertical="center"/>
    </xf>
    <xf numFmtId="5" fontId="8" fillId="24" borderId="57" xfId="0" applyNumberFormat="1" applyFont="1" applyFill="1" applyBorder="1" applyAlignment="1" applyProtection="1">
      <alignment vertical="center"/>
    </xf>
    <xf numFmtId="5" fontId="8" fillId="24" borderId="76" xfId="0" applyNumberFormat="1" applyFont="1" applyFill="1" applyBorder="1" applyAlignment="1" applyProtection="1">
      <alignment vertical="center"/>
    </xf>
    <xf numFmtId="0" fontId="8" fillId="10" borderId="58" xfId="0" applyFont="1" applyFill="1" applyBorder="1" applyProtection="1"/>
    <xf numFmtId="0" fontId="8" fillId="10" borderId="59" xfId="0" applyFont="1" applyFill="1" applyBorder="1" applyProtection="1"/>
    <xf numFmtId="0" fontId="8" fillId="9" borderId="1" xfId="0" applyFont="1" applyFill="1" applyBorder="1" applyProtection="1"/>
    <xf numFmtId="0" fontId="8" fillId="23" borderId="9" xfId="0" applyFont="1" applyFill="1" applyBorder="1" applyAlignment="1" applyProtection="1">
      <alignment horizontal="center" vertical="center" wrapText="1"/>
    </xf>
    <xf numFmtId="0" fontId="8" fillId="23" borderId="18" xfId="0" applyFont="1" applyFill="1" applyBorder="1" applyAlignment="1" applyProtection="1">
      <alignment horizontal="center" vertical="center" wrapText="1"/>
    </xf>
    <xf numFmtId="0" fontId="8" fillId="23" borderId="11" xfId="0" applyFont="1" applyFill="1" applyBorder="1" applyAlignment="1" applyProtection="1">
      <alignment horizontal="center" vertical="center" wrapText="1"/>
    </xf>
    <xf numFmtId="0" fontId="8" fillId="19" borderId="53" xfId="0" applyFont="1" applyFill="1" applyBorder="1" applyAlignment="1" applyProtection="1">
      <alignment horizontal="center" vertical="center" wrapText="1"/>
    </xf>
    <xf numFmtId="0" fontId="8" fillId="19" borderId="11" xfId="0" applyFont="1" applyFill="1" applyBorder="1" applyAlignment="1" applyProtection="1">
      <alignment horizontal="center" vertical="center" wrapText="1"/>
    </xf>
    <xf numFmtId="5" fontId="0" fillId="0" borderId="6" xfId="0" applyNumberFormat="1" applyFill="1" applyBorder="1" applyProtection="1"/>
    <xf numFmtId="165" fontId="0" fillId="0" borderId="3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5" fontId="0" fillId="0" borderId="7" xfId="0" applyNumberFormat="1" applyFill="1" applyBorder="1" applyProtection="1"/>
    <xf numFmtId="165" fontId="0" fillId="0" borderId="7" xfId="0" applyNumberForma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165" fontId="0" fillId="0" borderId="10" xfId="0" applyNumberFormat="1" applyFill="1" applyBorder="1" applyAlignment="1" applyProtection="1">
      <alignment horizontal="center"/>
    </xf>
    <xf numFmtId="165" fontId="8" fillId="0" borderId="46" xfId="0" applyNumberFormat="1" applyFont="1" applyFill="1" applyBorder="1" applyAlignment="1" applyProtection="1">
      <alignment horizontal="center"/>
    </xf>
    <xf numFmtId="165" fontId="8" fillId="0" borderId="68" xfId="0" applyNumberFormat="1" applyFont="1" applyFill="1" applyBorder="1" applyAlignment="1" applyProtection="1">
      <alignment horizontal="center"/>
    </xf>
    <xf numFmtId="0" fontId="8" fillId="9" borderId="42" xfId="0" applyFont="1" applyFill="1" applyBorder="1" applyProtection="1"/>
    <xf numFmtId="165" fontId="0" fillId="9" borderId="10" xfId="0" applyNumberFormat="1" applyFill="1" applyBorder="1" applyAlignment="1" applyProtection="1">
      <alignment horizontal="center"/>
    </xf>
    <xf numFmtId="165" fontId="8" fillId="10" borderId="66" xfId="0" applyNumberFormat="1" applyFont="1" applyFill="1" applyBorder="1" applyAlignment="1" applyProtection="1">
      <alignment horizontal="center"/>
    </xf>
    <xf numFmtId="0" fontId="8" fillId="9" borderId="63" xfId="0" applyFont="1" applyFill="1" applyBorder="1" applyProtection="1"/>
    <xf numFmtId="0" fontId="8" fillId="23" borderId="22" xfId="0" applyFont="1" applyFill="1" applyBorder="1" applyAlignment="1" applyProtection="1">
      <alignment horizontal="center" vertical="center"/>
    </xf>
    <xf numFmtId="0" fontId="8" fillId="23" borderId="24" xfId="0" applyFont="1" applyFill="1" applyBorder="1" applyAlignment="1" applyProtection="1">
      <alignment horizontal="center" vertical="center"/>
    </xf>
    <xf numFmtId="0" fontId="8" fillId="26" borderId="24" xfId="0" applyFont="1" applyFill="1" applyBorder="1" applyAlignment="1" applyProtection="1">
      <alignment horizontal="center" vertical="center"/>
    </xf>
    <xf numFmtId="0" fontId="8" fillId="26" borderId="25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5" fontId="0" fillId="0" borderId="16" xfId="0" applyNumberFormat="1" applyFill="1" applyBorder="1" applyAlignment="1" applyProtection="1">
      <alignment vertical="center"/>
    </xf>
    <xf numFmtId="5" fontId="0" fillId="0" borderId="31" xfId="0" applyNumberFormat="1" applyFill="1" applyBorder="1" applyAlignment="1" applyProtection="1">
      <alignment vertical="center"/>
    </xf>
    <xf numFmtId="5" fontId="8" fillId="0" borderId="16" xfId="0" applyNumberFormat="1" applyFont="1" applyFill="1" applyBorder="1" applyAlignment="1" applyProtection="1">
      <alignment vertical="center"/>
    </xf>
    <xf numFmtId="5" fontId="8" fillId="0" borderId="31" xfId="0" applyNumberFormat="1" applyFont="1" applyFill="1" applyBorder="1" applyAlignment="1" applyProtection="1">
      <alignment vertical="center"/>
    </xf>
    <xf numFmtId="5" fontId="8" fillId="0" borderId="0" xfId="0" applyNumberFormat="1" applyFont="1" applyFill="1" applyAlignment="1" applyProtection="1">
      <alignment vertical="center"/>
    </xf>
    <xf numFmtId="5" fontId="8" fillId="0" borderId="11" xfId="0" applyNumberFormat="1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/>
    </xf>
    <xf numFmtId="5" fontId="0" fillId="0" borderId="20" xfId="0" applyNumberFormat="1" applyFill="1" applyBorder="1" applyAlignment="1" applyProtection="1">
      <alignment vertical="center"/>
    </xf>
    <xf numFmtId="5" fontId="0" fillId="0" borderId="33" xfId="0" applyNumberFormat="1" applyFill="1" applyBorder="1" applyAlignment="1" applyProtection="1">
      <alignment vertical="center"/>
    </xf>
    <xf numFmtId="5" fontId="0" fillId="0" borderId="21" xfId="0" applyNumberFormat="1" applyFill="1" applyBorder="1" applyAlignment="1" applyProtection="1">
      <alignment vertical="center"/>
    </xf>
    <xf numFmtId="5" fontId="0" fillId="0" borderId="19" xfId="0" applyNumberFormat="1" applyFill="1" applyBorder="1" applyAlignment="1" applyProtection="1">
      <alignment vertical="center"/>
    </xf>
    <xf numFmtId="5" fontId="8" fillId="0" borderId="20" xfId="0" applyNumberFormat="1" applyFont="1" applyFill="1" applyBorder="1" applyAlignment="1" applyProtection="1">
      <alignment vertical="center"/>
    </xf>
    <xf numFmtId="5" fontId="8" fillId="0" borderId="33" xfId="0" applyNumberFormat="1" applyFont="1" applyFill="1" applyBorder="1" applyAlignment="1" applyProtection="1">
      <alignment vertical="center"/>
    </xf>
    <xf numFmtId="5" fontId="8" fillId="0" borderId="39" xfId="0" applyNumberFormat="1" applyFont="1" applyFill="1" applyBorder="1" applyAlignment="1" applyProtection="1">
      <alignment vertical="center"/>
    </xf>
    <xf numFmtId="5" fontId="8" fillId="0" borderId="19" xfId="0" applyNumberFormat="1" applyFont="1" applyFill="1" applyBorder="1" applyAlignment="1" applyProtection="1">
      <alignment vertical="center"/>
    </xf>
    <xf numFmtId="0" fontId="8" fillId="9" borderId="63" xfId="0" applyFont="1" applyFill="1" applyBorder="1" applyAlignment="1" applyProtection="1">
      <alignment horizontal="center" vertical="center"/>
    </xf>
    <xf numFmtId="0" fontId="8" fillId="9" borderId="87" xfId="0" applyFont="1" applyFill="1" applyBorder="1" applyAlignment="1" applyProtection="1">
      <alignment horizontal="center" vertical="center"/>
    </xf>
    <xf numFmtId="0" fontId="8" fillId="28" borderId="19" xfId="0" applyFont="1" applyFill="1" applyBorder="1" applyAlignment="1" applyProtection="1">
      <alignment horizontal="center" vertical="center" wrapText="1"/>
    </xf>
    <xf numFmtId="0" fontId="8" fillId="29" borderId="17" xfId="0" applyFont="1" applyFill="1" applyBorder="1" applyAlignment="1" applyProtection="1">
      <alignment horizontal="center" vertical="center" wrapText="1"/>
    </xf>
    <xf numFmtId="0" fontId="8" fillId="29" borderId="18" xfId="0" applyFont="1" applyFill="1" applyBorder="1" applyAlignment="1" applyProtection="1">
      <alignment horizontal="center" vertical="center" wrapText="1"/>
    </xf>
    <xf numFmtId="0" fontId="8" fillId="29" borderId="19" xfId="0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 applyProtection="1">
      <alignment horizontal="center" vertical="center" wrapText="1"/>
    </xf>
    <xf numFmtId="0" fontId="8" fillId="28" borderId="18" xfId="0" applyFont="1" applyFill="1" applyBorder="1" applyAlignment="1" applyProtection="1">
      <alignment horizontal="center" vertical="center" wrapText="1"/>
    </xf>
    <xf numFmtId="0" fontId="8" fillId="24" borderId="22" xfId="0" applyFont="1" applyFill="1" applyBorder="1" applyAlignment="1" applyProtection="1">
      <alignment horizontal="center" vertical="center" wrapText="1"/>
    </xf>
    <xf numFmtId="0" fontId="8" fillId="24" borderId="21" xfId="0" applyFont="1" applyFill="1" applyBorder="1" applyAlignment="1" applyProtection="1">
      <alignment horizontal="center" vertical="center" wrapText="1"/>
    </xf>
    <xf numFmtId="0" fontId="8" fillId="9" borderId="5" xfId="0" applyFont="1" applyFill="1" applyBorder="1" applyAlignment="1" applyProtection="1">
      <alignment horizontal="center" vertical="center" wrapText="1"/>
    </xf>
    <xf numFmtId="0" fontId="8" fillId="24" borderId="19" xfId="0" applyFont="1" applyFill="1" applyBorder="1" applyAlignment="1" applyProtection="1">
      <alignment horizontal="center" vertical="center" wrapText="1"/>
    </xf>
    <xf numFmtId="0" fontId="0" fillId="22" borderId="87" xfId="0" applyFill="1" applyBorder="1" applyAlignment="1" applyProtection="1">
      <alignment vertical="center"/>
    </xf>
    <xf numFmtId="0" fontId="0" fillId="9" borderId="87" xfId="0" applyFill="1" applyBorder="1" applyAlignment="1" applyProtection="1">
      <alignment vertical="center"/>
    </xf>
    <xf numFmtId="0" fontId="0" fillId="0" borderId="84" xfId="0" applyFill="1" applyBorder="1" applyAlignment="1" applyProtection="1">
      <alignment horizontal="left" vertical="center" wrapText="1" indent="2"/>
    </xf>
    <xf numFmtId="5" fontId="0" fillId="0" borderId="89" xfId="0" applyNumberFormat="1" applyFill="1" applyBorder="1" applyAlignment="1" applyProtection="1">
      <alignment vertical="center"/>
    </xf>
    <xf numFmtId="165" fontId="0" fillId="0" borderId="93" xfId="0" applyNumberFormat="1" applyFill="1" applyBorder="1" applyAlignment="1" applyProtection="1">
      <alignment horizontal="center" vertical="center"/>
    </xf>
    <xf numFmtId="165" fontId="0" fillId="0" borderId="52" xfId="0" applyNumberFormat="1" applyFill="1" applyBorder="1" applyAlignment="1" applyProtection="1">
      <alignment horizontal="center" vertical="center"/>
    </xf>
    <xf numFmtId="0" fontId="0" fillId="0" borderId="85" xfId="0" applyFill="1" applyBorder="1" applyAlignment="1" applyProtection="1">
      <alignment horizontal="left" vertical="center" wrapText="1" indent="2"/>
    </xf>
    <xf numFmtId="5" fontId="0" fillId="0" borderId="90" xfId="0" applyNumberFormat="1" applyFill="1" applyBorder="1" applyAlignment="1" applyProtection="1">
      <alignment vertical="center"/>
    </xf>
    <xf numFmtId="5" fontId="0" fillId="0" borderId="86" xfId="0" applyNumberFormat="1" applyFill="1" applyBorder="1" applyAlignment="1" applyProtection="1">
      <alignment vertical="center"/>
    </xf>
    <xf numFmtId="5" fontId="0" fillId="9" borderId="90" xfId="0" applyNumberFormat="1" applyFill="1" applyBorder="1" applyAlignment="1" applyProtection="1">
      <alignment vertical="center"/>
    </xf>
    <xf numFmtId="5" fontId="8" fillId="24" borderId="56" xfId="0" applyNumberFormat="1" applyFont="1" applyFill="1" applyBorder="1" applyAlignment="1" applyProtection="1">
      <alignment vertical="center"/>
    </xf>
    <xf numFmtId="5" fontId="8" fillId="24" borderId="79" xfId="0" applyNumberFormat="1" applyFont="1" applyFill="1" applyBorder="1" applyAlignment="1" applyProtection="1">
      <alignment vertical="center"/>
    </xf>
    <xf numFmtId="165" fontId="8" fillId="24" borderId="88" xfId="0" applyNumberFormat="1" applyFont="1" applyFill="1" applyBorder="1" applyAlignment="1" applyProtection="1">
      <alignment horizontal="center" vertical="center"/>
    </xf>
    <xf numFmtId="165" fontId="8" fillId="24" borderId="94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8" fillId="10" borderId="78" xfId="0" applyFont="1" applyFill="1" applyBorder="1" applyAlignment="1" applyProtection="1">
      <alignment vertical="center"/>
    </xf>
    <xf numFmtId="5" fontId="8" fillId="10" borderId="56" xfId="0" applyNumberFormat="1" applyFont="1" applyFill="1" applyBorder="1" applyAlignment="1" applyProtection="1">
      <alignment vertical="center"/>
    </xf>
    <xf numFmtId="5" fontId="8" fillId="10" borderId="78" xfId="0" applyNumberFormat="1" applyFont="1" applyFill="1" applyBorder="1" applyAlignment="1" applyProtection="1">
      <alignment vertical="center"/>
    </xf>
    <xf numFmtId="5" fontId="8" fillId="10" borderId="76" xfId="0" applyNumberFormat="1" applyFont="1" applyFill="1" applyBorder="1" applyAlignment="1" applyProtection="1">
      <alignment vertical="center"/>
    </xf>
    <xf numFmtId="5" fontId="8" fillId="10" borderId="77" xfId="0" applyNumberFormat="1" applyFont="1" applyFill="1" applyBorder="1" applyAlignment="1" applyProtection="1">
      <alignment vertical="center"/>
    </xf>
    <xf numFmtId="165" fontId="8" fillId="10" borderId="57" xfId="0" applyNumberFormat="1" applyFont="1" applyFill="1" applyBorder="1" applyAlignment="1" applyProtection="1">
      <alignment horizontal="center" vertical="center"/>
    </xf>
    <xf numFmtId="165" fontId="8" fillId="10" borderId="94" xfId="0" applyNumberFormat="1" applyFont="1" applyFill="1" applyBorder="1" applyAlignment="1" applyProtection="1">
      <alignment horizontal="center" vertical="center"/>
    </xf>
    <xf numFmtId="5" fontId="8" fillId="10" borderId="76" xfId="0" applyNumberFormat="1" applyFont="1" applyFill="1" applyBorder="1" applyProtection="1"/>
    <xf numFmtId="165" fontId="8" fillId="10" borderId="88" xfId="0" applyNumberFormat="1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vertical="center"/>
    </xf>
    <xf numFmtId="5" fontId="8" fillId="10" borderId="8" xfId="0" applyNumberFormat="1" applyFont="1" applyFill="1" applyBorder="1" applyAlignment="1" applyProtection="1">
      <alignment vertical="center"/>
    </xf>
    <xf numFmtId="5" fontId="8" fillId="10" borderId="9" xfId="0" applyNumberFormat="1" applyFont="1" applyFill="1" applyBorder="1" applyAlignment="1" applyProtection="1">
      <alignment vertical="center"/>
    </xf>
    <xf numFmtId="5" fontId="8" fillId="10" borderId="10" xfId="0" applyNumberFormat="1" applyFont="1" applyFill="1" applyBorder="1" applyAlignment="1" applyProtection="1">
      <alignment vertical="center"/>
    </xf>
    <xf numFmtId="165" fontId="8" fillId="10" borderId="11" xfId="0" applyNumberFormat="1" applyFont="1" applyFill="1" applyBorder="1" applyAlignment="1" applyProtection="1">
      <alignment horizontal="center" vertical="center"/>
    </xf>
    <xf numFmtId="165" fontId="8" fillId="10" borderId="95" xfId="0" applyNumberFormat="1" applyFont="1" applyFill="1" applyBorder="1" applyAlignment="1" applyProtection="1">
      <alignment horizontal="center" vertical="center"/>
    </xf>
    <xf numFmtId="5" fontId="8" fillId="9" borderId="8" xfId="0" applyNumberFormat="1" applyFont="1" applyFill="1" applyBorder="1" applyAlignment="1" applyProtection="1">
      <alignment vertical="center"/>
    </xf>
    <xf numFmtId="165" fontId="8" fillId="10" borderId="96" xfId="0" applyNumberFormat="1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vertical="center"/>
    </xf>
    <xf numFmtId="5" fontId="8" fillId="10" borderId="1" xfId="0" applyNumberFormat="1" applyFont="1" applyFill="1" applyBorder="1" applyAlignment="1" applyProtection="1">
      <alignment vertical="center"/>
    </xf>
    <xf numFmtId="5" fontId="8" fillId="10" borderId="4" xfId="0" applyNumberFormat="1" applyFont="1" applyFill="1" applyBorder="1" applyAlignment="1" applyProtection="1">
      <alignment vertical="center"/>
    </xf>
    <xf numFmtId="5" fontId="8" fillId="10" borderId="6" xfId="0" applyNumberFormat="1" applyFont="1" applyFill="1" applyBorder="1" applyAlignment="1" applyProtection="1">
      <alignment vertical="center"/>
    </xf>
    <xf numFmtId="5" fontId="8" fillId="10" borderId="32" xfId="0" applyNumberFormat="1" applyFont="1" applyFill="1" applyBorder="1" applyAlignment="1" applyProtection="1">
      <alignment vertical="center"/>
    </xf>
    <xf numFmtId="165" fontId="8" fillId="10" borderId="91" xfId="0" applyNumberFormat="1" applyFont="1" applyFill="1" applyBorder="1" applyAlignment="1" applyProtection="1">
      <alignment horizontal="center" vertical="center"/>
    </xf>
    <xf numFmtId="5" fontId="8" fillId="10" borderId="7" xfId="0" applyNumberFormat="1" applyFont="1" applyFill="1" applyBorder="1" applyAlignment="1" applyProtection="1">
      <alignment vertical="center"/>
    </xf>
    <xf numFmtId="165" fontId="8" fillId="10" borderId="4" xfId="0" applyNumberFormat="1" applyFont="1" applyFill="1" applyBorder="1" applyAlignment="1" applyProtection="1">
      <alignment horizontal="center" vertical="center"/>
    </xf>
    <xf numFmtId="165" fontId="8" fillId="10" borderId="3" xfId="0" applyNumberFormat="1" applyFont="1" applyFill="1" applyBorder="1" applyAlignment="1" applyProtection="1">
      <alignment horizontal="center" vertical="center"/>
    </xf>
    <xf numFmtId="0" fontId="8" fillId="9" borderId="59" xfId="0" applyFont="1" applyFill="1" applyBorder="1" applyAlignment="1" applyProtection="1">
      <alignment horizontal="center" vertical="center"/>
    </xf>
    <xf numFmtId="0" fontId="8" fillId="29" borderId="9" xfId="0" applyFont="1" applyFill="1" applyBorder="1" applyAlignment="1" applyProtection="1">
      <alignment horizontal="center" wrapText="1"/>
    </xf>
    <xf numFmtId="0" fontId="8" fillId="9" borderId="0" xfId="0" applyFont="1" applyFill="1" applyAlignment="1" applyProtection="1">
      <alignment horizontal="center" vertical="center" wrapText="1"/>
    </xf>
    <xf numFmtId="5" fontId="8" fillId="29" borderId="17" xfId="0" applyNumberFormat="1" applyFont="1" applyFill="1" applyBorder="1" applyAlignment="1" applyProtection="1">
      <alignment horizontal="center" vertical="top"/>
    </xf>
    <xf numFmtId="0" fontId="8" fillId="9" borderId="21" xfId="0" applyFont="1" applyFill="1" applyBorder="1" applyAlignment="1" applyProtection="1">
      <alignment horizontal="center" vertical="center"/>
    </xf>
    <xf numFmtId="3" fontId="8" fillId="0" borderId="42" xfId="0" applyNumberFormat="1" applyFont="1" applyFill="1" applyBorder="1" applyAlignment="1" applyProtection="1">
      <alignment horizontal="center"/>
    </xf>
    <xf numFmtId="3" fontId="0" fillId="9" borderId="8" xfId="0" applyNumberFormat="1" applyFill="1" applyBorder="1" applyAlignment="1" applyProtection="1">
      <alignment horizontal="center"/>
    </xf>
    <xf numFmtId="3" fontId="8" fillId="10" borderId="63" xfId="0" applyNumberFormat="1" applyFont="1" applyFill="1" applyBorder="1" applyAlignment="1" applyProtection="1">
      <alignment horizontal="center"/>
    </xf>
    <xf numFmtId="0" fontId="8" fillId="9" borderId="60" xfId="0" applyFont="1" applyFill="1" applyBorder="1" applyAlignment="1" applyProtection="1">
      <alignment horizontal="center" vertical="center"/>
    </xf>
    <xf numFmtId="0" fontId="8" fillId="9" borderId="74" xfId="0" applyFont="1" applyFill="1" applyBorder="1" applyAlignment="1" applyProtection="1">
      <alignment horizontal="center" vertical="center"/>
    </xf>
    <xf numFmtId="0" fontId="8" fillId="28" borderId="33" xfId="0" applyFont="1" applyFill="1" applyBorder="1" applyAlignment="1" applyProtection="1">
      <alignment horizontal="center" vertical="center" wrapText="1"/>
    </xf>
    <xf numFmtId="0" fontId="8" fillId="9" borderId="19" xfId="0" applyFont="1" applyFill="1" applyBorder="1" applyAlignment="1" applyProtection="1">
      <alignment horizontal="center" vertical="center" wrapText="1"/>
    </xf>
    <xf numFmtId="5" fontId="0" fillId="0" borderId="0" xfId="0" applyNumberFormat="1" applyFill="1" applyProtection="1"/>
    <xf numFmtId="5" fontId="8" fillId="0" borderId="45" xfId="0" applyNumberFormat="1" applyFont="1" applyFill="1" applyBorder="1" applyProtection="1"/>
    <xf numFmtId="5" fontId="0" fillId="9" borderId="0" xfId="0" applyNumberFormat="1" applyFill="1" applyProtection="1"/>
    <xf numFmtId="0" fontId="8" fillId="0" borderId="78" xfId="0" applyFont="1" applyFill="1" applyBorder="1" applyProtection="1"/>
    <xf numFmtId="5" fontId="8" fillId="0" borderId="56" xfId="0" applyNumberFormat="1" applyFont="1" applyFill="1" applyBorder="1" applyProtection="1"/>
    <xf numFmtId="5" fontId="8" fillId="0" borderId="57" xfId="0" applyNumberFormat="1" applyFont="1" applyFill="1" applyBorder="1" applyProtection="1"/>
    <xf numFmtId="5" fontId="8" fillId="0" borderId="79" xfId="0" applyNumberFormat="1" applyFont="1" applyFill="1" applyBorder="1" applyProtection="1"/>
    <xf numFmtId="5" fontId="8" fillId="0" borderId="76" xfId="0" applyNumberFormat="1" applyFont="1" applyFill="1" applyBorder="1" applyProtection="1"/>
    <xf numFmtId="165" fontId="8" fillId="0" borderId="88" xfId="0" applyNumberFormat="1" applyFont="1" applyFill="1" applyBorder="1" applyAlignment="1" applyProtection="1">
      <alignment horizontal="center"/>
    </xf>
    <xf numFmtId="5" fontId="8" fillId="10" borderId="59" xfId="0" applyNumberFormat="1" applyFont="1" applyFill="1" applyBorder="1" applyProtection="1"/>
    <xf numFmtId="5" fontId="8" fillId="10" borderId="58" xfId="0" applyNumberFormat="1" applyFont="1" applyFill="1" applyBorder="1" applyProtection="1"/>
    <xf numFmtId="0" fontId="8" fillId="29" borderId="9" xfId="0" applyFont="1" applyFill="1" applyBorder="1" applyAlignment="1" applyProtection="1">
      <alignment horizontal="center"/>
    </xf>
    <xf numFmtId="0" fontId="8" fillId="29" borderId="7" xfId="0" applyFont="1" applyFill="1" applyBorder="1" applyAlignment="1" applyProtection="1">
      <alignment horizontal="center"/>
    </xf>
    <xf numFmtId="165" fontId="8" fillId="29" borderId="17" xfId="0" applyNumberFormat="1" applyFont="1" applyFill="1" applyBorder="1" applyAlignment="1" applyProtection="1">
      <alignment horizontal="center" vertical="top"/>
    </xf>
    <xf numFmtId="165" fontId="8" fillId="29" borderId="18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center"/>
    </xf>
    <xf numFmtId="1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3" fontId="0" fillId="0" borderId="0" xfId="0" applyNumberFormat="1" applyFill="1" applyAlignment="1" applyProtection="1">
      <alignment vertical="center"/>
    </xf>
    <xf numFmtId="5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65" fontId="0" fillId="0" borderId="0" xfId="0" applyNumberForma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8" fillId="10" borderId="1" xfId="0" applyFont="1" applyFill="1" applyBorder="1" applyAlignment="1" applyProtection="1">
      <alignment horizontal="center" vertical="center" wrapText="1"/>
    </xf>
    <xf numFmtId="0" fontId="8" fillId="10" borderId="5" xfId="0" applyFont="1" applyFill="1" applyBorder="1" applyAlignment="1" applyProtection="1">
      <alignment horizontal="center" vertical="center" wrapText="1"/>
    </xf>
    <xf numFmtId="0" fontId="8" fillId="18" borderId="2" xfId="0" applyFont="1" applyFill="1" applyBorder="1" applyAlignment="1" applyProtection="1">
      <alignment horizontal="center" vertical="center"/>
    </xf>
    <xf numFmtId="0" fontId="8" fillId="18" borderId="3" xfId="0" applyFont="1" applyFill="1" applyBorder="1" applyAlignment="1" applyProtection="1">
      <alignment horizontal="center" vertical="center"/>
    </xf>
    <xf numFmtId="0" fontId="8" fillId="18" borderId="4" xfId="0" applyFont="1" applyFill="1" applyBorder="1" applyAlignment="1" applyProtection="1">
      <alignment horizontal="center" vertical="center"/>
    </xf>
    <xf numFmtId="0" fontId="8" fillId="10" borderId="8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8" fillId="18" borderId="59" xfId="0" applyFont="1" applyFill="1" applyBorder="1" applyAlignment="1" applyProtection="1">
      <alignment horizontal="center" vertical="center"/>
    </xf>
    <xf numFmtId="0" fontId="8" fillId="18" borderId="6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wrapText="1"/>
    </xf>
    <xf numFmtId="164" fontId="1" fillId="3" borderId="3" xfId="0" applyNumberFormat="1" applyFont="1" applyFill="1" applyBorder="1" applyAlignment="1" applyProtection="1">
      <alignment horizontal="center" wrapText="1"/>
    </xf>
    <xf numFmtId="164" fontId="1" fillId="3" borderId="4" xfId="0" applyNumberFormat="1" applyFont="1" applyFill="1" applyBorder="1" applyAlignment="1" applyProtection="1">
      <alignment horizontal="center" wrapText="1"/>
    </xf>
    <xf numFmtId="164" fontId="1" fillId="4" borderId="2" xfId="0" applyNumberFormat="1" applyFont="1" applyFill="1" applyBorder="1" applyAlignment="1" applyProtection="1">
      <alignment horizontal="center" wrapText="1"/>
    </xf>
    <xf numFmtId="164" fontId="1" fillId="4" borderId="3" xfId="0" applyNumberFormat="1" applyFont="1" applyFill="1" applyBorder="1" applyAlignment="1" applyProtection="1">
      <alignment horizontal="center" wrapText="1"/>
    </xf>
    <xf numFmtId="164" fontId="1" fillId="4" borderId="4" xfId="0" applyNumberFormat="1" applyFont="1" applyFill="1" applyBorder="1" applyAlignment="1" applyProtection="1">
      <alignment horizontal="center" wrapText="1"/>
    </xf>
    <xf numFmtId="164" fontId="1" fillId="2" borderId="2" xfId="0" applyNumberFormat="1" applyFont="1" applyFill="1" applyBorder="1" applyAlignment="1" applyProtection="1">
      <alignment horizontal="center" wrapText="1"/>
    </xf>
    <xf numFmtId="164" fontId="1" fillId="2" borderId="3" xfId="0" applyNumberFormat="1" applyFont="1" applyFill="1" applyBorder="1" applyAlignment="1" applyProtection="1">
      <alignment horizontal="center" wrapText="1"/>
    </xf>
    <xf numFmtId="164" fontId="1" fillId="2" borderId="4" xfId="0" applyNumberFormat="1" applyFont="1" applyFill="1" applyBorder="1" applyAlignment="1" applyProtection="1">
      <alignment horizontal="center" wrapText="1"/>
    </xf>
    <xf numFmtId="164" fontId="1" fillId="5" borderId="2" xfId="0" applyNumberFormat="1" applyFont="1" applyFill="1" applyBorder="1" applyAlignment="1" applyProtection="1">
      <alignment horizontal="center" wrapText="1"/>
    </xf>
    <xf numFmtId="164" fontId="1" fillId="5" borderId="3" xfId="0" applyNumberFormat="1" applyFont="1" applyFill="1" applyBorder="1" applyAlignment="1" applyProtection="1">
      <alignment horizontal="center" wrapText="1"/>
    </xf>
    <xf numFmtId="164" fontId="1" fillId="5" borderId="4" xfId="0" applyNumberFormat="1" applyFont="1" applyFill="1" applyBorder="1" applyAlignment="1" applyProtection="1">
      <alignment horizontal="center" wrapText="1"/>
    </xf>
    <xf numFmtId="164" fontId="3" fillId="3" borderId="14" xfId="0" applyNumberFormat="1" applyFont="1" applyFill="1" applyBorder="1" applyAlignment="1" applyProtection="1">
      <alignment horizontal="center" wrapText="1"/>
    </xf>
    <xf numFmtId="164" fontId="3" fillId="3" borderId="12" xfId="0" applyNumberFormat="1" applyFont="1" applyFill="1" applyBorder="1" applyAlignment="1" applyProtection="1">
      <alignment horizontal="center" wrapText="1"/>
    </xf>
    <xf numFmtId="164" fontId="3" fillId="3" borderId="13" xfId="0" applyNumberFormat="1" applyFont="1" applyFill="1" applyBorder="1" applyAlignment="1" applyProtection="1">
      <alignment horizontal="center" wrapText="1"/>
    </xf>
    <xf numFmtId="164" fontId="3" fillId="4" borderId="14" xfId="0" applyNumberFormat="1" applyFont="1" applyFill="1" applyBorder="1" applyAlignment="1" applyProtection="1">
      <alignment horizontal="center" wrapText="1"/>
    </xf>
    <xf numFmtId="164" fontId="3" fillId="4" borderId="12" xfId="0" applyNumberFormat="1" applyFont="1" applyFill="1" applyBorder="1" applyAlignment="1" applyProtection="1">
      <alignment horizontal="center" wrapText="1"/>
    </xf>
    <xf numFmtId="164" fontId="3" fillId="4" borderId="13" xfId="0" applyNumberFormat="1" applyFont="1" applyFill="1" applyBorder="1" applyAlignment="1" applyProtection="1">
      <alignment horizontal="center" wrapText="1"/>
    </xf>
    <xf numFmtId="164" fontId="3" fillId="2" borderId="14" xfId="0" applyNumberFormat="1" applyFont="1" applyFill="1" applyBorder="1" applyAlignment="1" applyProtection="1">
      <alignment horizontal="center" wrapText="1"/>
    </xf>
    <xf numFmtId="164" fontId="3" fillId="2" borderId="12" xfId="0" applyNumberFormat="1" applyFont="1" applyFill="1" applyBorder="1" applyAlignment="1" applyProtection="1">
      <alignment horizontal="center" wrapText="1"/>
    </xf>
    <xf numFmtId="164" fontId="3" fillId="2" borderId="13" xfId="0" applyNumberFormat="1" applyFont="1" applyFill="1" applyBorder="1" applyAlignment="1" applyProtection="1">
      <alignment horizontal="center" wrapText="1"/>
    </xf>
    <xf numFmtId="164" fontId="3" fillId="5" borderId="14" xfId="0" applyNumberFormat="1" applyFont="1" applyFill="1" applyBorder="1" applyAlignment="1" applyProtection="1">
      <alignment horizontal="center" wrapText="1"/>
    </xf>
    <xf numFmtId="164" fontId="3" fillId="5" borderId="12" xfId="0" applyNumberFormat="1" applyFont="1" applyFill="1" applyBorder="1" applyAlignment="1" applyProtection="1">
      <alignment horizontal="center" wrapText="1"/>
    </xf>
    <xf numFmtId="164" fontId="3" fillId="5" borderId="13" xfId="0" applyNumberFormat="1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horizontal="center" wrapText="1"/>
    </xf>
    <xf numFmtId="164" fontId="2" fillId="6" borderId="30" xfId="0" applyNumberFormat="1" applyFont="1" applyFill="1" applyBorder="1" applyAlignment="1" applyProtection="1">
      <alignment horizontal="center"/>
    </xf>
    <xf numFmtId="164" fontId="2" fillId="6" borderId="29" xfId="0" applyNumberFormat="1" applyFont="1" applyFill="1" applyBorder="1" applyAlignment="1" applyProtection="1">
      <alignment horizontal="center"/>
    </xf>
    <xf numFmtId="164" fontId="2" fillId="6" borderId="23" xfId="0" applyNumberFormat="1" applyFont="1" applyFill="1" applyBorder="1" applyAlignment="1" applyProtection="1">
      <alignment horizontal="center"/>
    </xf>
    <xf numFmtId="164" fontId="2" fillId="6" borderId="26" xfId="0" applyNumberFormat="1" applyFont="1" applyFill="1" applyBorder="1" applyAlignment="1" applyProtection="1">
      <alignment horizontal="center"/>
    </xf>
    <xf numFmtId="164" fontId="2" fillId="7" borderId="28" xfId="0" applyNumberFormat="1" applyFont="1" applyFill="1" applyBorder="1" applyAlignment="1" applyProtection="1">
      <alignment horizontal="center"/>
    </xf>
    <xf numFmtId="164" fontId="2" fillId="7" borderId="29" xfId="0" applyNumberFormat="1" applyFont="1" applyFill="1" applyBorder="1" applyAlignment="1" applyProtection="1">
      <alignment horizontal="center"/>
    </xf>
    <xf numFmtId="164" fontId="3" fillId="6" borderId="14" xfId="0" applyNumberFormat="1" applyFont="1" applyFill="1" applyBorder="1" applyAlignment="1" applyProtection="1">
      <alignment horizontal="center" wrapText="1"/>
    </xf>
    <xf numFmtId="164" fontId="3" fillId="6" borderId="12" xfId="0" applyNumberFormat="1" applyFont="1" applyFill="1" applyBorder="1" applyAlignment="1" applyProtection="1">
      <alignment horizontal="center" wrapText="1"/>
    </xf>
    <xf numFmtId="164" fontId="3" fillId="6" borderId="13" xfId="0" applyNumberFormat="1" applyFont="1" applyFill="1" applyBorder="1" applyAlignment="1" applyProtection="1">
      <alignment horizontal="center" wrapText="1"/>
    </xf>
    <xf numFmtId="0" fontId="3" fillId="7" borderId="14" xfId="0" applyFont="1" applyFill="1" applyBorder="1" applyAlignment="1" applyProtection="1">
      <alignment horizontal="center" wrapText="1"/>
    </xf>
    <xf numFmtId="0" fontId="3" fillId="7" borderId="12" xfId="0" applyFont="1" applyFill="1" applyBorder="1" applyAlignment="1" applyProtection="1">
      <alignment horizontal="center" wrapText="1"/>
    </xf>
    <xf numFmtId="0" fontId="3" fillId="7" borderId="13" xfId="0" applyFont="1" applyFill="1" applyBorder="1" applyAlignment="1" applyProtection="1">
      <alignment horizontal="center" wrapText="1"/>
    </xf>
    <xf numFmtId="164" fontId="1" fillId="6" borderId="2" xfId="0" applyNumberFormat="1" applyFont="1" applyFill="1" applyBorder="1" applyAlignment="1" applyProtection="1">
      <alignment horizontal="center" wrapText="1"/>
    </xf>
    <xf numFmtId="164" fontId="1" fillId="6" borderId="3" xfId="0" applyNumberFormat="1" applyFont="1" applyFill="1" applyBorder="1" applyAlignment="1" applyProtection="1">
      <alignment horizontal="center" wrapText="1"/>
    </xf>
    <xf numFmtId="164" fontId="1" fillId="6" borderId="4" xfId="0" applyNumberFormat="1" applyFont="1" applyFill="1" applyBorder="1" applyAlignment="1" applyProtection="1">
      <alignment horizontal="center" wrapText="1"/>
    </xf>
    <xf numFmtId="5" fontId="8" fillId="10" borderId="58" xfId="0" applyNumberFormat="1" applyFont="1" applyFill="1" applyBorder="1" applyAlignment="1" applyProtection="1">
      <alignment horizontal="center"/>
    </xf>
    <xf numFmtId="0" fontId="8" fillId="10" borderId="59" xfId="0" applyFont="1" applyFill="1" applyBorder="1" applyAlignment="1" applyProtection="1">
      <alignment horizontal="center"/>
    </xf>
    <xf numFmtId="0" fontId="8" fillId="10" borderId="60" xfId="0" applyFont="1" applyFill="1" applyBorder="1" applyAlignment="1" applyProtection="1">
      <alignment horizontal="center"/>
    </xf>
    <xf numFmtId="0" fontId="8" fillId="10" borderId="58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</xf>
    <xf numFmtId="0" fontId="6" fillId="18" borderId="16" xfId="0" applyFont="1" applyFill="1" applyBorder="1" applyAlignment="1" applyProtection="1">
      <alignment horizontal="center"/>
    </xf>
    <xf numFmtId="0" fontId="6" fillId="18" borderId="0" xfId="0" applyFont="1" applyFill="1" applyAlignment="1" applyProtection="1">
      <alignment horizontal="center"/>
    </xf>
    <xf numFmtId="0" fontId="6" fillId="18" borderId="11" xfId="0" applyFont="1" applyFill="1" applyBorder="1" applyAlignment="1" applyProtection="1">
      <alignment horizontal="center"/>
    </xf>
    <xf numFmtId="0" fontId="8" fillId="10" borderId="53" xfId="0" applyFont="1" applyFill="1" applyBorder="1" applyAlignment="1" applyProtection="1">
      <alignment horizontal="center" vertical="center" wrapText="1"/>
    </xf>
    <xf numFmtId="0" fontId="8" fillId="10" borderId="17" xfId="0" applyFont="1" applyFill="1" applyBorder="1" applyAlignment="1" applyProtection="1">
      <alignment horizontal="center" vertical="center" wrapText="1"/>
    </xf>
    <xf numFmtId="0" fontId="8" fillId="10" borderId="62" xfId="0" applyFont="1" applyFill="1" applyBorder="1" applyAlignment="1" applyProtection="1">
      <alignment horizontal="center" vertical="center" wrapText="1"/>
    </xf>
    <xf numFmtId="0" fontId="8" fillId="10" borderId="18" xfId="0" applyFont="1" applyFill="1" applyBorder="1" applyAlignment="1" applyProtection="1">
      <alignment horizontal="center" vertical="center" wrapText="1"/>
    </xf>
    <xf numFmtId="0" fontId="8" fillId="18" borderId="2" xfId="0" applyFont="1" applyFill="1" applyBorder="1" applyAlignment="1" applyProtection="1">
      <alignment horizontal="center"/>
    </xf>
    <xf numFmtId="0" fontId="8" fillId="18" borderId="3" xfId="0" applyFont="1" applyFill="1" applyBorder="1" applyAlignment="1" applyProtection="1">
      <alignment horizontal="center"/>
    </xf>
    <xf numFmtId="0" fontId="8" fillId="18" borderId="4" xfId="0" applyFont="1" applyFill="1" applyBorder="1" applyAlignment="1" applyProtection="1">
      <alignment horizontal="center"/>
    </xf>
    <xf numFmtId="165" fontId="0" fillId="18" borderId="20" xfId="0" applyNumberFormat="1" applyFill="1" applyBorder="1" applyAlignment="1" applyProtection="1">
      <alignment horizontal="center" vertical="center"/>
    </xf>
    <xf numFmtId="165" fontId="0" fillId="18" borderId="21" xfId="0" applyNumberFormat="1" applyFill="1" applyBorder="1" applyAlignment="1" applyProtection="1">
      <alignment horizontal="center" vertical="center"/>
    </xf>
    <xf numFmtId="165" fontId="0" fillId="18" borderId="19" xfId="0" applyNumberFormat="1" applyFill="1" applyBorder="1" applyAlignment="1" applyProtection="1">
      <alignment horizontal="center" vertical="center"/>
    </xf>
    <xf numFmtId="0" fontId="8" fillId="10" borderId="61" xfId="0" applyFont="1" applyFill="1" applyBorder="1" applyAlignment="1" applyProtection="1">
      <alignment horizontal="center" vertical="center" wrapText="1"/>
    </xf>
    <xf numFmtId="0" fontId="8" fillId="10" borderId="19" xfId="0" applyFont="1" applyFill="1" applyBorder="1" applyAlignment="1" applyProtection="1">
      <alignment horizontal="center" vertical="center" wrapText="1"/>
    </xf>
    <xf numFmtId="164" fontId="2" fillId="3" borderId="40" xfId="0" applyNumberFormat="1" applyFont="1" applyFill="1" applyBorder="1" applyAlignment="1" applyProtection="1">
      <alignment horizontal="center" vertical="center"/>
    </xf>
    <xf numFmtId="164" fontId="2" fillId="3" borderId="41" xfId="0" applyNumberFormat="1" applyFont="1" applyFill="1" applyBorder="1" applyAlignment="1" applyProtection="1">
      <alignment horizontal="center" vertical="center"/>
    </xf>
    <xf numFmtId="0" fontId="1" fillId="18" borderId="1" xfId="0" applyFont="1" applyFill="1" applyBorder="1" applyAlignment="1" applyProtection="1">
      <alignment horizontal="center" vertical="center" wrapText="1"/>
    </xf>
    <xf numFmtId="0" fontId="1" fillId="18" borderId="8" xfId="0" applyFont="1" applyFill="1" applyBorder="1" applyAlignment="1" applyProtection="1">
      <alignment horizontal="center" vertical="center" wrapText="1"/>
    </xf>
    <xf numFmtId="164" fontId="2" fillId="4" borderId="38" xfId="0" applyNumberFormat="1" applyFont="1" applyFill="1" applyBorder="1" applyAlignment="1" applyProtection="1">
      <alignment horizontal="center"/>
    </xf>
    <xf numFmtId="164" fontId="2" fillId="4" borderId="36" xfId="0" applyNumberFormat="1" applyFont="1" applyFill="1" applyBorder="1" applyAlignment="1" applyProtection="1">
      <alignment horizontal="center"/>
    </xf>
    <xf numFmtId="164" fontId="2" fillId="4" borderId="37" xfId="0" applyNumberFormat="1" applyFont="1" applyFill="1" applyBorder="1" applyAlignment="1" applyProtection="1">
      <alignment horizontal="center"/>
    </xf>
    <xf numFmtId="165" fontId="10" fillId="10" borderId="22" xfId="0" applyNumberFormat="1" applyFont="1" applyFill="1" applyBorder="1" applyAlignment="1" applyProtection="1">
      <alignment horizontal="center" vertical="center"/>
    </xf>
    <xf numFmtId="165" fontId="10" fillId="10" borderId="24" xfId="0" applyNumberFormat="1" applyFont="1" applyFill="1" applyBorder="1" applyAlignment="1" applyProtection="1">
      <alignment horizontal="center" vertical="center"/>
    </xf>
    <xf numFmtId="5" fontId="2" fillId="3" borderId="34" xfId="0" applyNumberFormat="1" applyFont="1" applyFill="1" applyBorder="1" applyAlignment="1" applyProtection="1">
      <alignment horizontal="center"/>
    </xf>
    <xf numFmtId="5" fontId="2" fillId="3" borderId="31" xfId="0" applyNumberFormat="1" applyFont="1" applyFill="1" applyBorder="1" applyAlignment="1" applyProtection="1">
      <alignment horizontal="center"/>
    </xf>
    <xf numFmtId="164" fontId="2" fillId="3" borderId="37" xfId="0" applyNumberFormat="1" applyFont="1" applyFill="1" applyBorder="1" applyAlignment="1" applyProtection="1">
      <alignment horizontal="center"/>
    </xf>
    <xf numFmtId="164" fontId="2" fillId="3" borderId="36" xfId="0" applyNumberFormat="1" applyFont="1" applyFill="1" applyBorder="1" applyAlignment="1" applyProtection="1">
      <alignment horizontal="center"/>
    </xf>
    <xf numFmtId="5" fontId="2" fillId="3" borderId="41" xfId="0" applyNumberFormat="1" applyFont="1" applyFill="1" applyBorder="1" applyAlignment="1" applyProtection="1">
      <alignment horizontal="center"/>
    </xf>
    <xf numFmtId="5" fontId="2" fillId="3" borderId="33" xfId="0" applyNumberFormat="1" applyFont="1" applyFill="1" applyBorder="1" applyAlignment="1" applyProtection="1">
      <alignment horizontal="center"/>
    </xf>
    <xf numFmtId="5" fontId="2" fillId="3" borderId="0" xfId="0" applyNumberFormat="1" applyFont="1" applyFill="1" applyAlignment="1" applyProtection="1">
      <alignment horizontal="center"/>
    </xf>
    <xf numFmtId="164" fontId="2" fillId="3" borderId="38" xfId="0" applyNumberFormat="1" applyFont="1" applyFill="1" applyBorder="1" applyAlignment="1" applyProtection="1">
      <alignment horizontal="center"/>
    </xf>
    <xf numFmtId="5" fontId="2" fillId="4" borderId="0" xfId="0" applyNumberFormat="1" applyFont="1" applyFill="1" applyAlignment="1" applyProtection="1">
      <alignment horizontal="center"/>
    </xf>
    <xf numFmtId="5" fontId="2" fillId="4" borderId="31" xfId="0" applyNumberFormat="1" applyFont="1" applyFill="1" applyBorder="1" applyAlignment="1" applyProtection="1">
      <alignment horizontal="center"/>
    </xf>
    <xf numFmtId="164" fontId="2" fillId="4" borderId="40" xfId="0" applyNumberFormat="1" applyFont="1" applyFill="1" applyBorder="1" applyAlignment="1" applyProtection="1">
      <alignment horizontal="center" vertical="center"/>
    </xf>
    <xf numFmtId="164" fontId="2" fillId="4" borderId="41" xfId="0" applyNumberFormat="1" applyFont="1" applyFill="1" applyBorder="1" applyAlignment="1" applyProtection="1">
      <alignment horizontal="center" vertical="center"/>
    </xf>
    <xf numFmtId="5" fontId="2" fillId="4" borderId="34" xfId="0" applyNumberFormat="1" applyFont="1" applyFill="1" applyBorder="1" applyAlignment="1" applyProtection="1">
      <alignment horizontal="center"/>
    </xf>
    <xf numFmtId="164" fontId="2" fillId="2" borderId="37" xfId="0" applyNumberFormat="1" applyFont="1" applyFill="1" applyBorder="1" applyAlignment="1" applyProtection="1">
      <alignment horizontal="center"/>
    </xf>
    <xf numFmtId="164" fontId="2" fillId="2" borderId="36" xfId="0" applyNumberFormat="1" applyFont="1" applyFill="1" applyBorder="1" applyAlignment="1" applyProtection="1">
      <alignment horizontal="center"/>
    </xf>
    <xf numFmtId="164" fontId="2" fillId="2" borderId="40" xfId="0" applyNumberFormat="1" applyFont="1" applyFill="1" applyBorder="1" applyAlignment="1" applyProtection="1">
      <alignment horizontal="center" vertical="center"/>
    </xf>
    <xf numFmtId="164" fontId="2" fillId="2" borderId="41" xfId="0" applyNumberFormat="1" applyFont="1" applyFill="1" applyBorder="1" applyAlignment="1" applyProtection="1">
      <alignment horizontal="center" vertical="center"/>
    </xf>
    <xf numFmtId="5" fontId="2" fillId="2" borderId="34" xfId="0" applyNumberFormat="1" applyFont="1" applyFill="1" applyBorder="1" applyAlignment="1" applyProtection="1">
      <alignment horizontal="center"/>
    </xf>
    <xf numFmtId="5" fontId="2" fillId="2" borderId="31" xfId="0" applyNumberFormat="1" applyFont="1" applyFill="1" applyBorder="1" applyAlignment="1" applyProtection="1">
      <alignment horizontal="center"/>
    </xf>
    <xf numFmtId="5" fontId="2" fillId="2" borderId="41" xfId="0" applyNumberFormat="1" applyFont="1" applyFill="1" applyBorder="1" applyAlignment="1" applyProtection="1">
      <alignment horizontal="center"/>
    </xf>
    <xf numFmtId="5" fontId="2" fillId="2" borderId="33" xfId="0" applyNumberFormat="1" applyFont="1" applyFill="1" applyBorder="1" applyAlignment="1" applyProtection="1">
      <alignment horizontal="center"/>
    </xf>
    <xf numFmtId="5" fontId="2" fillId="5" borderId="41" xfId="0" applyNumberFormat="1" applyFont="1" applyFill="1" applyBorder="1" applyAlignment="1" applyProtection="1">
      <alignment horizontal="center"/>
    </xf>
    <xf numFmtId="5" fontId="2" fillId="5" borderId="33" xfId="0" applyNumberFormat="1" applyFont="1" applyFill="1" applyBorder="1" applyAlignment="1" applyProtection="1">
      <alignment horizontal="center"/>
    </xf>
    <xf numFmtId="164" fontId="2" fillId="5" borderId="38" xfId="0" applyNumberFormat="1" applyFont="1" applyFill="1" applyBorder="1" applyAlignment="1" applyProtection="1">
      <alignment horizontal="center"/>
    </xf>
    <xf numFmtId="164" fontId="2" fillId="5" borderId="36" xfId="0" applyNumberFormat="1" applyFont="1" applyFill="1" applyBorder="1" applyAlignment="1" applyProtection="1">
      <alignment horizontal="center"/>
    </xf>
    <xf numFmtId="164" fontId="2" fillId="5" borderId="37" xfId="0" applyNumberFormat="1" applyFont="1" applyFill="1" applyBorder="1" applyAlignment="1" applyProtection="1">
      <alignment horizontal="center"/>
    </xf>
    <xf numFmtId="164" fontId="2" fillId="5" borderId="40" xfId="0" applyNumberFormat="1" applyFont="1" applyFill="1" applyBorder="1" applyAlignment="1" applyProtection="1">
      <alignment horizontal="center" vertical="center"/>
    </xf>
    <xf numFmtId="164" fontId="2" fillId="5" borderId="41" xfId="0" applyNumberFormat="1" applyFont="1" applyFill="1" applyBorder="1" applyAlignment="1" applyProtection="1">
      <alignment horizontal="center" vertical="center"/>
    </xf>
    <xf numFmtId="5" fontId="2" fillId="5" borderId="0" xfId="0" applyNumberFormat="1" applyFont="1" applyFill="1" applyAlignment="1" applyProtection="1">
      <alignment horizontal="center"/>
    </xf>
    <xf numFmtId="5" fontId="2" fillId="5" borderId="31" xfId="0" applyNumberFormat="1" applyFont="1" applyFill="1" applyBorder="1" applyAlignment="1" applyProtection="1">
      <alignment horizontal="center"/>
    </xf>
    <xf numFmtId="164" fontId="2" fillId="6" borderId="37" xfId="0" applyNumberFormat="1" applyFont="1" applyFill="1" applyBorder="1" applyAlignment="1" applyProtection="1">
      <alignment horizontal="center"/>
    </xf>
    <xf numFmtId="164" fontId="2" fillId="6" borderId="36" xfId="0" applyNumberFormat="1" applyFont="1" applyFill="1" applyBorder="1" applyAlignment="1" applyProtection="1">
      <alignment horizontal="center"/>
    </xf>
    <xf numFmtId="164" fontId="2" fillId="6" borderId="40" xfId="0" applyNumberFormat="1" applyFont="1" applyFill="1" applyBorder="1" applyAlignment="1" applyProtection="1">
      <alignment horizontal="center" vertical="center"/>
    </xf>
    <xf numFmtId="164" fontId="2" fillId="6" borderId="41" xfId="0" applyNumberFormat="1" applyFont="1" applyFill="1" applyBorder="1" applyAlignment="1" applyProtection="1">
      <alignment horizontal="center" vertical="center"/>
    </xf>
    <xf numFmtId="5" fontId="2" fillId="6" borderId="34" xfId="0" applyNumberFormat="1" applyFont="1" applyFill="1" applyBorder="1" applyAlignment="1" applyProtection="1">
      <alignment horizontal="center"/>
    </xf>
    <xf numFmtId="5" fontId="2" fillId="6" borderId="31" xfId="0" applyNumberFormat="1" applyFont="1" applyFill="1" applyBorder="1" applyAlignment="1" applyProtection="1">
      <alignment horizontal="center"/>
    </xf>
    <xf numFmtId="5" fontId="2" fillId="6" borderId="41" xfId="0" applyNumberFormat="1" applyFont="1" applyFill="1" applyBorder="1" applyAlignment="1" applyProtection="1">
      <alignment horizontal="center"/>
    </xf>
    <xf numFmtId="5" fontId="2" fillId="6" borderId="33" xfId="0" applyNumberFormat="1" applyFont="1" applyFill="1" applyBorder="1" applyAlignment="1" applyProtection="1">
      <alignment horizontal="center"/>
    </xf>
    <xf numFmtId="5" fontId="2" fillId="5" borderId="34" xfId="0" applyNumberFormat="1" applyFont="1" applyFill="1" applyBorder="1" applyAlignment="1" applyProtection="1">
      <alignment horizontal="center"/>
    </xf>
    <xf numFmtId="0" fontId="8" fillId="10" borderId="49" xfId="0" applyFont="1" applyFill="1" applyBorder="1" applyAlignment="1" applyProtection="1">
      <alignment horizontal="center" wrapText="1"/>
    </xf>
    <xf numFmtId="0" fontId="8" fillId="10" borderId="52" xfId="0" applyFont="1" applyFill="1" applyBorder="1" applyAlignment="1" applyProtection="1">
      <alignment horizontal="center" wrapText="1"/>
    </xf>
    <xf numFmtId="164" fontId="1" fillId="8" borderId="3" xfId="0" applyNumberFormat="1" applyFont="1" applyFill="1" applyBorder="1" applyAlignment="1" applyProtection="1">
      <alignment horizontal="center" wrapText="1"/>
    </xf>
    <xf numFmtId="164" fontId="3" fillId="8" borderId="12" xfId="0" applyNumberFormat="1" applyFont="1" applyFill="1" applyBorder="1" applyAlignment="1" applyProtection="1">
      <alignment horizontal="center" wrapText="1"/>
    </xf>
    <xf numFmtId="164" fontId="2" fillId="8" borderId="37" xfId="0" applyNumberFormat="1" applyFont="1" applyFill="1" applyBorder="1" applyAlignment="1" applyProtection="1">
      <alignment horizontal="center"/>
    </xf>
    <xf numFmtId="164" fontId="2" fillId="8" borderId="36" xfId="0" applyNumberFormat="1" applyFont="1" applyFill="1" applyBorder="1" applyAlignment="1" applyProtection="1">
      <alignment horizontal="center"/>
    </xf>
    <xf numFmtId="164" fontId="2" fillId="8" borderId="37" xfId="0" applyNumberFormat="1" applyFont="1" applyFill="1" applyBorder="1" applyAlignment="1" applyProtection="1">
      <alignment horizontal="center" vertical="center"/>
    </xf>
    <xf numFmtId="164" fontId="2" fillId="8" borderId="39" xfId="0" applyNumberFormat="1" applyFont="1" applyFill="1" applyBorder="1" applyAlignment="1" applyProtection="1">
      <alignment horizontal="center" vertical="center"/>
    </xf>
    <xf numFmtId="5" fontId="2" fillId="8" borderId="34" xfId="0" applyNumberFormat="1" applyFont="1" applyFill="1" applyBorder="1" applyAlignment="1" applyProtection="1">
      <alignment horizontal="center"/>
    </xf>
    <xf numFmtId="5" fontId="2" fillId="8" borderId="31" xfId="0" applyNumberFormat="1" applyFont="1" applyFill="1" applyBorder="1" applyAlignment="1" applyProtection="1">
      <alignment horizontal="center"/>
    </xf>
    <xf numFmtId="5" fontId="2" fillId="8" borderId="41" xfId="0" applyNumberFormat="1" applyFont="1" applyFill="1" applyBorder="1" applyAlignment="1" applyProtection="1">
      <alignment horizontal="center"/>
    </xf>
    <xf numFmtId="5" fontId="2" fillId="8" borderId="33" xfId="0" applyNumberFormat="1" applyFont="1" applyFill="1" applyBorder="1" applyAlignment="1" applyProtection="1">
      <alignment horizontal="center"/>
    </xf>
    <xf numFmtId="165" fontId="10" fillId="10" borderId="30" xfId="0" applyNumberFormat="1" applyFont="1" applyFill="1" applyBorder="1" applyAlignment="1" applyProtection="1">
      <alignment horizontal="center" vertical="center"/>
    </xf>
    <xf numFmtId="165" fontId="10" fillId="10" borderId="29" xfId="0" applyNumberFormat="1" applyFont="1" applyFill="1" applyBorder="1" applyAlignment="1" applyProtection="1">
      <alignment horizontal="center" vertical="center"/>
    </xf>
    <xf numFmtId="165" fontId="10" fillId="10" borderId="23" xfId="0" applyNumberFormat="1" applyFont="1" applyFill="1" applyBorder="1" applyAlignment="1" applyProtection="1">
      <alignment horizontal="center" vertical="center"/>
    </xf>
    <xf numFmtId="164" fontId="1" fillId="7" borderId="3" xfId="0" applyNumberFormat="1" applyFont="1" applyFill="1" applyBorder="1" applyAlignment="1" applyProtection="1">
      <alignment horizontal="center" wrapText="1"/>
    </xf>
    <xf numFmtId="164" fontId="1" fillId="7" borderId="4" xfId="0" applyNumberFormat="1" applyFont="1" applyFill="1" applyBorder="1" applyAlignment="1" applyProtection="1">
      <alignment horizontal="center" wrapText="1"/>
    </xf>
    <xf numFmtId="164" fontId="3" fillId="7" borderId="12" xfId="0" applyNumberFormat="1" applyFont="1" applyFill="1" applyBorder="1" applyAlignment="1" applyProtection="1">
      <alignment horizontal="center" wrapText="1"/>
    </xf>
    <xf numFmtId="164" fontId="3" fillId="7" borderId="13" xfId="0" applyNumberFormat="1" applyFont="1" applyFill="1" applyBorder="1" applyAlignment="1" applyProtection="1">
      <alignment horizontal="center" wrapText="1"/>
    </xf>
    <xf numFmtId="164" fontId="2" fillId="7" borderId="37" xfId="0" applyNumberFormat="1" applyFont="1" applyFill="1" applyBorder="1" applyAlignment="1" applyProtection="1">
      <alignment horizontal="center"/>
    </xf>
    <xf numFmtId="164" fontId="2" fillId="7" borderId="36" xfId="0" applyNumberFormat="1" applyFont="1" applyFill="1" applyBorder="1" applyAlignment="1" applyProtection="1">
      <alignment horizontal="center"/>
    </xf>
    <xf numFmtId="164" fontId="2" fillId="7" borderId="40" xfId="0" applyNumberFormat="1" applyFont="1" applyFill="1" applyBorder="1" applyAlignment="1" applyProtection="1">
      <alignment horizontal="center" vertical="center"/>
    </xf>
    <xf numFmtId="164" fontId="2" fillId="7" borderId="41" xfId="0" applyNumberFormat="1" applyFont="1" applyFill="1" applyBorder="1" applyAlignment="1" applyProtection="1">
      <alignment horizontal="center" vertical="center"/>
    </xf>
    <xf numFmtId="5" fontId="2" fillId="7" borderId="34" xfId="0" applyNumberFormat="1" applyFont="1" applyFill="1" applyBorder="1" applyAlignment="1" applyProtection="1">
      <alignment horizontal="center"/>
    </xf>
    <xf numFmtId="5" fontId="2" fillId="7" borderId="31" xfId="0" applyNumberFormat="1" applyFont="1" applyFill="1" applyBorder="1" applyAlignment="1" applyProtection="1">
      <alignment horizontal="center"/>
    </xf>
    <xf numFmtId="0" fontId="8" fillId="10" borderId="47" xfId="0" applyFont="1" applyFill="1" applyBorder="1" applyAlignment="1" applyProtection="1">
      <alignment horizontal="center"/>
    </xf>
    <xf numFmtId="0" fontId="8" fillId="10" borderId="51" xfId="0" applyFont="1" applyFill="1" applyBorder="1" applyAlignment="1" applyProtection="1">
      <alignment horizontal="center"/>
    </xf>
    <xf numFmtId="0" fontId="8" fillId="18" borderId="4" xfId="0" applyFont="1" applyFill="1" applyBorder="1" applyAlignment="1" applyProtection="1">
      <alignment horizontal="center" vertical="center" wrapText="1"/>
    </xf>
    <xf numFmtId="0" fontId="8" fillId="18" borderId="11" xfId="0" applyFont="1" applyFill="1" applyBorder="1" applyAlignment="1" applyProtection="1">
      <alignment horizontal="center" vertical="center" wrapText="1"/>
    </xf>
    <xf numFmtId="0" fontId="8" fillId="18" borderId="19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/>
    </xf>
    <xf numFmtId="0" fontId="8" fillId="20" borderId="73" xfId="0" applyFont="1" applyFill="1" applyBorder="1" applyAlignment="1" applyProtection="1">
      <alignment horizontal="center"/>
    </xf>
    <xf numFmtId="0" fontId="8" fillId="20" borderId="74" xfId="0" applyFont="1" applyFill="1" applyBorder="1" applyAlignment="1" applyProtection="1">
      <alignment horizontal="center"/>
    </xf>
    <xf numFmtId="0" fontId="8" fillId="19" borderId="62" xfId="0" applyFont="1" applyFill="1" applyBorder="1" applyAlignment="1" applyProtection="1">
      <alignment horizontal="center" vertical="center" wrapText="1"/>
    </xf>
    <xf numFmtId="0" fontId="8" fillId="19" borderId="18" xfId="0" applyFont="1" applyFill="1" applyBorder="1" applyAlignment="1" applyProtection="1">
      <alignment horizontal="center" vertical="center" wrapText="1"/>
    </xf>
    <xf numFmtId="0" fontId="8" fillId="19" borderId="62" xfId="0" applyFont="1" applyFill="1" applyBorder="1" applyAlignment="1" applyProtection="1">
      <alignment horizontal="center" vertical="center"/>
    </xf>
    <xf numFmtId="0" fontId="8" fillId="19" borderId="18" xfId="0" applyFont="1" applyFill="1" applyBorder="1" applyAlignment="1" applyProtection="1">
      <alignment horizontal="center" vertical="center"/>
    </xf>
    <xf numFmtId="0" fontId="8" fillId="20" borderId="61" xfId="0" applyFont="1" applyFill="1" applyBorder="1" applyAlignment="1" applyProtection="1">
      <alignment horizontal="center" vertical="center" wrapText="1"/>
    </xf>
    <xf numFmtId="0" fontId="8" fillId="20" borderId="19" xfId="0" applyFont="1" applyFill="1" applyBorder="1" applyAlignment="1" applyProtection="1">
      <alignment horizontal="center" vertical="center" wrapText="1"/>
    </xf>
    <xf numFmtId="0" fontId="8" fillId="18" borderId="32" xfId="0" applyFont="1" applyFill="1" applyBorder="1" applyAlignment="1" applyProtection="1">
      <alignment horizontal="center" vertical="center" wrapText="1"/>
    </xf>
    <xf numFmtId="0" fontId="8" fillId="18" borderId="31" xfId="0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58" xfId="0" applyFont="1" applyFill="1" applyBorder="1" applyAlignment="1" applyProtection="1">
      <alignment horizontal="center" vertical="center"/>
    </xf>
    <xf numFmtId="0" fontId="8" fillId="19" borderId="61" xfId="0" applyFont="1" applyFill="1" applyBorder="1" applyAlignment="1" applyProtection="1">
      <alignment horizontal="center" vertical="center" wrapText="1"/>
    </xf>
    <xf numFmtId="0" fontId="8" fillId="19" borderId="19" xfId="0" applyFont="1" applyFill="1" applyBorder="1" applyAlignment="1" applyProtection="1">
      <alignment horizontal="center" vertical="center" wrapText="1"/>
    </xf>
    <xf numFmtId="0" fontId="8" fillId="19" borderId="73" xfId="0" applyFont="1" applyFill="1" applyBorder="1" applyAlignment="1" applyProtection="1">
      <alignment horizontal="center"/>
    </xf>
    <xf numFmtId="0" fontId="8" fillId="19" borderId="75" xfId="0" applyFont="1" applyFill="1" applyBorder="1" applyAlignment="1" applyProtection="1">
      <alignment horizontal="center"/>
    </xf>
    <xf numFmtId="0" fontId="8" fillId="19" borderId="74" xfId="0" applyFont="1" applyFill="1" applyBorder="1" applyAlignment="1" applyProtection="1">
      <alignment horizontal="center"/>
    </xf>
    <xf numFmtId="0" fontId="8" fillId="21" borderId="1" xfId="0" applyFont="1" applyFill="1" applyBorder="1" applyAlignment="1" applyProtection="1">
      <alignment horizontal="center" vertical="center" wrapText="1"/>
    </xf>
    <xf numFmtId="0" fontId="8" fillId="21" borderId="5" xfId="0" applyFont="1" applyFill="1" applyBorder="1" applyAlignment="1" applyProtection="1">
      <alignment horizontal="center" vertical="center" wrapText="1"/>
    </xf>
    <xf numFmtId="0" fontId="8" fillId="10" borderId="58" xfId="0" applyFont="1" applyFill="1" applyBorder="1" applyAlignment="1" applyProtection="1">
      <alignment horizontal="center" vertical="center" wrapText="1"/>
    </xf>
    <xf numFmtId="0" fontId="8" fillId="10" borderId="59" xfId="0" applyFont="1" applyFill="1" applyBorder="1" applyAlignment="1" applyProtection="1">
      <alignment horizontal="center" vertical="center" wrapText="1"/>
    </xf>
    <xf numFmtId="0" fontId="8" fillId="10" borderId="60" xfId="0" applyFont="1" applyFill="1" applyBorder="1" applyAlignment="1" applyProtection="1">
      <alignment horizontal="center" vertical="center" wrapText="1"/>
    </xf>
    <xf numFmtId="0" fontId="8" fillId="18" borderId="2" xfId="0" applyFont="1" applyFill="1" applyBorder="1" applyAlignment="1" applyProtection="1">
      <alignment horizontal="center" vertical="center" wrapText="1"/>
    </xf>
    <xf numFmtId="0" fontId="8" fillId="18" borderId="3" xfId="0" applyFont="1" applyFill="1" applyBorder="1" applyAlignment="1" applyProtection="1">
      <alignment horizontal="center" vertical="center" wrapText="1"/>
    </xf>
    <xf numFmtId="5" fontId="8" fillId="24" borderId="78" xfId="0" applyNumberFormat="1" applyFont="1" applyFill="1" applyBorder="1" applyAlignment="1" applyProtection="1">
      <alignment horizontal="center" vertical="center"/>
    </xf>
    <xf numFmtId="5" fontId="8" fillId="24" borderId="57" xfId="0" applyNumberFormat="1" applyFont="1" applyFill="1" applyBorder="1" applyAlignment="1" applyProtection="1">
      <alignment vertical="center"/>
    </xf>
    <xf numFmtId="5" fontId="8" fillId="10" borderId="59" xfId="0" applyNumberFormat="1" applyFont="1" applyFill="1" applyBorder="1" applyAlignment="1" applyProtection="1">
      <alignment horizontal="center"/>
    </xf>
    <xf numFmtId="0" fontId="8" fillId="10" borderId="60" xfId="0" applyFont="1" applyFill="1" applyBorder="1" applyProtection="1"/>
    <xf numFmtId="0" fontId="8" fillId="25" borderId="58" xfId="0" applyFont="1" applyFill="1" applyBorder="1" applyAlignment="1" applyProtection="1">
      <alignment horizontal="center" vertical="center" wrapText="1"/>
    </xf>
    <xf numFmtId="0" fontId="8" fillId="25" borderId="59" xfId="0" applyFont="1" applyFill="1" applyBorder="1" applyAlignment="1" applyProtection="1">
      <alignment horizontal="center" vertical="center" wrapText="1"/>
    </xf>
    <xf numFmtId="0" fontId="8" fillId="25" borderId="60" xfId="0" applyFont="1" applyFill="1" applyBorder="1" applyAlignment="1" applyProtection="1">
      <alignment horizontal="center" vertical="center" wrapText="1"/>
    </xf>
    <xf numFmtId="0" fontId="8" fillId="21" borderId="58" xfId="0" applyFont="1" applyFill="1" applyBorder="1" applyAlignment="1" applyProtection="1">
      <alignment horizontal="center" vertical="center" wrapText="1"/>
    </xf>
    <xf numFmtId="0" fontId="8" fillId="21" borderId="60" xfId="0" applyFont="1" applyFill="1" applyBorder="1" applyAlignment="1" applyProtection="1">
      <alignment horizontal="center" vertical="center" wrapText="1"/>
    </xf>
    <xf numFmtId="0" fontId="8" fillId="25" borderId="6" xfId="0" applyFont="1" applyFill="1" applyBorder="1" applyAlignment="1" applyProtection="1">
      <alignment horizontal="center" vertical="center"/>
    </xf>
    <xf numFmtId="0" fontId="8" fillId="25" borderId="17" xfId="0" applyFont="1" applyFill="1" applyBorder="1" applyAlignment="1" applyProtection="1">
      <alignment horizontal="center" vertical="center"/>
    </xf>
    <xf numFmtId="0" fontId="8" fillId="25" borderId="3" xfId="0" applyFont="1" applyFill="1" applyBorder="1" applyAlignment="1" applyProtection="1">
      <alignment horizontal="center" vertical="center" wrapText="1"/>
    </xf>
    <xf numFmtId="0" fontId="8" fillId="25" borderId="21" xfId="0" applyFont="1" applyFill="1" applyBorder="1" applyAlignment="1" applyProtection="1">
      <alignment horizontal="center" vertical="center" wrapText="1"/>
    </xf>
    <xf numFmtId="0" fontId="8" fillId="25" borderId="7" xfId="0" applyFont="1" applyFill="1" applyBorder="1" applyAlignment="1" applyProtection="1">
      <alignment horizontal="center" vertical="center" wrapText="1"/>
    </xf>
    <xf numFmtId="0" fontId="8" fillId="25" borderId="18" xfId="0" applyFont="1" applyFill="1" applyBorder="1" applyAlignment="1" applyProtection="1">
      <alignment horizontal="center" vertical="center" wrapText="1"/>
    </xf>
    <xf numFmtId="0" fontId="8" fillId="23" borderId="6" xfId="0" applyFont="1" applyFill="1" applyBorder="1" applyAlignment="1" applyProtection="1">
      <alignment horizontal="center" vertical="center" wrapText="1"/>
    </xf>
    <xf numFmtId="0" fontId="8" fillId="23" borderId="17" xfId="0" applyFont="1" applyFill="1" applyBorder="1" applyAlignment="1" applyProtection="1">
      <alignment horizontal="center" vertical="center" wrapText="1"/>
    </xf>
    <xf numFmtId="0" fontId="8" fillId="25" borderId="4" xfId="0" applyFont="1" applyFill="1" applyBorder="1" applyAlignment="1" applyProtection="1">
      <alignment horizontal="center" vertical="center" wrapText="1"/>
    </xf>
    <xf numFmtId="0" fontId="8" fillId="25" borderId="19" xfId="0" applyFont="1" applyFill="1" applyBorder="1" applyAlignment="1" applyProtection="1">
      <alignment horizontal="center" vertical="center" wrapText="1"/>
    </xf>
    <xf numFmtId="0" fontId="8" fillId="21" borderId="6" xfId="0" applyFont="1" applyFill="1" applyBorder="1" applyAlignment="1" applyProtection="1">
      <alignment horizontal="center" vertical="center" wrapText="1"/>
    </xf>
    <xf numFmtId="0" fontId="8" fillId="21" borderId="17" xfId="0" applyFont="1" applyFill="1" applyBorder="1" applyAlignment="1" applyProtection="1">
      <alignment horizontal="center" vertical="center" wrapText="1"/>
    </xf>
    <xf numFmtId="0" fontId="8" fillId="21" borderId="4" xfId="0" applyFont="1" applyFill="1" applyBorder="1" applyAlignment="1" applyProtection="1">
      <alignment horizontal="center" vertical="center" wrapText="1"/>
    </xf>
    <xf numFmtId="0" fontId="8" fillId="21" borderId="19" xfId="0" applyFont="1" applyFill="1" applyBorder="1" applyAlignment="1" applyProtection="1">
      <alignment horizontal="center" vertical="center" wrapText="1"/>
    </xf>
    <xf numFmtId="0" fontId="8" fillId="23" borderId="3" xfId="0" applyFont="1" applyFill="1" applyBorder="1" applyAlignment="1" applyProtection="1">
      <alignment horizontal="center" vertical="center" wrapText="1"/>
    </xf>
    <xf numFmtId="0" fontId="8" fillId="23" borderId="21" xfId="0" applyFont="1" applyFill="1" applyBorder="1" applyAlignment="1" applyProtection="1">
      <alignment horizontal="center" vertical="center" wrapText="1"/>
    </xf>
    <xf numFmtId="0" fontId="8" fillId="19" borderId="1" xfId="0" applyFont="1" applyFill="1" applyBorder="1" applyAlignment="1" applyProtection="1">
      <alignment horizontal="center" vertical="center" wrapText="1"/>
    </xf>
    <xf numFmtId="0" fontId="8" fillId="19" borderId="5" xfId="0" applyFont="1" applyFill="1" applyBorder="1" applyAlignment="1" applyProtection="1">
      <alignment horizontal="center" vertical="center" wrapText="1"/>
    </xf>
    <xf numFmtId="0" fontId="8" fillId="23" borderId="73" xfId="0" applyFont="1" applyFill="1" applyBorder="1" applyAlignment="1" applyProtection="1">
      <alignment horizontal="center"/>
    </xf>
    <xf numFmtId="0" fontId="8" fillId="23" borderId="75" xfId="0" applyFont="1" applyFill="1" applyBorder="1" applyAlignment="1" applyProtection="1">
      <alignment horizontal="center"/>
    </xf>
    <xf numFmtId="0" fontId="8" fillId="23" borderId="74" xfId="0" applyFont="1" applyFill="1" applyBorder="1" applyAlignment="1" applyProtection="1">
      <alignment horizontal="center"/>
    </xf>
    <xf numFmtId="0" fontId="8" fillId="21" borderId="4" xfId="0" applyFont="1" applyFill="1" applyBorder="1" applyAlignment="1" applyProtection="1">
      <alignment horizontal="center" vertical="center"/>
    </xf>
    <xf numFmtId="0" fontId="8" fillId="21" borderId="19" xfId="0" applyFont="1" applyFill="1" applyBorder="1" applyAlignment="1" applyProtection="1">
      <alignment horizontal="center" vertical="center"/>
    </xf>
    <xf numFmtId="0" fontId="8" fillId="21" borderId="1" xfId="0" applyFont="1" applyFill="1" applyBorder="1" applyAlignment="1" applyProtection="1">
      <alignment horizontal="center" vertical="center"/>
    </xf>
    <xf numFmtId="0" fontId="8" fillId="21" borderId="5" xfId="0" applyFont="1" applyFill="1" applyBorder="1" applyAlignment="1" applyProtection="1">
      <alignment horizontal="center" vertical="center"/>
    </xf>
    <xf numFmtId="0" fontId="8" fillId="27" borderId="2" xfId="0" applyFont="1" applyFill="1" applyBorder="1" applyAlignment="1" applyProtection="1">
      <alignment horizontal="center"/>
    </xf>
    <xf numFmtId="0" fontId="8" fillId="27" borderId="3" xfId="0" applyFont="1" applyFill="1" applyBorder="1" applyAlignment="1" applyProtection="1">
      <alignment horizontal="center"/>
    </xf>
    <xf numFmtId="0" fontId="8" fillId="27" borderId="4" xfId="0" applyFont="1" applyFill="1" applyBorder="1" applyAlignment="1" applyProtection="1">
      <alignment horizontal="center"/>
    </xf>
    <xf numFmtId="5" fontId="8" fillId="27" borderId="20" xfId="0" applyNumberFormat="1" applyFont="1" applyFill="1" applyBorder="1" applyAlignment="1" applyProtection="1">
      <alignment horizontal="center"/>
    </xf>
    <xf numFmtId="5" fontId="8" fillId="27" borderId="21" xfId="0" applyNumberFormat="1" applyFont="1" applyFill="1" applyBorder="1" applyAlignment="1" applyProtection="1">
      <alignment horizontal="center"/>
    </xf>
    <xf numFmtId="5" fontId="8" fillId="27" borderId="19" xfId="0" applyNumberFormat="1" applyFont="1" applyFill="1" applyBorder="1" applyAlignment="1" applyProtection="1">
      <alignment horizontal="center"/>
    </xf>
    <xf numFmtId="0" fontId="8" fillId="10" borderId="2" xfId="0" applyFont="1" applyFill="1" applyBorder="1" applyAlignment="1" applyProtection="1">
      <alignment horizontal="center"/>
    </xf>
    <xf numFmtId="0" fontId="8" fillId="10" borderId="3" xfId="0" applyFont="1" applyFill="1" applyBorder="1" applyAlignment="1" applyProtection="1">
      <alignment horizontal="center"/>
    </xf>
    <xf numFmtId="0" fontId="8" fillId="10" borderId="4" xfId="0" applyFont="1" applyFill="1" applyBorder="1" applyAlignment="1" applyProtection="1">
      <alignment horizontal="center"/>
    </xf>
    <xf numFmtId="5" fontId="8" fillId="10" borderId="20" xfId="0" applyNumberFormat="1" applyFont="1" applyFill="1" applyBorder="1" applyAlignment="1" applyProtection="1">
      <alignment horizontal="center"/>
    </xf>
    <xf numFmtId="5" fontId="8" fillId="10" borderId="21" xfId="0" applyNumberFormat="1" applyFont="1" applyFill="1" applyBorder="1" applyAlignment="1" applyProtection="1">
      <alignment horizontal="center"/>
    </xf>
    <xf numFmtId="5" fontId="8" fillId="10" borderId="19" xfId="0" applyNumberFormat="1" applyFont="1" applyFill="1" applyBorder="1" applyAlignment="1" applyProtection="1">
      <alignment horizontal="center"/>
    </xf>
    <xf numFmtId="0" fontId="8" fillId="23" borderId="2" xfId="0" applyFont="1" applyFill="1" applyBorder="1" applyAlignment="1" applyProtection="1">
      <alignment horizontal="center"/>
    </xf>
    <xf numFmtId="0" fontId="8" fillId="23" borderId="32" xfId="0" applyFont="1" applyFill="1" applyBorder="1" applyAlignment="1" applyProtection="1">
      <alignment horizontal="center"/>
    </xf>
    <xf numFmtId="0" fontId="8" fillId="26" borderId="3" xfId="0" applyFont="1" applyFill="1" applyBorder="1" applyAlignment="1" applyProtection="1">
      <alignment horizontal="center"/>
    </xf>
    <xf numFmtId="0" fontId="8" fillId="26" borderId="4" xfId="0" applyFont="1" applyFill="1" applyBorder="1" applyAlignment="1" applyProtection="1">
      <alignment horizontal="center"/>
    </xf>
    <xf numFmtId="0" fontId="8" fillId="26" borderId="48" xfId="0" applyFont="1" applyFill="1" applyBorder="1" applyAlignment="1" applyProtection="1">
      <alignment horizontal="center"/>
    </xf>
    <xf numFmtId="0" fontId="8" fillId="26" borderId="49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18" borderId="59" xfId="0" applyFont="1" applyFill="1" applyBorder="1" applyAlignment="1" applyProtection="1">
      <alignment vertical="center"/>
    </xf>
    <xf numFmtId="0" fontId="8" fillId="18" borderId="60" xfId="0" applyFont="1" applyFill="1" applyBorder="1" applyAlignment="1" applyProtection="1">
      <alignment vertical="center"/>
    </xf>
    <xf numFmtId="0" fontId="8" fillId="29" borderId="73" xfId="0" applyFont="1" applyFill="1" applyBorder="1" applyAlignment="1" applyProtection="1">
      <alignment horizontal="center" vertical="center"/>
    </xf>
    <xf numFmtId="0" fontId="8" fillId="29" borderId="75" xfId="0" applyFont="1" applyFill="1" applyBorder="1" applyAlignment="1" applyProtection="1">
      <alignment vertical="center"/>
    </xf>
    <xf numFmtId="0" fontId="8" fillId="29" borderId="74" xfId="0" applyFont="1" applyFill="1" applyBorder="1" applyAlignment="1" applyProtection="1">
      <alignment vertical="center"/>
    </xf>
    <xf numFmtId="0" fontId="8" fillId="28" borderId="73" xfId="0" applyFont="1" applyFill="1" applyBorder="1" applyAlignment="1" applyProtection="1">
      <alignment horizontal="center" vertical="center"/>
    </xf>
    <xf numFmtId="0" fontId="8" fillId="28" borderId="75" xfId="0" applyFont="1" applyFill="1" applyBorder="1" applyAlignment="1" applyProtection="1">
      <alignment horizontal="center" vertical="center"/>
    </xf>
    <xf numFmtId="0" fontId="8" fillId="28" borderId="74" xfId="0" applyFont="1" applyFill="1" applyBorder="1" applyAlignment="1" applyProtection="1">
      <alignment horizontal="center" vertical="center"/>
    </xf>
    <xf numFmtId="0" fontId="8" fillId="24" borderId="75" xfId="0" applyFont="1" applyFill="1" applyBorder="1" applyAlignment="1" applyProtection="1">
      <alignment horizontal="center" vertical="center"/>
    </xf>
    <xf numFmtId="0" fontId="8" fillId="24" borderId="7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29" borderId="1" xfId="0" applyFont="1" applyFill="1" applyBorder="1" applyAlignment="1" applyProtection="1">
      <alignment horizontal="center" vertical="center" wrapText="1"/>
    </xf>
    <xf numFmtId="0" fontId="8" fillId="29" borderId="5" xfId="0" applyFont="1" applyFill="1" applyBorder="1" applyAlignment="1" applyProtection="1">
      <alignment horizontal="center" vertical="center" wrapText="1"/>
    </xf>
    <xf numFmtId="0" fontId="8" fillId="28" borderId="4" xfId="0" applyFont="1" applyFill="1" applyBorder="1" applyAlignment="1" applyProtection="1">
      <alignment horizontal="center" vertical="center" wrapText="1"/>
    </xf>
    <xf numFmtId="0" fontId="8" fillId="28" borderId="19" xfId="0" applyFont="1" applyFill="1" applyBorder="1" applyAlignment="1" applyProtection="1">
      <alignment horizontal="center" vertical="center" wrapText="1"/>
    </xf>
    <xf numFmtId="0" fontId="8" fillId="24" borderId="1" xfId="0" applyFont="1" applyFill="1" applyBorder="1" applyAlignment="1" applyProtection="1">
      <alignment horizontal="center" vertical="center" wrapText="1"/>
    </xf>
    <xf numFmtId="0" fontId="8" fillId="24" borderId="5" xfId="0" applyFont="1" applyFill="1" applyBorder="1" applyAlignment="1" applyProtection="1">
      <alignment horizontal="center" vertical="center" wrapText="1"/>
    </xf>
    <xf numFmtId="0" fontId="8" fillId="10" borderId="58" xfId="0" applyFont="1" applyFill="1" applyBorder="1" applyAlignment="1" applyProtection="1">
      <alignment horizontal="center" vertical="center"/>
    </xf>
    <xf numFmtId="0" fontId="8" fillId="10" borderId="59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left" wrapText="1"/>
    </xf>
    <xf numFmtId="0" fontId="8" fillId="21" borderId="8" xfId="0" applyFont="1" applyFill="1" applyBorder="1" applyAlignment="1" applyProtection="1">
      <alignment horizontal="center" vertical="center" wrapText="1"/>
    </xf>
    <xf numFmtId="0" fontId="8" fillId="18" borderId="19" xfId="0" applyFont="1" applyFill="1" applyBorder="1" applyAlignment="1" applyProtection="1">
      <alignment horizontal="center" vertical="center"/>
    </xf>
    <xf numFmtId="0" fontId="8" fillId="29" borderId="74" xfId="0" applyFont="1" applyFill="1" applyBorder="1" applyAlignment="1" applyProtection="1">
      <alignment horizontal="center" vertical="center"/>
    </xf>
    <xf numFmtId="0" fontId="8" fillId="24" borderId="73" xfId="0" applyFont="1" applyFill="1" applyBorder="1" applyAlignment="1" applyProtection="1">
      <alignment horizontal="center" vertical="center"/>
    </xf>
    <xf numFmtId="0" fontId="8" fillId="21" borderId="9" xfId="0" applyFont="1" applyFill="1" applyBorder="1" applyAlignment="1" applyProtection="1">
      <alignment horizontal="center" vertical="center" wrapText="1"/>
    </xf>
    <xf numFmtId="0" fontId="8" fillId="21" borderId="11" xfId="0" applyFont="1" applyFill="1" applyBorder="1" applyAlignment="1" applyProtection="1">
      <alignment horizontal="center" vertical="center" wrapText="1"/>
    </xf>
    <xf numFmtId="0" fontId="8" fillId="18" borderId="6" xfId="0" applyFont="1" applyFill="1" applyBorder="1" applyAlignment="1" applyProtection="1">
      <alignment horizontal="center" vertical="center"/>
    </xf>
    <xf numFmtId="0" fontId="8" fillId="18" borderId="17" xfId="0" applyFont="1" applyFill="1" applyBorder="1" applyAlignment="1" applyProtection="1">
      <alignment horizontal="center" vertical="center"/>
    </xf>
    <xf numFmtId="0" fontId="8" fillId="29" borderId="58" xfId="0" applyFont="1" applyFill="1" applyBorder="1" applyAlignment="1" applyProtection="1">
      <alignment horizontal="center" vertical="center"/>
    </xf>
    <xf numFmtId="0" fontId="8" fillId="29" borderId="59" xfId="0" applyFont="1" applyFill="1" applyBorder="1" applyAlignment="1" applyProtection="1">
      <alignment horizontal="center" vertical="center"/>
    </xf>
    <xf numFmtId="0" fontId="8" fillId="29" borderId="60" xfId="0" applyFont="1" applyFill="1" applyBorder="1" applyAlignment="1" applyProtection="1">
      <alignment horizontal="center" vertical="center"/>
    </xf>
    <xf numFmtId="0" fontId="8" fillId="29" borderId="91" xfId="0" applyFont="1" applyFill="1" applyBorder="1" applyAlignment="1" applyProtection="1">
      <alignment horizontal="center" vertical="center"/>
    </xf>
    <xf numFmtId="0" fontId="8" fillId="29" borderId="4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FABF8F"/>
      <color rgb="FFC4D79B"/>
      <color rgb="FFFF0000"/>
      <color rgb="FFBFBFBF"/>
      <color rgb="FFFFFF00"/>
      <color rgb="FFE6B8B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worksheet" Target="worksheets/sheet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 Service</a:t>
            </a:r>
          </a:p>
          <a:p>
            <a:pPr>
              <a:defRPr/>
            </a:pPr>
            <a:r>
              <a:rPr lang="en-US"/>
              <a:t>(fee replacement debt ONLY)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Existing Debt</c:v>
          </c:tx>
          <c:spPr>
            <a:gradFill rotWithShape="1">
              <a:gsLst>
                <a:gs pos="0">
                  <a:schemeClr val="accent1">
                    <a:shade val="76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shade val="76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shade val="7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76000"/>
                  <a:shade val="95000"/>
                </a:schemeClr>
              </a:solidFill>
              <a:round/>
            </a:ln>
            <a:effectLst/>
          </c:spPr>
          <c:cat>
            <c:numRef>
              <c:f>'CAPITAL Debt Summary'!$A$14:$A$35</c:f>
              <c:numCache>
                <c:formatCode>General</c:formatCode>
                <c:ptCount val="2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numCache>
            </c:numRef>
          </c:cat>
          <c:val>
            <c:numRef>
              <c:f>'CAPITAL Debt Summary'!$AD$14:$AD$35</c:f>
              <c:numCache>
                <c:formatCode>"$"#,##0_);\("$"#,##0\)</c:formatCode>
                <c:ptCount val="22"/>
                <c:pt idx="0">
                  <c:v>147353895</c:v>
                </c:pt>
                <c:pt idx="1">
                  <c:v>142490802</c:v>
                </c:pt>
                <c:pt idx="2">
                  <c:v>134507940</c:v>
                </c:pt>
                <c:pt idx="3">
                  <c:v>132279412</c:v>
                </c:pt>
                <c:pt idx="4">
                  <c:v>124263812</c:v>
                </c:pt>
                <c:pt idx="5">
                  <c:v>116385918</c:v>
                </c:pt>
                <c:pt idx="6">
                  <c:v>117572679</c:v>
                </c:pt>
                <c:pt idx="7">
                  <c:v>98058000</c:v>
                </c:pt>
                <c:pt idx="8">
                  <c:v>91562121</c:v>
                </c:pt>
                <c:pt idx="9">
                  <c:v>85257247</c:v>
                </c:pt>
                <c:pt idx="10">
                  <c:v>78495238</c:v>
                </c:pt>
                <c:pt idx="11">
                  <c:v>76097636</c:v>
                </c:pt>
                <c:pt idx="12">
                  <c:v>70057254</c:v>
                </c:pt>
                <c:pt idx="13">
                  <c:v>43591135</c:v>
                </c:pt>
                <c:pt idx="14">
                  <c:v>28484626</c:v>
                </c:pt>
                <c:pt idx="15">
                  <c:v>22584816</c:v>
                </c:pt>
                <c:pt idx="16">
                  <c:v>14437357</c:v>
                </c:pt>
                <c:pt idx="17">
                  <c:v>11443941</c:v>
                </c:pt>
                <c:pt idx="18">
                  <c:v>8114471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v>New Debt</c:v>
          </c:tx>
          <c:spPr>
            <a:gradFill rotWithShape="1">
              <a:gsLst>
                <a:gs pos="0">
                  <a:schemeClr val="accent1">
                    <a:tint val="77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tint val="77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tint val="77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tint val="77000"/>
                  <a:shade val="95000"/>
                </a:schemeClr>
              </a:solidFill>
              <a:round/>
            </a:ln>
            <a:effectLst/>
          </c:spPr>
          <c:cat>
            <c:numRef>
              <c:f>'CAPITAL Debt Summary'!$A$14:$A$35</c:f>
              <c:numCache>
                <c:formatCode>General</c:formatCode>
                <c:ptCount val="2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numCache>
            </c:numRef>
          </c:cat>
          <c:val>
            <c:numRef>
              <c:f>'CAPITAL Debt Summary'!$AE$14:$AE$35</c:f>
              <c:numCache>
                <c:formatCode>"$"#,##0_);\("$"#,##0\)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29471107</c:v>
                </c:pt>
                <c:pt idx="3">
                  <c:v>29471107</c:v>
                </c:pt>
                <c:pt idx="4">
                  <c:v>29471107</c:v>
                </c:pt>
                <c:pt idx="5">
                  <c:v>29471107</c:v>
                </c:pt>
                <c:pt idx="6">
                  <c:v>29471107</c:v>
                </c:pt>
                <c:pt idx="7">
                  <c:v>29471107</c:v>
                </c:pt>
                <c:pt idx="8">
                  <c:v>29471107</c:v>
                </c:pt>
                <c:pt idx="9">
                  <c:v>29471107</c:v>
                </c:pt>
                <c:pt idx="10">
                  <c:v>29471107</c:v>
                </c:pt>
                <c:pt idx="11">
                  <c:v>29471107</c:v>
                </c:pt>
                <c:pt idx="12">
                  <c:v>29471107</c:v>
                </c:pt>
                <c:pt idx="13">
                  <c:v>29471107</c:v>
                </c:pt>
                <c:pt idx="14">
                  <c:v>29471107</c:v>
                </c:pt>
                <c:pt idx="15">
                  <c:v>29471107</c:v>
                </c:pt>
                <c:pt idx="16">
                  <c:v>29471107</c:v>
                </c:pt>
                <c:pt idx="17">
                  <c:v>29471107</c:v>
                </c:pt>
                <c:pt idx="18">
                  <c:v>29471107</c:v>
                </c:pt>
                <c:pt idx="19">
                  <c:v>29471107</c:v>
                </c:pt>
                <c:pt idx="20">
                  <c:v>29471107</c:v>
                </c:pt>
                <c:pt idx="21">
                  <c:v>29471107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26512"/>
        <c:axId val="352726904"/>
      </c:areaChart>
      <c:catAx>
        <c:axId val="35272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26904"/>
        <c:crosses val="autoZero"/>
        <c:auto val="1"/>
        <c:lblAlgn val="ctr"/>
        <c:lblOffset val="100"/>
        <c:noMultiLvlLbl val="0"/>
      </c:catAx>
      <c:valAx>
        <c:axId val="35272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26512"/>
        <c:crosses val="autoZero"/>
        <c:crossBetween val="midCat"/>
        <c:majorUnit val="20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Outstanding Debt</a:t>
            </a:r>
          </a:p>
          <a:p>
            <a:pPr>
              <a:defRPr/>
            </a:pPr>
            <a:r>
              <a:rPr lang="en-US"/>
              <a:t>(fee replacement debt ONLY)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Existing Debt</c:v>
          </c:tx>
          <c:spPr>
            <a:gradFill rotWithShape="1">
              <a:gsLst>
                <a:gs pos="0">
                  <a:schemeClr val="accent2">
                    <a:shade val="76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76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7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76000"/>
                  <a:shade val="95000"/>
                </a:schemeClr>
              </a:solidFill>
              <a:round/>
            </a:ln>
            <a:effectLst/>
          </c:spPr>
          <c:cat>
            <c:numRef>
              <c:f>'CAPITAL Debt Summary'!$A$14:$A$35</c:f>
              <c:numCache>
                <c:formatCode>General</c:formatCode>
                <c:ptCount val="2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numCache>
            </c:numRef>
          </c:cat>
          <c:val>
            <c:numRef>
              <c:f>'CAPITAL Debt Summary'!$AF$14:$AF$35</c:f>
              <c:numCache>
                <c:formatCode>"$"#,##0_);\("$"#,##0\)</c:formatCode>
                <c:ptCount val="22"/>
                <c:pt idx="0">
                  <c:v>1077570166</c:v>
                </c:pt>
                <c:pt idx="1">
                  <c:v>981462857</c:v>
                </c:pt>
                <c:pt idx="2">
                  <c:v>888956578</c:v>
                </c:pt>
                <c:pt idx="3">
                  <c:v>794789351</c:v>
                </c:pt>
                <c:pt idx="4">
                  <c:v>704592402</c:v>
                </c:pt>
                <c:pt idx="5">
                  <c:v>618550089</c:v>
                </c:pt>
                <c:pt idx="6">
                  <c:v>527568728</c:v>
                </c:pt>
                <c:pt idx="7">
                  <c:v>452460198</c:v>
                </c:pt>
                <c:pt idx="8">
                  <c:v>380427900</c:v>
                </c:pt>
                <c:pt idx="9">
                  <c:v>311482977</c:v>
                </c:pt>
                <c:pt idx="10">
                  <c:v>246179828</c:v>
                </c:pt>
                <c:pt idx="11">
                  <c:v>180226854</c:v>
                </c:pt>
                <c:pt idx="12">
                  <c:v>117224198</c:v>
                </c:pt>
                <c:pt idx="13">
                  <c:v>78231861</c:v>
                </c:pt>
                <c:pt idx="14">
                  <c:v>52702243</c:v>
                </c:pt>
                <c:pt idx="15">
                  <c:v>32024486</c:v>
                </c:pt>
                <c:pt idx="16">
                  <c:v>18723592</c:v>
                </c:pt>
                <c:pt idx="17">
                  <c:v>7893592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v>New Debt</c:v>
          </c:tx>
          <c:spPr>
            <a:gradFill rotWithShape="1">
              <a:gsLst>
                <a:gs pos="0">
                  <a:schemeClr val="accent2">
                    <a:tint val="77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77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77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77000"/>
                  <a:shade val="95000"/>
                </a:schemeClr>
              </a:solidFill>
              <a:round/>
            </a:ln>
            <a:effectLst/>
          </c:spPr>
          <c:cat>
            <c:numRef>
              <c:f>'CAPITAL Debt Summary'!$A$14:$A$35</c:f>
              <c:numCache>
                <c:formatCode>General</c:formatCode>
                <c:ptCount val="2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numCache>
            </c:numRef>
          </c:cat>
          <c:val>
            <c:numRef>
              <c:f>'CAPITAL Debt Summary'!$AG$14:$AG$35</c:f>
              <c:numCache>
                <c:formatCode>"$"#,##0_);\("$"#,##0\)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335366393</c:v>
                </c:pt>
                <c:pt idx="3">
                  <c:v>325178854</c:v>
                </c:pt>
                <c:pt idx="4">
                  <c:v>314405530</c:v>
                </c:pt>
                <c:pt idx="5">
                  <c:v>303012741</c:v>
                </c:pt>
                <c:pt idx="6">
                  <c:v>290964868</c:v>
                </c:pt>
                <c:pt idx="7">
                  <c:v>278224239</c:v>
                </c:pt>
                <c:pt idx="8">
                  <c:v>264751026</c:v>
                </c:pt>
                <c:pt idx="9">
                  <c:v>250503103</c:v>
                </c:pt>
                <c:pt idx="10">
                  <c:v>235435925</c:v>
                </c:pt>
                <c:pt idx="11">
                  <c:v>219502383</c:v>
                </c:pt>
                <c:pt idx="12">
                  <c:v>202652663</c:v>
                </c:pt>
                <c:pt idx="13">
                  <c:v>184834084</c:v>
                </c:pt>
                <c:pt idx="14">
                  <c:v>165990937</c:v>
                </c:pt>
                <c:pt idx="15">
                  <c:v>146064307</c:v>
                </c:pt>
                <c:pt idx="16">
                  <c:v>124991899</c:v>
                </c:pt>
                <c:pt idx="17">
                  <c:v>102707826</c:v>
                </c:pt>
                <c:pt idx="18">
                  <c:v>79142419</c:v>
                </c:pt>
                <c:pt idx="19">
                  <c:v>54222001</c:v>
                </c:pt>
                <c:pt idx="20">
                  <c:v>27868658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102128"/>
        <c:axId val="352727688"/>
      </c:areaChart>
      <c:catAx>
        <c:axId val="22610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27688"/>
        <c:crosses val="autoZero"/>
        <c:auto val="1"/>
        <c:lblAlgn val="ctr"/>
        <c:lblOffset val="100"/>
        <c:noMultiLvlLbl val="0"/>
      </c:catAx>
      <c:valAx>
        <c:axId val="35272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102128"/>
        <c:crosses val="autoZero"/>
        <c:crossBetween val="midCat"/>
        <c:majorUnit val="7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3" tint="0.39997558519241921"/>
  </sheetPr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3" tint="0.39997558519241921"/>
  </sheetPr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Q94"/>
  <sheetViews>
    <sheetView topLeftCell="A13" zoomScale="80" zoomScaleNormal="80" workbookViewId="0"/>
  </sheetViews>
  <sheetFormatPr defaultRowHeight="15" x14ac:dyDescent="0.25"/>
  <sheetData>
    <row r="3" spans="1:17" ht="18.75" customHeight="1" x14ac:dyDescent="0.25">
      <c r="A3" s="448" t="s">
        <v>0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2"/>
      <c r="O3" s="2"/>
      <c r="P3" s="2"/>
      <c r="Q3" s="2"/>
    </row>
    <row r="4" spans="1:17" ht="15.75" customHeight="1" x14ac:dyDescent="0.25">
      <c r="A4" s="447" t="s">
        <v>1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3"/>
      <c r="O4" s="3"/>
      <c r="P4" s="3"/>
      <c r="Q4" s="3"/>
    </row>
    <row r="8" spans="1:17" ht="15.75" customHeight="1" x14ac:dyDescent="0.25">
      <c r="B8" s="435" t="s">
        <v>2</v>
      </c>
      <c r="C8" s="435"/>
      <c r="D8" s="435"/>
      <c r="E8" s="435"/>
      <c r="F8" s="435"/>
      <c r="G8" s="435"/>
      <c r="H8" s="435"/>
      <c r="I8" s="435"/>
      <c r="J8" s="435"/>
      <c r="K8" s="435"/>
      <c r="L8" s="435"/>
    </row>
    <row r="9" spans="1:17" x14ac:dyDescent="0.25">
      <c r="B9" s="449"/>
      <c r="C9" s="449"/>
      <c r="D9" s="449"/>
      <c r="E9" s="449"/>
      <c r="H9" s="437" t="s">
        <v>3</v>
      </c>
      <c r="I9" s="437"/>
      <c r="K9" s="437" t="s">
        <v>4</v>
      </c>
      <c r="L9" s="437"/>
    </row>
    <row r="10" spans="1:17" x14ac:dyDescent="0.25">
      <c r="B10" s="436" t="s">
        <v>5</v>
      </c>
      <c r="C10" s="436"/>
      <c r="D10" s="436"/>
      <c r="E10" s="436"/>
    </row>
    <row r="11" spans="1:17" x14ac:dyDescent="0.25">
      <c r="B11" s="439" t="s">
        <v>6</v>
      </c>
      <c r="C11" s="439"/>
      <c r="D11" s="439"/>
      <c r="E11" s="439"/>
      <c r="H11" s="445">
        <v>4.7E-2</v>
      </c>
      <c r="I11" s="445"/>
      <c r="K11" s="445">
        <v>7.0000000000000007E-2</v>
      </c>
      <c r="L11" s="445"/>
    </row>
    <row r="12" spans="1:17" x14ac:dyDescent="0.25">
      <c r="B12" s="439" t="s">
        <v>7</v>
      </c>
      <c r="C12" s="439"/>
      <c r="D12" s="439"/>
      <c r="E12" s="439"/>
      <c r="H12" s="445">
        <v>3.0799E-2</v>
      </c>
      <c r="I12" s="445"/>
      <c r="K12" s="445">
        <v>3.7449999999999997E-2</v>
      </c>
      <c r="L12" s="445"/>
    </row>
    <row r="13" spans="1:17" x14ac:dyDescent="0.25">
      <c r="B13" s="1" t="s">
        <v>8</v>
      </c>
      <c r="G13" s="7"/>
      <c r="H13" s="445">
        <v>1.7000000000000001E-2</v>
      </c>
      <c r="I13" s="445"/>
      <c r="K13" s="445">
        <v>3.5000000000000003E-2</v>
      </c>
      <c r="L13" s="445"/>
    </row>
    <row r="14" spans="1:17" x14ac:dyDescent="0.25">
      <c r="B14" s="441"/>
      <c r="C14" s="441"/>
      <c r="D14" s="441"/>
      <c r="E14" s="441"/>
    </row>
    <row r="15" spans="1:17" x14ac:dyDescent="0.25">
      <c r="B15" s="436" t="s">
        <v>9</v>
      </c>
      <c r="C15" s="436"/>
      <c r="D15" s="436"/>
      <c r="E15" s="436"/>
    </row>
    <row r="16" spans="1:17" x14ac:dyDescent="0.25">
      <c r="B16" s="439" t="s">
        <v>10</v>
      </c>
      <c r="C16" s="439"/>
      <c r="D16" s="439"/>
      <c r="E16" s="439"/>
      <c r="G16" s="7"/>
      <c r="H16" s="445">
        <v>1.9047000000000001E-2</v>
      </c>
      <c r="I16" s="445"/>
      <c r="K16" s="445">
        <v>3.8106000000000001E-2</v>
      </c>
      <c r="L16" s="445"/>
    </row>
    <row r="17" spans="2:12" ht="15.75" customHeight="1" thickBot="1" x14ac:dyDescent="0.3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9" spans="2:12" ht="15.75" customHeight="1" x14ac:dyDescent="0.25">
      <c r="B19" s="435" t="s">
        <v>11</v>
      </c>
      <c r="C19" s="435"/>
      <c r="D19" s="435"/>
      <c r="E19" s="435"/>
      <c r="F19" s="435"/>
      <c r="G19" s="435"/>
      <c r="H19" s="435"/>
      <c r="I19" s="435"/>
      <c r="J19" s="435"/>
      <c r="K19" s="435"/>
      <c r="L19" s="435"/>
    </row>
    <row r="20" spans="2:12" x14ac:dyDescent="0.25">
      <c r="B20" s="441"/>
      <c r="C20" s="441"/>
      <c r="D20" s="441"/>
      <c r="E20" s="441"/>
      <c r="F20" s="441"/>
      <c r="G20" s="441"/>
    </row>
    <row r="21" spans="2:12" x14ac:dyDescent="0.25">
      <c r="B21" s="439" t="s">
        <v>12</v>
      </c>
      <c r="C21" s="439"/>
      <c r="D21" s="439"/>
      <c r="E21" s="439"/>
      <c r="F21" s="439"/>
      <c r="G21" s="439"/>
      <c r="H21" s="442">
        <v>31</v>
      </c>
      <c r="I21" s="442"/>
    </row>
    <row r="22" spans="2:12" x14ac:dyDescent="0.25">
      <c r="B22" s="439" t="s">
        <v>13</v>
      </c>
      <c r="C22" s="439"/>
      <c r="D22" s="439"/>
      <c r="E22" s="439"/>
      <c r="F22" s="439"/>
      <c r="G22" s="439"/>
      <c r="H22" s="443">
        <v>761700000</v>
      </c>
      <c r="I22" s="443"/>
    </row>
    <row r="23" spans="2:12" x14ac:dyDescent="0.25">
      <c r="B23" s="444"/>
      <c r="C23" s="444"/>
      <c r="D23" s="444"/>
      <c r="E23" s="444"/>
      <c r="F23" s="444"/>
      <c r="G23" s="444"/>
    </row>
    <row r="24" spans="2:12" x14ac:dyDescent="0.25">
      <c r="B24" s="436" t="s">
        <v>14</v>
      </c>
      <c r="C24" s="436"/>
      <c r="D24" s="436"/>
      <c r="E24" s="436"/>
      <c r="F24" s="436"/>
      <c r="G24" s="436"/>
    </row>
    <row r="25" spans="2:12" x14ac:dyDescent="0.25">
      <c r="B25" s="439" t="s">
        <v>15</v>
      </c>
      <c r="C25" s="439"/>
      <c r="D25" s="439"/>
      <c r="E25" s="439"/>
      <c r="F25" s="439"/>
      <c r="G25" s="439"/>
      <c r="H25" s="442">
        <v>8</v>
      </c>
      <c r="I25" s="442"/>
    </row>
    <row r="26" spans="2:12" x14ac:dyDescent="0.25">
      <c r="B26" s="439" t="s">
        <v>16</v>
      </c>
      <c r="C26" s="439"/>
      <c r="D26" s="439"/>
      <c r="E26" s="439"/>
      <c r="F26" s="439"/>
      <c r="G26" s="439"/>
      <c r="H26" s="443">
        <v>345000000</v>
      </c>
      <c r="I26" s="443"/>
    </row>
    <row r="27" spans="2:12" x14ac:dyDescent="0.25">
      <c r="B27" s="439" t="s">
        <v>17</v>
      </c>
      <c r="C27" s="439"/>
      <c r="D27" s="439"/>
      <c r="E27" s="439"/>
      <c r="F27" s="439"/>
      <c r="G27" s="439"/>
      <c r="H27" s="443">
        <v>29471107</v>
      </c>
      <c r="I27" s="443"/>
    </row>
    <row r="29" spans="2:12" x14ac:dyDescent="0.25">
      <c r="B29" s="436" t="s">
        <v>18</v>
      </c>
      <c r="C29" s="436"/>
      <c r="D29" s="436"/>
      <c r="E29" s="436"/>
      <c r="F29" s="436"/>
      <c r="G29" s="436"/>
    </row>
    <row r="30" spans="2:12" x14ac:dyDescent="0.25">
      <c r="B30" s="439" t="s">
        <v>15</v>
      </c>
      <c r="C30" s="439"/>
      <c r="D30" s="439"/>
      <c r="E30" s="439"/>
      <c r="F30" s="439"/>
      <c r="G30" s="439"/>
      <c r="H30" s="442">
        <v>2</v>
      </c>
      <c r="I30" s="442"/>
    </row>
    <row r="31" spans="2:12" x14ac:dyDescent="0.25">
      <c r="B31" s="439" t="s">
        <v>16</v>
      </c>
      <c r="C31" s="439"/>
      <c r="D31" s="439"/>
      <c r="E31" s="439"/>
      <c r="F31" s="439"/>
      <c r="G31" s="439"/>
      <c r="H31" s="443">
        <v>3900000</v>
      </c>
      <c r="I31" s="443"/>
    </row>
    <row r="32" spans="2:12" ht="15.75" customHeight="1" thickBot="1" x14ac:dyDescent="0.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4" spans="2:16" ht="15.75" customHeight="1" x14ac:dyDescent="0.25">
      <c r="B34" s="435" t="s">
        <v>19</v>
      </c>
      <c r="C34" s="435"/>
      <c r="D34" s="435"/>
      <c r="E34" s="435"/>
      <c r="F34" s="435"/>
      <c r="G34" s="435"/>
      <c r="H34" s="435"/>
      <c r="I34" s="435"/>
      <c r="J34" s="435"/>
      <c r="K34" s="435"/>
      <c r="L34" s="435"/>
    </row>
    <row r="35" spans="2:16" ht="15.75" customHeight="1" x14ac:dyDescent="0.25">
      <c r="B35" s="10"/>
      <c r="C35" s="10"/>
      <c r="D35" s="10"/>
      <c r="E35" s="10"/>
      <c r="H35" s="437" t="s">
        <v>3</v>
      </c>
      <c r="I35" s="437"/>
      <c r="K35" s="437" t="s">
        <v>4</v>
      </c>
      <c r="L35" s="437"/>
    </row>
    <row r="36" spans="2:16" x14ac:dyDescent="0.25">
      <c r="B36" s="436" t="s">
        <v>20</v>
      </c>
      <c r="C36" s="436"/>
      <c r="D36" s="436"/>
      <c r="E36" s="436"/>
      <c r="F36" s="436"/>
      <c r="G36" s="436"/>
    </row>
    <row r="37" spans="2:16" x14ac:dyDescent="0.25">
      <c r="B37" s="439" t="s">
        <v>21</v>
      </c>
      <c r="C37" s="439"/>
      <c r="D37" s="439"/>
      <c r="E37" s="439"/>
      <c r="F37" s="439"/>
      <c r="G37" s="439"/>
      <c r="H37" s="442">
        <v>56</v>
      </c>
      <c r="I37" s="442"/>
      <c r="K37" s="442">
        <v>55</v>
      </c>
      <c r="L37" s="442"/>
    </row>
    <row r="38" spans="2:16" x14ac:dyDescent="0.25">
      <c r="B38" s="439" t="s">
        <v>22</v>
      </c>
      <c r="C38" s="439"/>
      <c r="D38" s="439"/>
      <c r="E38" s="439"/>
      <c r="F38" s="439"/>
      <c r="G38" s="439"/>
      <c r="H38" s="443">
        <v>520261953</v>
      </c>
      <c r="I38" s="443"/>
      <c r="K38" s="443">
        <v>473746954</v>
      </c>
      <c r="L38" s="443"/>
    </row>
    <row r="39" spans="2:16" x14ac:dyDescent="0.25">
      <c r="B39" s="6"/>
      <c r="C39" s="6"/>
      <c r="D39" s="6"/>
      <c r="E39" s="6"/>
      <c r="F39" s="6"/>
      <c r="G39" s="6"/>
      <c r="H39" s="9"/>
      <c r="I39" s="9"/>
      <c r="K39" s="9"/>
      <c r="L39" s="9"/>
    </row>
    <row r="40" spans="2:16" x14ac:dyDescent="0.25">
      <c r="B40" s="446" t="s">
        <v>23</v>
      </c>
      <c r="C40" s="446"/>
      <c r="D40" s="446"/>
      <c r="E40" s="446"/>
      <c r="F40" s="446"/>
      <c r="G40" s="446"/>
    </row>
    <row r="41" spans="2:16" x14ac:dyDescent="0.25">
      <c r="B41" s="439" t="s">
        <v>21</v>
      </c>
      <c r="C41" s="439"/>
      <c r="D41" s="439"/>
      <c r="E41" s="439"/>
      <c r="F41" s="439"/>
      <c r="G41" s="439"/>
      <c r="H41" s="442">
        <v>44</v>
      </c>
      <c r="I41" s="442"/>
      <c r="K41" s="442">
        <v>44</v>
      </c>
      <c r="L41" s="442"/>
    </row>
    <row r="42" spans="2:16" x14ac:dyDescent="0.25">
      <c r="B42" s="439" t="s">
        <v>22</v>
      </c>
      <c r="C42" s="439"/>
      <c r="D42" s="439"/>
      <c r="E42" s="439"/>
      <c r="F42" s="439"/>
      <c r="G42" s="439"/>
      <c r="H42" s="443">
        <v>440395333</v>
      </c>
      <c r="I42" s="443"/>
      <c r="K42" s="443">
        <v>426196182</v>
      </c>
      <c r="L42" s="443"/>
    </row>
    <row r="43" spans="2:16" ht="15.75" customHeight="1" thickBot="1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2:1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6" ht="15.75" customHeight="1" x14ac:dyDescent="0.25">
      <c r="B45" s="435" t="s">
        <v>24</v>
      </c>
      <c r="C45" s="435"/>
      <c r="D45" s="435"/>
      <c r="E45" s="435"/>
      <c r="F45" s="435"/>
      <c r="G45" s="435"/>
      <c r="H45" s="435"/>
      <c r="I45" s="435"/>
      <c r="J45" s="435"/>
      <c r="K45" s="435"/>
      <c r="L45" s="435"/>
    </row>
    <row r="46" spans="2:16" x14ac:dyDescent="0.25">
      <c r="B46" s="436"/>
      <c r="C46" s="436"/>
      <c r="D46" s="436"/>
      <c r="E46" s="436"/>
      <c r="F46" s="436"/>
      <c r="G46" s="436"/>
      <c r="H46" s="437" t="s">
        <v>3</v>
      </c>
      <c r="I46" s="437"/>
      <c r="K46" s="437" t="s">
        <v>4</v>
      </c>
      <c r="L46" s="437"/>
    </row>
    <row r="47" spans="2:16" x14ac:dyDescent="0.25">
      <c r="B47" s="5"/>
      <c r="C47" s="5"/>
      <c r="D47" s="5"/>
      <c r="E47" s="5"/>
      <c r="F47" s="5"/>
      <c r="G47" s="5"/>
      <c r="H47" s="4"/>
      <c r="I47" s="4"/>
      <c r="K47" s="4"/>
      <c r="L47" s="4"/>
    </row>
    <row r="48" spans="2:16" ht="15" customHeight="1" x14ac:dyDescent="0.25">
      <c r="B48" s="439" t="s">
        <v>25</v>
      </c>
      <c r="C48" s="439"/>
      <c r="D48" s="439"/>
      <c r="E48" s="439"/>
      <c r="F48" s="439"/>
      <c r="G48" s="439"/>
      <c r="H48" s="443">
        <v>50</v>
      </c>
      <c r="I48" s="443"/>
      <c r="K48" s="443">
        <v>50</v>
      </c>
      <c r="L48" s="443"/>
      <c r="M48" s="11"/>
      <c r="N48" s="11"/>
      <c r="O48" s="11"/>
      <c r="P48" s="11"/>
    </row>
    <row r="49" spans="2:16" ht="15.75" customHeight="1" thickBot="1" x14ac:dyDescent="0.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11"/>
      <c r="N49" s="11"/>
      <c r="O49" s="11"/>
      <c r="P49" s="11"/>
    </row>
    <row r="50" spans="2:16" x14ac:dyDescent="0.25">
      <c r="M50" s="11"/>
      <c r="N50" s="11"/>
      <c r="O50" s="11"/>
      <c r="P50" s="11"/>
    </row>
    <row r="51" spans="2:16" ht="15.75" customHeight="1" x14ac:dyDescent="0.25">
      <c r="B51" s="435" t="s">
        <v>26</v>
      </c>
      <c r="C51" s="435"/>
      <c r="D51" s="435"/>
      <c r="E51" s="435"/>
      <c r="F51" s="435"/>
      <c r="G51" s="435"/>
      <c r="H51" s="435"/>
      <c r="I51" s="435"/>
      <c r="J51" s="435"/>
      <c r="K51" s="435"/>
      <c r="L51" s="435"/>
      <c r="M51" s="11"/>
      <c r="N51" s="11"/>
      <c r="O51" s="11"/>
      <c r="P51" s="11"/>
    </row>
    <row r="52" spans="2:16" x14ac:dyDescent="0.25">
      <c r="B52" s="441"/>
      <c r="C52" s="441"/>
      <c r="D52" s="441"/>
      <c r="E52" s="441"/>
      <c r="F52" s="441"/>
      <c r="G52" s="441"/>
      <c r="M52" s="11"/>
      <c r="N52" s="11"/>
      <c r="O52" s="11"/>
      <c r="P52" s="11"/>
    </row>
    <row r="53" spans="2:16" x14ac:dyDescent="0.25">
      <c r="B53" s="439" t="s">
        <v>27</v>
      </c>
      <c r="C53" s="439"/>
      <c r="D53" s="439"/>
      <c r="E53" s="439"/>
      <c r="F53" s="439"/>
      <c r="G53" s="439"/>
      <c r="H53" s="440">
        <v>5.0000000000000001E-3</v>
      </c>
      <c r="I53" s="440"/>
      <c r="M53" s="11"/>
      <c r="N53" s="11"/>
      <c r="O53" s="11"/>
      <c r="P53" s="11"/>
    </row>
    <row r="54" spans="2:16" x14ac:dyDescent="0.25">
      <c r="B54" s="439" t="s">
        <v>28</v>
      </c>
      <c r="C54" s="439"/>
      <c r="D54" s="439"/>
      <c r="E54" s="439"/>
      <c r="F54" s="439"/>
      <c r="G54" s="439"/>
      <c r="H54" s="440">
        <v>5.0000000000000001E-3</v>
      </c>
      <c r="I54" s="440"/>
      <c r="M54" s="11"/>
      <c r="N54" s="11"/>
      <c r="O54" s="11"/>
      <c r="P54" s="11"/>
    </row>
    <row r="55" spans="2:16" ht="15.75" customHeight="1" thickBot="1" x14ac:dyDescent="0.3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11"/>
      <c r="N55" s="11"/>
      <c r="O55" s="11"/>
      <c r="P55" s="11"/>
    </row>
    <row r="56" spans="2:16" x14ac:dyDescent="0.25">
      <c r="M56" s="11"/>
      <c r="N56" s="11"/>
      <c r="O56" s="11"/>
      <c r="P56" s="11"/>
    </row>
    <row r="57" spans="2:16" x14ac:dyDescent="0.25">
      <c r="M57" s="11"/>
      <c r="N57" s="11"/>
      <c r="O57" s="11"/>
      <c r="P57" s="11"/>
    </row>
    <row r="58" spans="2:16" ht="15.75" customHeight="1" x14ac:dyDescent="0.25">
      <c r="B58" s="435" t="s">
        <v>29</v>
      </c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11"/>
      <c r="N58" s="11"/>
      <c r="O58" s="11"/>
      <c r="P58" s="11"/>
    </row>
    <row r="59" spans="2:16" x14ac:dyDescent="0.25">
      <c r="M59" s="11"/>
      <c r="N59" s="11"/>
      <c r="O59" s="11"/>
      <c r="P59" s="11"/>
    </row>
    <row r="60" spans="2:16" ht="15" customHeight="1" x14ac:dyDescent="0.25">
      <c r="B60" s="438"/>
      <c r="C60" s="438"/>
      <c r="D60" s="438"/>
      <c r="E60" s="438"/>
      <c r="F60" s="438"/>
      <c r="G60" s="438"/>
      <c r="H60" s="438"/>
      <c r="I60" s="438"/>
      <c r="J60" s="438"/>
      <c r="K60" s="438"/>
      <c r="L60" s="438"/>
      <c r="M60" s="11"/>
      <c r="N60" s="11"/>
      <c r="O60" s="11"/>
      <c r="P60" s="11"/>
    </row>
    <row r="61" spans="2:16" x14ac:dyDescent="0.25">
      <c r="B61" s="438"/>
      <c r="C61" s="438"/>
      <c r="D61" s="438"/>
      <c r="E61" s="438"/>
      <c r="F61" s="438"/>
      <c r="G61" s="438"/>
      <c r="H61" s="438"/>
      <c r="I61" s="438"/>
      <c r="J61" s="438"/>
      <c r="K61" s="438"/>
      <c r="L61" s="438"/>
      <c r="M61" s="11"/>
      <c r="N61" s="11"/>
      <c r="O61" s="11"/>
      <c r="P61" s="11"/>
    </row>
    <row r="62" spans="2:16" x14ac:dyDescent="0.25">
      <c r="B62" s="438"/>
      <c r="C62" s="438"/>
      <c r="D62" s="438"/>
      <c r="E62" s="438"/>
      <c r="F62" s="438"/>
      <c r="G62" s="438"/>
      <c r="H62" s="438"/>
      <c r="I62" s="438"/>
      <c r="J62" s="438"/>
      <c r="K62" s="438"/>
      <c r="L62" s="438"/>
      <c r="M62" s="11"/>
      <c r="N62" s="11"/>
      <c r="O62" s="11"/>
      <c r="P62" s="11"/>
    </row>
    <row r="63" spans="2:16" x14ac:dyDescent="0.25">
      <c r="B63" s="438"/>
      <c r="C63" s="438"/>
      <c r="D63" s="438"/>
      <c r="E63" s="438"/>
      <c r="F63" s="438"/>
      <c r="G63" s="438"/>
      <c r="H63" s="438"/>
      <c r="I63" s="438"/>
      <c r="J63" s="438"/>
      <c r="K63" s="438"/>
      <c r="L63" s="438"/>
      <c r="M63" s="11"/>
      <c r="N63" s="11"/>
      <c r="O63" s="11"/>
      <c r="P63" s="11"/>
    </row>
    <row r="64" spans="2:16" x14ac:dyDescent="0.25">
      <c r="B64" s="438"/>
      <c r="C64" s="438"/>
      <c r="D64" s="438"/>
      <c r="E64" s="438"/>
      <c r="F64" s="438"/>
      <c r="G64" s="438"/>
      <c r="H64" s="438"/>
      <c r="I64" s="438"/>
      <c r="J64" s="438"/>
      <c r="K64" s="438"/>
      <c r="L64" s="438"/>
      <c r="M64" s="11"/>
      <c r="N64" s="11"/>
      <c r="O64" s="11"/>
      <c r="P64" s="11"/>
    </row>
    <row r="65" spans="2:16" x14ac:dyDescent="0.25">
      <c r="B65" s="438"/>
      <c r="C65" s="438"/>
      <c r="D65" s="438"/>
      <c r="E65" s="438"/>
      <c r="F65" s="438"/>
      <c r="G65" s="438"/>
      <c r="H65" s="438"/>
      <c r="I65" s="438"/>
      <c r="J65" s="438"/>
      <c r="K65" s="438"/>
      <c r="L65" s="438"/>
      <c r="M65" s="11"/>
      <c r="N65" s="11"/>
      <c r="O65" s="11"/>
      <c r="P65" s="11"/>
    </row>
    <row r="66" spans="2:16" x14ac:dyDescent="0.25">
      <c r="B66" s="438"/>
      <c r="C66" s="438"/>
      <c r="D66" s="438"/>
      <c r="E66" s="438"/>
      <c r="F66" s="438"/>
      <c r="G66" s="438"/>
      <c r="H66" s="438"/>
      <c r="I66" s="438"/>
      <c r="J66" s="438"/>
      <c r="K66" s="438"/>
      <c r="L66" s="438"/>
      <c r="M66" s="11"/>
      <c r="N66" s="11"/>
      <c r="O66" s="11"/>
      <c r="P66" s="11"/>
    </row>
    <row r="67" spans="2:16" x14ac:dyDescent="0.25"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11"/>
      <c r="N67" s="11"/>
      <c r="O67" s="11"/>
      <c r="P67" s="11"/>
    </row>
    <row r="68" spans="2:16" x14ac:dyDescent="0.25">
      <c r="B68" s="438"/>
      <c r="C68" s="438"/>
      <c r="D68" s="438"/>
      <c r="E68" s="438"/>
      <c r="F68" s="438"/>
      <c r="G68" s="438"/>
      <c r="H68" s="438"/>
      <c r="I68" s="438"/>
      <c r="J68" s="438"/>
      <c r="K68" s="438"/>
      <c r="L68" s="438"/>
      <c r="M68" s="11"/>
      <c r="N68" s="11"/>
      <c r="O68" s="11"/>
      <c r="P68" s="11"/>
    </row>
    <row r="69" spans="2:16" x14ac:dyDescent="0.25">
      <c r="B69" s="438"/>
      <c r="C69" s="438"/>
      <c r="D69" s="438"/>
      <c r="E69" s="438"/>
      <c r="F69" s="438"/>
      <c r="G69" s="438"/>
      <c r="H69" s="438"/>
      <c r="I69" s="438"/>
      <c r="J69" s="438"/>
      <c r="K69" s="438"/>
      <c r="L69" s="438"/>
      <c r="M69" s="11"/>
      <c r="N69" s="11"/>
      <c r="O69" s="11"/>
      <c r="P69" s="11"/>
    </row>
    <row r="70" spans="2:16" x14ac:dyDescent="0.25">
      <c r="B70" s="438"/>
      <c r="C70" s="438"/>
      <c r="D70" s="438"/>
      <c r="E70" s="438"/>
      <c r="F70" s="438"/>
      <c r="G70" s="438"/>
      <c r="H70" s="438"/>
      <c r="I70" s="438"/>
      <c r="J70" s="438"/>
      <c r="K70" s="438"/>
      <c r="L70" s="438"/>
      <c r="M70" s="11"/>
      <c r="N70" s="11"/>
      <c r="O70" s="11"/>
      <c r="P70" s="11"/>
    </row>
    <row r="71" spans="2:16" x14ac:dyDescent="0.25">
      <c r="B71" s="438"/>
      <c r="C71" s="438"/>
      <c r="D71" s="438"/>
      <c r="E71" s="438"/>
      <c r="F71" s="438"/>
      <c r="G71" s="438"/>
      <c r="H71" s="438"/>
      <c r="I71" s="438"/>
      <c r="J71" s="438"/>
      <c r="K71" s="438"/>
      <c r="L71" s="438"/>
      <c r="M71" s="11"/>
      <c r="N71" s="11"/>
      <c r="O71" s="11"/>
      <c r="P71" s="11"/>
    </row>
    <row r="72" spans="2:16" x14ac:dyDescent="0.25">
      <c r="B72" s="438"/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11"/>
      <c r="N72" s="11"/>
      <c r="O72" s="11"/>
      <c r="P72" s="11"/>
    </row>
    <row r="73" spans="2:16" x14ac:dyDescent="0.25">
      <c r="B73" s="438"/>
      <c r="C73" s="438"/>
      <c r="D73" s="438"/>
      <c r="E73" s="438"/>
      <c r="F73" s="438"/>
      <c r="G73" s="438"/>
      <c r="H73" s="438"/>
      <c r="I73" s="438"/>
      <c r="J73" s="438"/>
      <c r="K73" s="438"/>
      <c r="L73" s="438"/>
      <c r="M73" s="11"/>
      <c r="N73" s="11"/>
      <c r="O73" s="11"/>
      <c r="P73" s="11"/>
    </row>
    <row r="74" spans="2:16" x14ac:dyDescent="0.25">
      <c r="B74" s="438"/>
      <c r="C74" s="438"/>
      <c r="D74" s="438"/>
      <c r="E74" s="438"/>
      <c r="F74" s="438"/>
      <c r="G74" s="438"/>
      <c r="H74" s="438"/>
      <c r="I74" s="438"/>
      <c r="J74" s="438"/>
      <c r="K74" s="438"/>
      <c r="L74" s="438"/>
      <c r="M74" s="11"/>
      <c r="N74" s="11"/>
      <c r="O74" s="11"/>
      <c r="P74" s="11"/>
    </row>
    <row r="75" spans="2:16" x14ac:dyDescent="0.25">
      <c r="B75" s="438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11"/>
      <c r="N75" s="11"/>
      <c r="O75" s="11"/>
      <c r="P75" s="11"/>
    </row>
    <row r="76" spans="2:16" x14ac:dyDescent="0.25">
      <c r="B76" s="438"/>
      <c r="C76" s="438"/>
      <c r="D76" s="438"/>
      <c r="E76" s="438"/>
      <c r="F76" s="438"/>
      <c r="G76" s="438"/>
      <c r="H76" s="438"/>
      <c r="I76" s="438"/>
      <c r="J76" s="438"/>
      <c r="K76" s="438"/>
      <c r="L76" s="438"/>
      <c r="M76" s="11"/>
      <c r="N76" s="11"/>
      <c r="O76" s="11"/>
      <c r="P76" s="11"/>
    </row>
    <row r="77" spans="2:16" x14ac:dyDescent="0.25">
      <c r="B77" s="438"/>
      <c r="C77" s="438"/>
      <c r="D77" s="438"/>
      <c r="E77" s="438"/>
      <c r="F77" s="438"/>
      <c r="G77" s="438"/>
      <c r="H77" s="438"/>
      <c r="I77" s="438"/>
      <c r="J77" s="438"/>
      <c r="K77" s="438"/>
      <c r="L77" s="438"/>
      <c r="M77" s="11"/>
      <c r="N77" s="11"/>
      <c r="O77" s="11"/>
      <c r="P77" s="11"/>
    </row>
    <row r="78" spans="2:16" x14ac:dyDescent="0.25">
      <c r="B78" s="438"/>
      <c r="C78" s="438"/>
      <c r="D78" s="438"/>
      <c r="E78" s="438"/>
      <c r="F78" s="438"/>
      <c r="G78" s="438"/>
      <c r="H78" s="438"/>
      <c r="I78" s="438"/>
      <c r="J78" s="438"/>
      <c r="K78" s="438"/>
      <c r="L78" s="438"/>
      <c r="M78" s="11"/>
      <c r="N78" s="11"/>
      <c r="O78" s="11"/>
      <c r="P78" s="11"/>
    </row>
    <row r="79" spans="2:16" x14ac:dyDescent="0.25">
      <c r="B79" s="438"/>
      <c r="C79" s="438"/>
      <c r="D79" s="438"/>
      <c r="E79" s="438"/>
      <c r="F79" s="438"/>
      <c r="G79" s="438"/>
      <c r="H79" s="438"/>
      <c r="I79" s="438"/>
      <c r="J79" s="438"/>
      <c r="K79" s="438"/>
      <c r="L79" s="438"/>
    </row>
    <row r="80" spans="2:16" x14ac:dyDescent="0.25">
      <c r="B80" s="438"/>
      <c r="C80" s="438"/>
      <c r="D80" s="438"/>
      <c r="E80" s="438"/>
      <c r="F80" s="438"/>
      <c r="G80" s="438"/>
      <c r="H80" s="438"/>
      <c r="I80" s="438"/>
      <c r="J80" s="438"/>
      <c r="K80" s="438"/>
      <c r="L80" s="438"/>
    </row>
    <row r="81" spans="2:12" x14ac:dyDescent="0.25">
      <c r="B81" s="438"/>
      <c r="C81" s="438"/>
      <c r="D81" s="438"/>
      <c r="E81" s="438"/>
      <c r="F81" s="438"/>
      <c r="G81" s="438"/>
      <c r="H81" s="438"/>
      <c r="I81" s="438"/>
      <c r="J81" s="438"/>
      <c r="K81" s="438"/>
      <c r="L81" s="438"/>
    </row>
    <row r="82" spans="2:12" x14ac:dyDescent="0.25">
      <c r="B82" s="438"/>
      <c r="C82" s="438"/>
      <c r="D82" s="438"/>
      <c r="E82" s="438"/>
      <c r="F82" s="438"/>
      <c r="G82" s="438"/>
      <c r="H82" s="438"/>
      <c r="I82" s="438"/>
      <c r="J82" s="438"/>
      <c r="K82" s="438"/>
      <c r="L82" s="438"/>
    </row>
    <row r="83" spans="2:12" x14ac:dyDescent="0.25">
      <c r="B83" s="438"/>
      <c r="C83" s="438"/>
      <c r="D83" s="438"/>
      <c r="E83" s="438"/>
      <c r="F83" s="438"/>
      <c r="G83" s="438"/>
      <c r="H83" s="438"/>
      <c r="I83" s="438"/>
      <c r="J83" s="438"/>
      <c r="K83" s="438"/>
      <c r="L83" s="438"/>
    </row>
    <row r="84" spans="2:12" x14ac:dyDescent="0.2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2:12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2:12" x14ac:dyDescent="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2:12" x14ac:dyDescent="0.2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2:12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2:12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2:12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2:12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2:12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2:12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2:12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</sheetData>
  <mergeCells count="71">
    <mergeCell ref="K16:L16"/>
    <mergeCell ref="B19:L19"/>
    <mergeCell ref="K38:L38"/>
    <mergeCell ref="B38:G38"/>
    <mergeCell ref="H38:I38"/>
    <mergeCell ref="H35:I35"/>
    <mergeCell ref="B36:G36"/>
    <mergeCell ref="B37:G37"/>
    <mergeCell ref="H37:I37"/>
    <mergeCell ref="B25:G25"/>
    <mergeCell ref="B26:G26"/>
    <mergeCell ref="B22:G22"/>
    <mergeCell ref="B21:G21"/>
    <mergeCell ref="H31:I31"/>
    <mergeCell ref="B34:L34"/>
    <mergeCell ref="B31:G31"/>
    <mergeCell ref="A4:M4"/>
    <mergeCell ref="A3:M3"/>
    <mergeCell ref="B12:E12"/>
    <mergeCell ref="B11:E11"/>
    <mergeCell ref="B16:E16"/>
    <mergeCell ref="B15:E15"/>
    <mergeCell ref="B9:E9"/>
    <mergeCell ref="B10:E10"/>
    <mergeCell ref="B8:L8"/>
    <mergeCell ref="H9:I9"/>
    <mergeCell ref="K9:L9"/>
    <mergeCell ref="H11:I11"/>
    <mergeCell ref="H12:I12"/>
    <mergeCell ref="K11:L11"/>
    <mergeCell ref="K13:L13"/>
    <mergeCell ref="H16:I16"/>
    <mergeCell ref="K12:L12"/>
    <mergeCell ref="H13:I13"/>
    <mergeCell ref="B48:G48"/>
    <mergeCell ref="H48:I48"/>
    <mergeCell ref="K48:L48"/>
    <mergeCell ref="K46:L46"/>
    <mergeCell ref="H27:I27"/>
    <mergeCell ref="K42:L42"/>
    <mergeCell ref="K35:L35"/>
    <mergeCell ref="K37:L37"/>
    <mergeCell ref="K41:L41"/>
    <mergeCell ref="B42:G42"/>
    <mergeCell ref="H42:I42"/>
    <mergeCell ref="B40:G40"/>
    <mergeCell ref="B41:G41"/>
    <mergeCell ref="H41:I41"/>
    <mergeCell ref="B14:E14"/>
    <mergeCell ref="B29:G29"/>
    <mergeCell ref="B30:G30"/>
    <mergeCell ref="H30:I30"/>
    <mergeCell ref="B27:G27"/>
    <mergeCell ref="B24:G24"/>
    <mergeCell ref="H25:I25"/>
    <mergeCell ref="H26:I26"/>
    <mergeCell ref="H22:I22"/>
    <mergeCell ref="B20:G20"/>
    <mergeCell ref="B23:G23"/>
    <mergeCell ref="H21:I21"/>
    <mergeCell ref="B45:L45"/>
    <mergeCell ref="B46:G46"/>
    <mergeCell ref="H46:I46"/>
    <mergeCell ref="B60:L83"/>
    <mergeCell ref="B53:G53"/>
    <mergeCell ref="H53:I53"/>
    <mergeCell ref="B51:L51"/>
    <mergeCell ref="B54:G54"/>
    <mergeCell ref="H54:I54"/>
    <mergeCell ref="B58:L58"/>
    <mergeCell ref="B52:G52"/>
  </mergeCells>
  <printOptions horizontalCentered="1"/>
  <pageMargins left="0.7" right="0.7" top="0.75" bottom="0.75" header="0.3" footer="0.3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32"/>
  <sheetViews>
    <sheetView zoomScale="80" zoomScaleNormal="80" workbookViewId="0"/>
  </sheetViews>
  <sheetFormatPr defaultRowHeight="15" x14ac:dyDescent="0.25"/>
  <cols>
    <col min="1" max="1" width="10.85546875" style="1" customWidth="1"/>
    <col min="2" max="2" width="14.28515625" style="1" hidden="1" customWidth="1"/>
    <col min="3" max="3" width="14.42578125" style="1" customWidth="1"/>
    <col min="4" max="4" width="8.7109375" style="1" customWidth="1"/>
    <col min="5" max="5" width="14.42578125" style="1" customWidth="1"/>
    <col min="6" max="6" width="14.28515625" style="1" hidden="1" customWidth="1"/>
    <col min="7" max="9" width="14.42578125" style="1" customWidth="1"/>
    <col min="10" max="10" width="8.7109375" style="1" customWidth="1"/>
    <col min="11" max="11" width="10.7109375" style="1" customWidth="1"/>
    <col min="12" max="12" width="14.42578125" style="1" customWidth="1"/>
    <col min="13" max="13" width="9.140625" style="1" customWidth="1"/>
    <col min="14" max="14" width="1.5703125" style="1" customWidth="1"/>
    <col min="15" max="15" width="14.28515625" style="1" hidden="1" customWidth="1"/>
    <col min="16" max="18" width="14.42578125" style="1" customWidth="1"/>
    <col min="19" max="19" width="8.7109375" style="1" customWidth="1"/>
    <col min="20" max="20" width="9.140625" style="1" customWidth="1"/>
    <col min="21" max="21" width="14.42578125" style="1" customWidth="1"/>
  </cols>
  <sheetData>
    <row r="1" spans="1:22" ht="15.75" customHeight="1" x14ac:dyDescent="0.25">
      <c r="A1" s="12" t="s">
        <v>250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2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2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2" x14ac:dyDescent="0.25">
      <c r="A4" s="14" t="s">
        <v>251</v>
      </c>
    </row>
    <row r="5" spans="1:22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2" ht="15" customHeight="1" thickBot="1" x14ac:dyDescent="0.3">
      <c r="A6" s="450"/>
      <c r="B6" s="510" t="s">
        <v>151</v>
      </c>
      <c r="C6" s="511" t="s">
        <v>151</v>
      </c>
      <c r="D6" s="511"/>
      <c r="E6" s="512"/>
      <c r="F6" s="455" t="s">
        <v>3</v>
      </c>
      <c r="G6" s="455"/>
      <c r="H6" s="455"/>
      <c r="I6" s="455"/>
      <c r="J6" s="455"/>
      <c r="K6" s="455"/>
      <c r="L6" s="455"/>
      <c r="M6" s="456"/>
      <c r="N6" s="316"/>
      <c r="O6" s="455" t="s">
        <v>4</v>
      </c>
      <c r="P6" s="455"/>
      <c r="Q6" s="455"/>
      <c r="R6" s="455"/>
      <c r="S6" s="455"/>
      <c r="T6" s="455"/>
      <c r="U6" s="455"/>
      <c r="V6" s="456"/>
    </row>
    <row r="7" spans="1:22" ht="15" customHeight="1" x14ac:dyDescent="0.25">
      <c r="A7" s="509"/>
      <c r="B7" s="624" t="s">
        <v>51</v>
      </c>
      <c r="C7" s="646" t="s">
        <v>252</v>
      </c>
      <c r="D7" s="654" t="s">
        <v>253</v>
      </c>
      <c r="E7" s="656" t="s">
        <v>156</v>
      </c>
      <c r="F7" s="661" t="s">
        <v>51</v>
      </c>
      <c r="G7" s="658" t="s">
        <v>52</v>
      </c>
      <c r="H7" s="659"/>
      <c r="I7" s="659"/>
      <c r="J7" s="659"/>
      <c r="K7" s="660"/>
      <c r="L7" s="621" t="s">
        <v>156</v>
      </c>
      <c r="M7" s="623"/>
      <c r="N7" s="207"/>
      <c r="O7" s="663" t="s">
        <v>51</v>
      </c>
      <c r="P7" s="658" t="s">
        <v>52</v>
      </c>
      <c r="Q7" s="659"/>
      <c r="R7" s="659"/>
      <c r="S7" s="659"/>
      <c r="T7" s="660"/>
      <c r="U7" s="621" t="s">
        <v>156</v>
      </c>
      <c r="V7" s="623"/>
    </row>
    <row r="8" spans="1:22" ht="45.75" customHeight="1" thickBot="1" x14ac:dyDescent="0.3">
      <c r="A8" s="451"/>
      <c r="B8" s="625"/>
      <c r="C8" s="647"/>
      <c r="D8" s="655"/>
      <c r="E8" s="657"/>
      <c r="F8" s="662"/>
      <c r="G8" s="317" t="s">
        <v>254</v>
      </c>
      <c r="H8" s="318" t="s">
        <v>255</v>
      </c>
      <c r="I8" s="318" t="s">
        <v>256</v>
      </c>
      <c r="J8" s="318" t="s">
        <v>253</v>
      </c>
      <c r="K8" s="319" t="s">
        <v>139</v>
      </c>
      <c r="L8" s="320" t="s">
        <v>256</v>
      </c>
      <c r="M8" s="321" t="s">
        <v>139</v>
      </c>
      <c r="N8" s="207"/>
      <c r="O8" s="664"/>
      <c r="P8" s="317" t="s">
        <v>254</v>
      </c>
      <c r="Q8" s="318" t="s">
        <v>255</v>
      </c>
      <c r="R8" s="318" t="s">
        <v>256</v>
      </c>
      <c r="S8" s="318" t="s">
        <v>253</v>
      </c>
      <c r="T8" s="319" t="s">
        <v>141</v>
      </c>
      <c r="U8" s="320" t="s">
        <v>256</v>
      </c>
      <c r="V8" s="321" t="s">
        <v>141</v>
      </c>
    </row>
    <row r="9" spans="1:22" x14ac:dyDescent="0.25">
      <c r="A9" s="238" t="s">
        <v>50</v>
      </c>
      <c r="B9" s="239">
        <v>184795242</v>
      </c>
      <c r="C9" s="322">
        <v>15751698</v>
      </c>
      <c r="D9" s="323">
        <f t="shared" ref="D9:D18" si="0">IF(B9 &gt; 0, C9/SUM(B9,C9), "")</f>
        <v>7.8543696553036405E-2</v>
      </c>
      <c r="E9" s="239">
        <v>0</v>
      </c>
      <c r="F9" s="324">
        <v>191241291</v>
      </c>
      <c r="G9" s="322">
        <v>15570491</v>
      </c>
      <c r="H9" s="325">
        <v>0</v>
      </c>
      <c r="I9" s="325">
        <f t="shared" ref="I9:I17" si="1">SUM(G9:H9)</f>
        <v>15570491</v>
      </c>
      <c r="J9" s="326">
        <f t="shared" ref="J9:J18" si="2">IF(F9 &gt; 0, I9/SUM(F9,I9), "")</f>
        <v>7.5288220281376425E-2</v>
      </c>
      <c r="K9" s="327">
        <f t="shared" ref="K9:K18" si="3">IF($C9 &gt; 0, (I9-$C9)/$C9, "")</f>
        <v>-1.1503966112097882E-2</v>
      </c>
      <c r="L9" s="322">
        <v>0</v>
      </c>
      <c r="M9" s="327" t="str">
        <f t="shared" ref="M9:M18" si="4">IF($E9 &gt; 0, (L9-$E9)/$E9, "")</f>
        <v/>
      </c>
      <c r="N9" s="15"/>
      <c r="O9" s="239">
        <v>196272455</v>
      </c>
      <c r="P9" s="322">
        <v>15700453</v>
      </c>
      <c r="Q9" s="325">
        <v>4143040</v>
      </c>
      <c r="R9" s="325">
        <f t="shared" ref="R9:R17" si="5">SUM(P9:Q9)</f>
        <v>19843493</v>
      </c>
      <c r="S9" s="326">
        <f t="shared" ref="S9:S18" si="6">IF(O9 &gt; 0, R9/SUM(O9,R9), "")</f>
        <v>9.1818735191166914E-2</v>
      </c>
      <c r="T9" s="327">
        <f t="shared" ref="T9:T18" si="7">IF($C9 &gt; 0, (R9-$C9)/$C9, "")</f>
        <v>0.25976850241796157</v>
      </c>
      <c r="U9" s="322">
        <v>0</v>
      </c>
      <c r="V9" s="327" t="str">
        <f t="shared" ref="V9:V18" si="8">IF($E9 &gt; 0, (U9-$E9)/$E9, "")</f>
        <v/>
      </c>
    </row>
    <row r="10" spans="1:22" x14ac:dyDescent="0.25">
      <c r="A10" s="241" t="s">
        <v>55</v>
      </c>
      <c r="B10" s="63">
        <v>8988877</v>
      </c>
      <c r="C10" s="66">
        <v>1229519</v>
      </c>
      <c r="D10" s="155">
        <f t="shared" si="0"/>
        <v>0.12032407043140626</v>
      </c>
      <c r="E10" s="63">
        <v>0</v>
      </c>
      <c r="F10" s="240">
        <v>9845463</v>
      </c>
      <c r="G10" s="66">
        <v>1228771</v>
      </c>
      <c r="H10" s="154">
        <v>0</v>
      </c>
      <c r="I10" s="154">
        <f t="shared" si="1"/>
        <v>1228771</v>
      </c>
      <c r="J10" s="328">
        <f t="shared" si="2"/>
        <v>0.11095765178882801</v>
      </c>
      <c r="K10" s="155">
        <f t="shared" si="3"/>
        <v>-6.0836798780661381E-4</v>
      </c>
      <c r="L10" s="66">
        <v>0</v>
      </c>
      <c r="M10" s="155" t="str">
        <f t="shared" si="4"/>
        <v/>
      </c>
      <c r="N10" s="19"/>
      <c r="O10" s="63">
        <v>10370335</v>
      </c>
      <c r="P10" s="66">
        <v>1225929</v>
      </c>
      <c r="Q10" s="154">
        <v>0</v>
      </c>
      <c r="R10" s="154">
        <f t="shared" si="5"/>
        <v>1225929</v>
      </c>
      <c r="S10" s="328">
        <f t="shared" si="6"/>
        <v>0.10571758283529938</v>
      </c>
      <c r="T10" s="155">
        <f t="shared" si="7"/>
        <v>-2.9198410109969835E-3</v>
      </c>
      <c r="U10" s="66">
        <v>0</v>
      </c>
      <c r="V10" s="155" t="str">
        <f t="shared" si="8"/>
        <v/>
      </c>
    </row>
    <row r="11" spans="1:22" x14ac:dyDescent="0.25">
      <c r="A11" s="241" t="s">
        <v>56</v>
      </c>
      <c r="B11" s="63">
        <v>12064986</v>
      </c>
      <c r="C11" s="66">
        <v>1551164</v>
      </c>
      <c r="D11" s="155">
        <f t="shared" si="0"/>
        <v>0.11392089540729207</v>
      </c>
      <c r="E11" s="63">
        <v>0</v>
      </c>
      <c r="F11" s="240">
        <v>12387796</v>
      </c>
      <c r="G11" s="66">
        <v>1550147</v>
      </c>
      <c r="H11" s="154">
        <v>0</v>
      </c>
      <c r="I11" s="154">
        <f t="shared" si="1"/>
        <v>1550147</v>
      </c>
      <c r="J11" s="328">
        <f t="shared" si="2"/>
        <v>0.11121777438751185</v>
      </c>
      <c r="K11" s="155">
        <f t="shared" si="3"/>
        <v>-6.5563667026826301E-4</v>
      </c>
      <c r="L11" s="66">
        <v>0</v>
      </c>
      <c r="M11" s="155" t="str">
        <f t="shared" si="4"/>
        <v/>
      </c>
      <c r="N11" s="19"/>
      <c r="O11" s="63">
        <v>12665739</v>
      </c>
      <c r="P11" s="66">
        <v>1547373</v>
      </c>
      <c r="Q11" s="154">
        <v>0</v>
      </c>
      <c r="R11" s="154">
        <f t="shared" si="5"/>
        <v>1547373</v>
      </c>
      <c r="S11" s="328">
        <f t="shared" si="6"/>
        <v>0.10886940171863839</v>
      </c>
      <c r="T11" s="155">
        <f t="shared" si="7"/>
        <v>-2.4439711081484616E-3</v>
      </c>
      <c r="U11" s="66">
        <v>0</v>
      </c>
      <c r="V11" s="155" t="str">
        <f t="shared" si="8"/>
        <v/>
      </c>
    </row>
    <row r="12" spans="1:22" x14ac:dyDescent="0.25">
      <c r="A12" s="241" t="s">
        <v>57</v>
      </c>
      <c r="B12" s="63">
        <v>16720237</v>
      </c>
      <c r="C12" s="66">
        <v>3160043</v>
      </c>
      <c r="D12" s="155">
        <f t="shared" si="0"/>
        <v>0.1589536465281173</v>
      </c>
      <c r="E12" s="63">
        <v>0</v>
      </c>
      <c r="F12" s="240">
        <v>17156825</v>
      </c>
      <c r="G12" s="66">
        <v>3160528</v>
      </c>
      <c r="H12" s="154">
        <v>0</v>
      </c>
      <c r="I12" s="154">
        <f t="shared" si="1"/>
        <v>3160528</v>
      </c>
      <c r="J12" s="328">
        <f t="shared" si="2"/>
        <v>0.15555805916252968</v>
      </c>
      <c r="K12" s="155">
        <f t="shared" si="3"/>
        <v>1.534789241791963E-4</v>
      </c>
      <c r="L12" s="66">
        <v>0</v>
      </c>
      <c r="M12" s="155" t="str">
        <f t="shared" si="4"/>
        <v/>
      </c>
      <c r="N12" s="19"/>
      <c r="O12" s="63">
        <v>17536438</v>
      </c>
      <c r="P12" s="66">
        <v>3158132</v>
      </c>
      <c r="Q12" s="154">
        <v>0</v>
      </c>
      <c r="R12" s="154">
        <f t="shared" si="5"/>
        <v>3158132</v>
      </c>
      <c r="S12" s="328">
        <f t="shared" si="6"/>
        <v>0.15260679492253282</v>
      </c>
      <c r="T12" s="155">
        <f t="shared" si="7"/>
        <v>-6.0473860640503942E-4</v>
      </c>
      <c r="U12" s="66">
        <v>0</v>
      </c>
      <c r="V12" s="155" t="str">
        <f t="shared" si="8"/>
        <v/>
      </c>
    </row>
    <row r="13" spans="1:22" x14ac:dyDescent="0.25">
      <c r="A13" s="241" t="s">
        <v>58</v>
      </c>
      <c r="B13" s="63">
        <v>95960976</v>
      </c>
      <c r="C13" s="66">
        <v>4798029</v>
      </c>
      <c r="D13" s="155">
        <f t="shared" si="0"/>
        <v>4.7618860468104068E-2</v>
      </c>
      <c r="E13" s="63">
        <v>0</v>
      </c>
      <c r="F13" s="240">
        <v>99868166</v>
      </c>
      <c r="G13" s="66">
        <v>4788025</v>
      </c>
      <c r="H13" s="154">
        <v>0</v>
      </c>
      <c r="I13" s="154">
        <f t="shared" si="1"/>
        <v>4788025</v>
      </c>
      <c r="J13" s="328">
        <f t="shared" si="2"/>
        <v>4.5750040721432329E-2</v>
      </c>
      <c r="K13" s="155">
        <f t="shared" si="3"/>
        <v>-2.0850228291658928E-3</v>
      </c>
      <c r="L13" s="66">
        <v>0</v>
      </c>
      <c r="M13" s="155" t="str">
        <f t="shared" si="4"/>
        <v/>
      </c>
      <c r="N13" s="19"/>
      <c r="O13" s="63">
        <v>102769696</v>
      </c>
      <c r="P13" s="66">
        <v>4791553</v>
      </c>
      <c r="Q13" s="154">
        <v>0</v>
      </c>
      <c r="R13" s="154">
        <f t="shared" si="5"/>
        <v>4791553</v>
      </c>
      <c r="S13" s="328">
        <f t="shared" si="6"/>
        <v>4.4547204913918392E-2</v>
      </c>
      <c r="T13" s="155">
        <f t="shared" si="7"/>
        <v>-1.3497208958095084E-3</v>
      </c>
      <c r="U13" s="66">
        <v>0</v>
      </c>
      <c r="V13" s="155" t="str">
        <f t="shared" si="8"/>
        <v/>
      </c>
    </row>
    <row r="14" spans="1:22" x14ac:dyDescent="0.25">
      <c r="A14" s="241" t="s">
        <v>59</v>
      </c>
      <c r="B14" s="63">
        <v>22254859</v>
      </c>
      <c r="C14" s="66">
        <v>3839926</v>
      </c>
      <c r="D14" s="155">
        <f t="shared" si="0"/>
        <v>0.14715300394312503</v>
      </c>
      <c r="E14" s="63">
        <v>0</v>
      </c>
      <c r="F14" s="240">
        <v>22610386</v>
      </c>
      <c r="G14" s="66">
        <v>3817057</v>
      </c>
      <c r="H14" s="154">
        <v>0</v>
      </c>
      <c r="I14" s="154">
        <f t="shared" si="1"/>
        <v>3817057</v>
      </c>
      <c r="J14" s="328">
        <f t="shared" si="2"/>
        <v>0.1444353507828964</v>
      </c>
      <c r="K14" s="155">
        <f t="shared" si="3"/>
        <v>-5.9555835190573982E-3</v>
      </c>
      <c r="L14" s="66">
        <v>0</v>
      </c>
      <c r="M14" s="155" t="str">
        <f t="shared" si="4"/>
        <v/>
      </c>
      <c r="N14" s="19"/>
      <c r="O14" s="63">
        <v>22999338</v>
      </c>
      <c r="P14" s="66">
        <v>3812267</v>
      </c>
      <c r="Q14" s="154">
        <v>0</v>
      </c>
      <c r="R14" s="154">
        <f t="shared" si="5"/>
        <v>3812267</v>
      </c>
      <c r="S14" s="328">
        <f t="shared" si="6"/>
        <v>0.14218719841650659</v>
      </c>
      <c r="T14" s="155">
        <f t="shared" si="7"/>
        <v>-7.2030033912111845E-3</v>
      </c>
      <c r="U14" s="66">
        <v>0</v>
      </c>
      <c r="V14" s="155" t="str">
        <f t="shared" si="8"/>
        <v/>
      </c>
    </row>
    <row r="15" spans="1:22" x14ac:dyDescent="0.25">
      <c r="A15" s="241" t="s">
        <v>60</v>
      </c>
      <c r="B15" s="63">
        <v>19093240</v>
      </c>
      <c r="C15" s="66">
        <v>2459919</v>
      </c>
      <c r="D15" s="155">
        <f t="shared" si="0"/>
        <v>0.11413264292255255</v>
      </c>
      <c r="E15" s="63">
        <v>0</v>
      </c>
      <c r="F15" s="240">
        <v>19196736</v>
      </c>
      <c r="G15" s="66">
        <v>2461714</v>
      </c>
      <c r="H15" s="154">
        <v>0</v>
      </c>
      <c r="I15" s="154">
        <f t="shared" si="1"/>
        <v>2461714</v>
      </c>
      <c r="J15" s="328">
        <f t="shared" si="2"/>
        <v>0.11366067285516739</v>
      </c>
      <c r="K15" s="155">
        <f t="shared" si="3"/>
        <v>7.2969882341654337E-4</v>
      </c>
      <c r="L15" s="66">
        <v>0</v>
      </c>
      <c r="M15" s="155" t="str">
        <f t="shared" si="4"/>
        <v/>
      </c>
      <c r="N15" s="19"/>
      <c r="O15" s="63">
        <v>19426484</v>
      </c>
      <c r="P15" s="66">
        <v>2459669</v>
      </c>
      <c r="Q15" s="154">
        <v>0</v>
      </c>
      <c r="R15" s="154">
        <f t="shared" si="5"/>
        <v>2459669</v>
      </c>
      <c r="S15" s="328">
        <f t="shared" si="6"/>
        <v>0.11238471192264808</v>
      </c>
      <c r="T15" s="155">
        <f t="shared" si="7"/>
        <v>-1.0162936259283335E-4</v>
      </c>
      <c r="U15" s="66">
        <v>0</v>
      </c>
      <c r="V15" s="155" t="str">
        <f t="shared" si="8"/>
        <v/>
      </c>
    </row>
    <row r="16" spans="1:22" x14ac:dyDescent="0.25">
      <c r="A16" s="241" t="s">
        <v>61</v>
      </c>
      <c r="B16" s="63">
        <v>112414221</v>
      </c>
      <c r="C16" s="66">
        <v>13979160</v>
      </c>
      <c r="D16" s="155">
        <f t="shared" si="0"/>
        <v>0.11060041189973389</v>
      </c>
      <c r="E16" s="63">
        <v>13500000</v>
      </c>
      <c r="F16" s="240">
        <v>114555374.66738699</v>
      </c>
      <c r="G16" s="66">
        <v>13888337</v>
      </c>
      <c r="H16" s="154">
        <v>0</v>
      </c>
      <c r="I16" s="154">
        <f t="shared" si="1"/>
        <v>13888337</v>
      </c>
      <c r="J16" s="328">
        <f t="shared" si="2"/>
        <v>0.10812780804687983</v>
      </c>
      <c r="K16" s="155">
        <f t="shared" si="3"/>
        <v>-6.4970284337542454E-3</v>
      </c>
      <c r="L16" s="66">
        <v>0</v>
      </c>
      <c r="M16" s="155">
        <f t="shared" si="4"/>
        <v>-1</v>
      </c>
      <c r="N16" s="19"/>
      <c r="O16" s="63">
        <v>116697877.305426</v>
      </c>
      <c r="P16" s="66">
        <v>13956898</v>
      </c>
      <c r="Q16" s="154">
        <v>2733552</v>
      </c>
      <c r="R16" s="154">
        <f t="shared" si="5"/>
        <v>16690450</v>
      </c>
      <c r="S16" s="328">
        <f t="shared" si="6"/>
        <v>0.1251267658659744</v>
      </c>
      <c r="T16" s="155">
        <f t="shared" si="7"/>
        <v>0.19395228325593239</v>
      </c>
      <c r="U16" s="66">
        <v>0</v>
      </c>
      <c r="V16" s="155">
        <f t="shared" si="8"/>
        <v>-1</v>
      </c>
    </row>
    <row r="17" spans="1:22" ht="15.75" customHeight="1" thickBot="1" x14ac:dyDescent="0.3">
      <c r="A17" s="241" t="s">
        <v>62</v>
      </c>
      <c r="B17" s="63">
        <v>0</v>
      </c>
      <c r="C17" s="66">
        <v>0</v>
      </c>
      <c r="D17" s="155" t="str">
        <f t="shared" si="0"/>
        <v/>
      </c>
      <c r="E17" s="63">
        <v>14500000</v>
      </c>
      <c r="F17" s="240">
        <v>0</v>
      </c>
      <c r="G17" s="66">
        <v>0</v>
      </c>
      <c r="H17" s="154">
        <v>0</v>
      </c>
      <c r="I17" s="154">
        <f t="shared" si="1"/>
        <v>0</v>
      </c>
      <c r="J17" s="328" t="str">
        <f t="shared" si="2"/>
        <v/>
      </c>
      <c r="K17" s="155" t="str">
        <f t="shared" si="3"/>
        <v/>
      </c>
      <c r="L17" s="66">
        <v>0</v>
      </c>
      <c r="M17" s="155">
        <f t="shared" si="4"/>
        <v>-1</v>
      </c>
      <c r="N17" s="19"/>
      <c r="O17" s="63">
        <v>0</v>
      </c>
      <c r="P17" s="66">
        <v>0</v>
      </c>
      <c r="Q17" s="154">
        <v>0</v>
      </c>
      <c r="R17" s="154">
        <f t="shared" si="5"/>
        <v>0</v>
      </c>
      <c r="S17" s="328" t="str">
        <f t="shared" si="6"/>
        <v/>
      </c>
      <c r="T17" s="155" t="str">
        <f t="shared" si="7"/>
        <v/>
      </c>
      <c r="U17" s="66">
        <v>0</v>
      </c>
      <c r="V17" s="155">
        <f t="shared" si="8"/>
        <v>-1</v>
      </c>
    </row>
    <row r="18" spans="1:22" ht="15.75" customHeight="1" thickTop="1" x14ac:dyDescent="0.25">
      <c r="A18" s="242" t="s">
        <v>131</v>
      </c>
      <c r="B18" s="243">
        <f>SUM(B9:B17)</f>
        <v>472292638</v>
      </c>
      <c r="C18" s="244">
        <f>SUM(C9:C17)</f>
        <v>46769458</v>
      </c>
      <c r="D18" s="329">
        <f t="shared" si="0"/>
        <v>9.0103782110878688E-2</v>
      </c>
      <c r="E18" s="243">
        <f>SUM(E9:E17)</f>
        <v>28000000</v>
      </c>
      <c r="F18" s="248">
        <f>SUM(F9:F17)</f>
        <v>486862037.66738701</v>
      </c>
      <c r="G18" s="244">
        <f>SUM(G9:G17)</f>
        <v>46465070</v>
      </c>
      <c r="H18" s="245">
        <f>SUM(H9:H17)</f>
        <v>0</v>
      </c>
      <c r="I18" s="245">
        <f>SUM(I9:I17)</f>
        <v>46465070</v>
      </c>
      <c r="J18" s="330">
        <f t="shared" si="2"/>
        <v>8.7123023247823075E-2</v>
      </c>
      <c r="K18" s="329">
        <f t="shared" si="3"/>
        <v>-6.5082644318862964E-3</v>
      </c>
      <c r="L18" s="244">
        <f>SUM(L9:L17)</f>
        <v>0</v>
      </c>
      <c r="M18" s="329">
        <f t="shared" si="4"/>
        <v>-1</v>
      </c>
      <c r="N18" s="331"/>
      <c r="O18" s="243">
        <f>SUM(O9:O17)</f>
        <v>498738362.305426</v>
      </c>
      <c r="P18" s="244">
        <f>SUM(P9:P17)</f>
        <v>46652274</v>
      </c>
      <c r="Q18" s="245">
        <f>SUM(Q9:Q17)</f>
        <v>6876592</v>
      </c>
      <c r="R18" s="245">
        <f>SUM(R9:R17)</f>
        <v>53528866</v>
      </c>
      <c r="S18" s="330">
        <f t="shared" si="6"/>
        <v>9.6925660724515028E-2</v>
      </c>
      <c r="T18" s="329">
        <f t="shared" si="7"/>
        <v>0.14452611360174411</v>
      </c>
      <c r="U18" s="244">
        <f>SUM(U9:U17)</f>
        <v>0</v>
      </c>
      <c r="V18" s="329">
        <f t="shared" si="8"/>
        <v>-1</v>
      </c>
    </row>
    <row r="19" spans="1:22" x14ac:dyDescent="0.25">
      <c r="A19" s="249"/>
      <c r="B19" s="250"/>
      <c r="C19" s="251"/>
      <c r="D19" s="271"/>
      <c r="E19" s="250"/>
      <c r="F19" s="255"/>
      <c r="G19" s="251"/>
      <c r="H19" s="252"/>
      <c r="I19" s="252"/>
      <c r="J19" s="332"/>
      <c r="K19" s="276"/>
      <c r="L19" s="251"/>
      <c r="M19" s="276"/>
      <c r="N19" s="19"/>
      <c r="O19" s="250"/>
      <c r="P19" s="251"/>
      <c r="Q19" s="252"/>
      <c r="R19" s="252"/>
      <c r="S19" s="332"/>
      <c r="T19" s="276"/>
      <c r="U19" s="251"/>
      <c r="V19" s="276"/>
    </row>
    <row r="20" spans="1:22" x14ac:dyDescent="0.25">
      <c r="A20" s="241" t="s">
        <v>65</v>
      </c>
      <c r="B20" s="63">
        <v>244792248</v>
      </c>
      <c r="C20" s="66">
        <v>20821980</v>
      </c>
      <c r="D20" s="155">
        <f t="shared" ref="D20:D25" si="9">IF(B20 &gt; 0, C20/SUM(B20,C20), "")</f>
        <v>7.8391809643570745E-2</v>
      </c>
      <c r="E20" s="63">
        <v>25000000</v>
      </c>
      <c r="F20" s="240">
        <v>240943965</v>
      </c>
      <c r="G20" s="66">
        <v>20814754</v>
      </c>
      <c r="H20" s="154">
        <v>0</v>
      </c>
      <c r="I20" s="154">
        <f>SUM(G20:H20)</f>
        <v>20814754</v>
      </c>
      <c r="J20" s="328">
        <f t="shared" ref="J20:J25" si="10">IF(F20 &gt; 0, I20/SUM(F20,I20), "")</f>
        <v>7.9518856447337666E-2</v>
      </c>
      <c r="K20" s="155">
        <f t="shared" ref="K20:K25" si="11">IF($C20 &gt; 0, (I20-$C20)/$C20, "")</f>
        <v>-3.4703712134965072E-4</v>
      </c>
      <c r="L20" s="66">
        <v>0</v>
      </c>
      <c r="M20" s="155">
        <f t="shared" ref="M20:M25" si="12">IF($E20 &gt; 0, (L20-$E20)/$E20, "")</f>
        <v>-1</v>
      </c>
      <c r="N20" s="19"/>
      <c r="O20" s="63">
        <v>241219741</v>
      </c>
      <c r="P20" s="66">
        <v>19177140</v>
      </c>
      <c r="Q20" s="154">
        <v>2989822</v>
      </c>
      <c r="R20" s="154">
        <f>SUM(P20:Q20)</f>
        <v>22166962</v>
      </c>
      <c r="S20" s="328">
        <f t="shared" ref="S20:S25" si="13">IF(O20 &gt; 0, R20/SUM(O20,R20), "")</f>
        <v>8.4161279774248893E-2</v>
      </c>
      <c r="T20" s="155">
        <f t="shared" ref="T20:T25" si="14">IF($C20 &gt; 0, (R20-$C20)/$C20, "")</f>
        <v>6.4594337330071402E-2</v>
      </c>
      <c r="U20" s="66">
        <v>0</v>
      </c>
      <c r="V20" s="155">
        <f t="shared" ref="V20:V25" si="15">IF($E20 &gt; 0, (U20-$E20)/$E20, "")</f>
        <v>-1</v>
      </c>
    </row>
    <row r="21" spans="1:22" x14ac:dyDescent="0.25">
      <c r="A21" s="241" t="s">
        <v>66</v>
      </c>
      <c r="B21" s="63">
        <v>27843362</v>
      </c>
      <c r="C21" s="66">
        <v>1478484</v>
      </c>
      <c r="D21" s="155">
        <f t="shared" si="9"/>
        <v>5.0422609817949389E-2</v>
      </c>
      <c r="E21" s="63">
        <v>0</v>
      </c>
      <c r="F21" s="240">
        <v>28002665</v>
      </c>
      <c r="G21" s="66">
        <v>1477771</v>
      </c>
      <c r="H21" s="154">
        <v>0</v>
      </c>
      <c r="I21" s="154">
        <f>SUM(G21:H21)</f>
        <v>1477771</v>
      </c>
      <c r="J21" s="328">
        <f t="shared" si="10"/>
        <v>5.0127175866734125E-2</v>
      </c>
      <c r="K21" s="155">
        <f t="shared" si="11"/>
        <v>-4.8225073791802956E-4</v>
      </c>
      <c r="L21" s="66">
        <v>1200000</v>
      </c>
      <c r="M21" s="155" t="str">
        <f t="shared" si="12"/>
        <v/>
      </c>
      <c r="N21" s="19"/>
      <c r="O21" s="63">
        <v>28341970</v>
      </c>
      <c r="P21" s="66">
        <v>574365</v>
      </c>
      <c r="Q21" s="154">
        <v>0</v>
      </c>
      <c r="R21" s="154">
        <f>SUM(P21:Q21)</f>
        <v>574365</v>
      </c>
      <c r="S21" s="328">
        <f t="shared" si="13"/>
        <v>1.9862994393999103E-2</v>
      </c>
      <c r="T21" s="155">
        <f t="shared" si="14"/>
        <v>-0.61151760857743476</v>
      </c>
      <c r="U21" s="66">
        <v>1200000</v>
      </c>
      <c r="V21" s="155" t="str">
        <f t="shared" si="15"/>
        <v/>
      </c>
    </row>
    <row r="22" spans="1:22" x14ac:dyDescent="0.25">
      <c r="A22" s="241" t="s">
        <v>67</v>
      </c>
      <c r="B22" s="63">
        <v>13453989</v>
      </c>
      <c r="C22" s="66">
        <v>2024538</v>
      </c>
      <c r="D22" s="155">
        <f t="shared" si="9"/>
        <v>0.13079655447834279</v>
      </c>
      <c r="E22" s="63">
        <v>0</v>
      </c>
      <c r="F22" s="240">
        <v>13635296</v>
      </c>
      <c r="G22" s="66">
        <v>1579307</v>
      </c>
      <c r="H22" s="154">
        <v>0</v>
      </c>
      <c r="I22" s="154">
        <f>SUM(G22:H22)</f>
        <v>1579307</v>
      </c>
      <c r="J22" s="328">
        <f t="shared" si="10"/>
        <v>0.10380205122670634</v>
      </c>
      <c r="K22" s="155">
        <f t="shared" si="11"/>
        <v>-0.21991733422637658</v>
      </c>
      <c r="L22" s="66">
        <v>0</v>
      </c>
      <c r="M22" s="155" t="str">
        <f t="shared" si="12"/>
        <v/>
      </c>
      <c r="N22" s="19"/>
      <c r="O22" s="63">
        <v>13853109</v>
      </c>
      <c r="P22" s="66">
        <v>1575682</v>
      </c>
      <c r="Q22" s="154">
        <v>0</v>
      </c>
      <c r="R22" s="154">
        <f>SUM(P22:Q22)</f>
        <v>1575682</v>
      </c>
      <c r="S22" s="328">
        <f t="shared" si="13"/>
        <v>0.10212608363156905</v>
      </c>
      <c r="T22" s="155">
        <f t="shared" si="14"/>
        <v>-0.22170786618971836</v>
      </c>
      <c r="U22" s="66">
        <v>0</v>
      </c>
      <c r="V22" s="155" t="str">
        <f t="shared" si="15"/>
        <v/>
      </c>
    </row>
    <row r="23" spans="1:22" x14ac:dyDescent="0.25">
      <c r="A23" s="241" t="s">
        <v>68</v>
      </c>
      <c r="B23" s="63">
        <v>41018966</v>
      </c>
      <c r="C23" s="66">
        <v>5312223</v>
      </c>
      <c r="D23" s="155">
        <f t="shared" si="9"/>
        <v>0.1146576013838108</v>
      </c>
      <c r="E23" s="63">
        <v>10675000</v>
      </c>
      <c r="F23" s="240">
        <v>41258236</v>
      </c>
      <c r="G23" s="66">
        <v>5310600</v>
      </c>
      <c r="H23" s="154">
        <v>0</v>
      </c>
      <c r="I23" s="154">
        <f>SUM(G23:H23)</f>
        <v>5310600</v>
      </c>
      <c r="J23" s="328">
        <f t="shared" si="10"/>
        <v>0.11403763667187215</v>
      </c>
      <c r="K23" s="155">
        <f t="shared" si="11"/>
        <v>-3.0552181261968861E-4</v>
      </c>
      <c r="L23" s="66">
        <v>0</v>
      </c>
      <c r="M23" s="155">
        <f t="shared" si="12"/>
        <v>-1</v>
      </c>
      <c r="N23" s="19"/>
      <c r="O23" s="63">
        <v>41760469</v>
      </c>
      <c r="P23" s="66">
        <v>4252847</v>
      </c>
      <c r="Q23" s="154">
        <v>0</v>
      </c>
      <c r="R23" s="154">
        <f>SUM(P23:Q23)</f>
        <v>4252847</v>
      </c>
      <c r="S23" s="328">
        <f t="shared" si="13"/>
        <v>9.2426440207004426E-2</v>
      </c>
      <c r="T23" s="155">
        <f t="shared" si="14"/>
        <v>-0.19942235105717512</v>
      </c>
      <c r="U23" s="66">
        <v>0</v>
      </c>
      <c r="V23" s="155">
        <f t="shared" si="15"/>
        <v>-1</v>
      </c>
    </row>
    <row r="24" spans="1:22" ht="15.75" customHeight="1" thickBot="1" x14ac:dyDescent="0.3">
      <c r="A24" s="241" t="s">
        <v>69</v>
      </c>
      <c r="B24" s="63">
        <v>0</v>
      </c>
      <c r="C24" s="66">
        <v>0</v>
      </c>
      <c r="D24" s="155" t="str">
        <f t="shared" si="9"/>
        <v/>
      </c>
      <c r="E24" s="63">
        <v>0</v>
      </c>
      <c r="F24" s="240">
        <v>0</v>
      </c>
      <c r="G24" s="66">
        <v>0</v>
      </c>
      <c r="H24" s="154">
        <v>0</v>
      </c>
      <c r="I24" s="154">
        <f>SUM(G24:H24)</f>
        <v>0</v>
      </c>
      <c r="J24" s="328" t="str">
        <f t="shared" si="10"/>
        <v/>
      </c>
      <c r="K24" s="155" t="str">
        <f t="shared" si="11"/>
        <v/>
      </c>
      <c r="L24" s="66">
        <v>0</v>
      </c>
      <c r="M24" s="155" t="str">
        <f t="shared" si="12"/>
        <v/>
      </c>
      <c r="N24" s="19"/>
      <c r="O24" s="63">
        <v>0</v>
      </c>
      <c r="P24" s="66">
        <v>0</v>
      </c>
      <c r="Q24" s="154">
        <v>0</v>
      </c>
      <c r="R24" s="154">
        <f>SUM(P24:Q24)</f>
        <v>0</v>
      </c>
      <c r="S24" s="328" t="str">
        <f t="shared" si="13"/>
        <v/>
      </c>
      <c r="T24" s="155" t="str">
        <f t="shared" si="14"/>
        <v/>
      </c>
      <c r="U24" s="66">
        <v>0</v>
      </c>
      <c r="V24" s="155" t="str">
        <f t="shared" si="15"/>
        <v/>
      </c>
    </row>
    <row r="25" spans="1:22" ht="15.75" customHeight="1" thickTop="1" x14ac:dyDescent="0.25">
      <c r="A25" s="242" t="s">
        <v>132</v>
      </c>
      <c r="B25" s="243">
        <f>SUM(B20:B24)</f>
        <v>327108565</v>
      </c>
      <c r="C25" s="244">
        <f>SUM(C20:C24)</f>
        <v>29637225</v>
      </c>
      <c r="D25" s="329">
        <f t="shared" si="9"/>
        <v>8.3076593559800668E-2</v>
      </c>
      <c r="E25" s="243">
        <f>SUM(E20:E24)</f>
        <v>35675000</v>
      </c>
      <c r="F25" s="248">
        <f>SUM(F20:F24)</f>
        <v>323840162</v>
      </c>
      <c r="G25" s="244">
        <f>SUM(G20:G24)</f>
        <v>29182432</v>
      </c>
      <c r="H25" s="245">
        <f>SUM(H20:H24)</f>
        <v>0</v>
      </c>
      <c r="I25" s="245">
        <f>SUM(I20:I24)</f>
        <v>29182432</v>
      </c>
      <c r="J25" s="330">
        <f t="shared" si="10"/>
        <v>8.2664488041238521E-2</v>
      </c>
      <c r="K25" s="329">
        <f t="shared" si="11"/>
        <v>-1.5345330070544729E-2</v>
      </c>
      <c r="L25" s="244">
        <f>SUM(L20:L24)</f>
        <v>1200000</v>
      </c>
      <c r="M25" s="329">
        <f t="shared" si="12"/>
        <v>-0.9663629992992292</v>
      </c>
      <c r="N25" s="331"/>
      <c r="O25" s="243">
        <f>SUM(O20:O24)</f>
        <v>325175289</v>
      </c>
      <c r="P25" s="244">
        <f>SUM(P20:P24)</f>
        <v>25580034</v>
      </c>
      <c r="Q25" s="245">
        <f>SUM(Q20:Q24)</f>
        <v>2989822</v>
      </c>
      <c r="R25" s="245">
        <f>SUM(R20:R24)</f>
        <v>28569856</v>
      </c>
      <c r="S25" s="330">
        <f t="shared" si="13"/>
        <v>8.0763952251556692E-2</v>
      </c>
      <c r="T25" s="329">
        <f t="shared" si="14"/>
        <v>-3.6014471665279053E-2</v>
      </c>
      <c r="U25" s="244">
        <f>SUM(U20:U24)</f>
        <v>1200000</v>
      </c>
      <c r="V25" s="329">
        <f t="shared" si="15"/>
        <v>-0.9663629992992292</v>
      </c>
    </row>
    <row r="26" spans="1:22" x14ac:dyDescent="0.25">
      <c r="A26" s="249"/>
      <c r="B26" s="250"/>
      <c r="C26" s="251"/>
      <c r="D26" s="271"/>
      <c r="E26" s="250"/>
      <c r="F26" s="255"/>
      <c r="G26" s="251"/>
      <c r="H26" s="252"/>
      <c r="I26" s="252"/>
      <c r="J26" s="332"/>
      <c r="K26" s="276"/>
      <c r="L26" s="251"/>
      <c r="M26" s="276"/>
      <c r="N26" s="19"/>
      <c r="O26" s="250"/>
      <c r="P26" s="251"/>
      <c r="Q26" s="252"/>
      <c r="R26" s="252"/>
      <c r="S26" s="332"/>
      <c r="T26" s="276"/>
      <c r="U26" s="251"/>
      <c r="V26" s="276"/>
    </row>
    <row r="27" spans="1:22" x14ac:dyDescent="0.25">
      <c r="A27" s="241" t="s">
        <v>71</v>
      </c>
      <c r="B27" s="63">
        <v>122060675</v>
      </c>
      <c r="C27" s="66">
        <v>14306986</v>
      </c>
      <c r="D27" s="155">
        <f t="shared" ref="D27:D32" si="16">IF(B27 &gt; 0, C27/SUM(B27,C27), "")</f>
        <v>0.10491480087790023</v>
      </c>
      <c r="E27" s="63">
        <v>15000000</v>
      </c>
      <c r="F27" s="240">
        <v>124056194</v>
      </c>
      <c r="G27" s="66">
        <v>12956631</v>
      </c>
      <c r="H27" s="154">
        <v>0</v>
      </c>
      <c r="I27" s="154">
        <f>SUM(G27:H27)</f>
        <v>12956631</v>
      </c>
      <c r="J27" s="328">
        <f t="shared" ref="J27:J32" si="17">IF(F27 &gt; 0, I27/SUM(F27,I27), "")</f>
        <v>9.4565096369628177E-2</v>
      </c>
      <c r="K27" s="155">
        <f t="shared" ref="K27:K32" si="18">IF($C27 &gt; 0, (I27-$C27)/$C27, "")</f>
        <v>-9.4384309874910061E-2</v>
      </c>
      <c r="L27" s="66">
        <v>0</v>
      </c>
      <c r="M27" s="155">
        <f t="shared" ref="M27:M32" si="19">IF($E27 &gt; 0, (L27-$E27)/$E27, "")</f>
        <v>-1</v>
      </c>
      <c r="N27" s="19"/>
      <c r="O27" s="63">
        <v>126212331</v>
      </c>
      <c r="P27" s="66">
        <v>12086113</v>
      </c>
      <c r="Q27" s="154">
        <v>5338969</v>
      </c>
      <c r="R27" s="154">
        <f>SUM(P27:Q27)</f>
        <v>17425082</v>
      </c>
      <c r="S27" s="328">
        <f t="shared" ref="S27:S32" si="20">IF(O27 &gt; 0, R27/SUM(O27,R27), "")</f>
        <v>0.1213129757495702</v>
      </c>
      <c r="T27" s="155">
        <f t="shared" ref="T27:T32" si="21">IF($C27 &gt; 0, (R27-$C27)/$C27, "")</f>
        <v>0.21794219970579407</v>
      </c>
      <c r="U27" s="66">
        <v>0</v>
      </c>
      <c r="V27" s="155">
        <f t="shared" ref="V27:V32" si="22">IF($E27 &gt; 0, (U27-$E27)/$E27, "")</f>
        <v>-1</v>
      </c>
    </row>
    <row r="28" spans="1:22" x14ac:dyDescent="0.25">
      <c r="A28" s="241" t="s">
        <v>72</v>
      </c>
      <c r="B28" s="63">
        <v>67308231</v>
      </c>
      <c r="C28" s="66">
        <v>8489497</v>
      </c>
      <c r="D28" s="155">
        <f t="shared" si="16"/>
        <v>0.1120019982657</v>
      </c>
      <c r="E28" s="63">
        <v>8000000</v>
      </c>
      <c r="F28" s="240">
        <v>65798825</v>
      </c>
      <c r="G28" s="66">
        <v>7707860</v>
      </c>
      <c r="H28" s="154">
        <v>0</v>
      </c>
      <c r="I28" s="154">
        <f>SUM(G28:H28)</f>
        <v>7707860</v>
      </c>
      <c r="J28" s="328">
        <f t="shared" si="17"/>
        <v>0.10485930633383889</v>
      </c>
      <c r="K28" s="155">
        <f t="shared" si="18"/>
        <v>-9.2071061453935371E-2</v>
      </c>
      <c r="L28" s="66">
        <v>0</v>
      </c>
      <c r="M28" s="155">
        <f t="shared" si="19"/>
        <v>-1</v>
      </c>
      <c r="N28" s="19"/>
      <c r="O28" s="63">
        <v>65641865</v>
      </c>
      <c r="P28" s="66">
        <v>5489609</v>
      </c>
      <c r="Q28" s="154">
        <v>9738279</v>
      </c>
      <c r="R28" s="154">
        <f>SUM(P28:Q28)</f>
        <v>15227888</v>
      </c>
      <c r="S28" s="328">
        <f t="shared" si="20"/>
        <v>0.18830140361625688</v>
      </c>
      <c r="T28" s="155">
        <f t="shared" si="21"/>
        <v>0.79373265577454122</v>
      </c>
      <c r="U28" s="66">
        <v>0</v>
      </c>
      <c r="V28" s="155">
        <f t="shared" si="22"/>
        <v>-1</v>
      </c>
    </row>
    <row r="29" spans="1:22" x14ac:dyDescent="0.25">
      <c r="A29" s="241" t="s">
        <v>73</v>
      </c>
      <c r="B29" s="63">
        <v>44146854</v>
      </c>
      <c r="C29" s="66">
        <v>10041569</v>
      </c>
      <c r="D29" s="155">
        <f t="shared" si="16"/>
        <v>0.18530838219816806</v>
      </c>
      <c r="E29" s="63">
        <v>9000000</v>
      </c>
      <c r="F29" s="240">
        <v>44305131</v>
      </c>
      <c r="G29" s="66">
        <v>10041357</v>
      </c>
      <c r="H29" s="154">
        <v>0</v>
      </c>
      <c r="I29" s="154">
        <f>SUM(G29:H29)</f>
        <v>10041357</v>
      </c>
      <c r="J29" s="328">
        <f t="shared" si="17"/>
        <v>0.18476551787486251</v>
      </c>
      <c r="K29" s="155">
        <f t="shared" si="18"/>
        <v>-2.1112238535631233E-5</v>
      </c>
      <c r="L29" s="66">
        <v>0</v>
      </c>
      <c r="M29" s="155">
        <f t="shared" si="19"/>
        <v>-1</v>
      </c>
      <c r="N29" s="19"/>
      <c r="O29" s="63">
        <v>44794496</v>
      </c>
      <c r="P29" s="66">
        <v>8385878</v>
      </c>
      <c r="Q29" s="154">
        <v>683388</v>
      </c>
      <c r="R29" s="154">
        <f>SUM(P29:Q29)</f>
        <v>9069266</v>
      </c>
      <c r="S29" s="328">
        <f t="shared" si="20"/>
        <v>0.16837416591882312</v>
      </c>
      <c r="T29" s="155">
        <f t="shared" si="21"/>
        <v>-9.6827796532593657E-2</v>
      </c>
      <c r="U29" s="66">
        <v>0</v>
      </c>
      <c r="V29" s="155">
        <f t="shared" si="22"/>
        <v>-1</v>
      </c>
    </row>
    <row r="30" spans="1:22" x14ac:dyDescent="0.25">
      <c r="A30" s="241" t="s">
        <v>74</v>
      </c>
      <c r="B30" s="63">
        <v>39026180</v>
      </c>
      <c r="C30" s="66">
        <v>4745160</v>
      </c>
      <c r="D30" s="155">
        <f t="shared" si="16"/>
        <v>0.10840792171315751</v>
      </c>
      <c r="E30" s="63">
        <v>6000000</v>
      </c>
      <c r="F30" s="240">
        <v>39185980</v>
      </c>
      <c r="G30" s="66">
        <v>4750068</v>
      </c>
      <c r="H30" s="154">
        <v>0</v>
      </c>
      <c r="I30" s="154">
        <f>SUM(G30:H30)</f>
        <v>4750068</v>
      </c>
      <c r="J30" s="328">
        <f t="shared" si="17"/>
        <v>0.1081132285725835</v>
      </c>
      <c r="K30" s="155">
        <f t="shared" si="18"/>
        <v>1.0343170725539287E-3</v>
      </c>
      <c r="L30" s="66">
        <v>750000</v>
      </c>
      <c r="M30" s="155">
        <f t="shared" si="19"/>
        <v>-0.875</v>
      </c>
      <c r="N30" s="19"/>
      <c r="O30" s="63">
        <v>39628509</v>
      </c>
      <c r="P30" s="66">
        <v>4755116</v>
      </c>
      <c r="Q30" s="154">
        <v>1708470</v>
      </c>
      <c r="R30" s="154">
        <f>SUM(P30:Q30)</f>
        <v>6463586</v>
      </c>
      <c r="S30" s="328">
        <f t="shared" si="20"/>
        <v>0.14023198554979982</v>
      </c>
      <c r="T30" s="155">
        <f t="shared" si="21"/>
        <v>0.36214289929106713</v>
      </c>
      <c r="U30" s="66">
        <v>750000</v>
      </c>
      <c r="V30" s="155">
        <f t="shared" si="22"/>
        <v>-0.875</v>
      </c>
    </row>
    <row r="31" spans="1:22" ht="15.75" customHeight="1" thickBot="1" x14ac:dyDescent="0.3">
      <c r="A31" s="241" t="s">
        <v>75</v>
      </c>
      <c r="B31" s="63">
        <v>200314691</v>
      </c>
      <c r="C31" s="66">
        <v>33364000</v>
      </c>
      <c r="D31" s="155">
        <f t="shared" si="16"/>
        <v>0.14277724621454679</v>
      </c>
      <c r="E31" s="63">
        <v>6000000</v>
      </c>
      <c r="F31" s="240">
        <v>210067875</v>
      </c>
      <c r="G31" s="66">
        <v>31387384</v>
      </c>
      <c r="H31" s="154">
        <v>0</v>
      </c>
      <c r="I31" s="154">
        <f>SUM(G31:H31)</f>
        <v>31387384</v>
      </c>
      <c r="J31" s="328">
        <f t="shared" si="17"/>
        <v>0.1299925465694661</v>
      </c>
      <c r="K31" s="155">
        <f t="shared" si="18"/>
        <v>-5.9243975542500896E-2</v>
      </c>
      <c r="L31" s="66">
        <v>0</v>
      </c>
      <c r="M31" s="155">
        <f t="shared" si="19"/>
        <v>-1</v>
      </c>
      <c r="N31" s="19"/>
      <c r="O31" s="63">
        <v>216944720</v>
      </c>
      <c r="P31" s="66">
        <v>31558916</v>
      </c>
      <c r="Q31" s="154">
        <v>2135587</v>
      </c>
      <c r="R31" s="154">
        <f>SUM(P31:Q31)</f>
        <v>33694503</v>
      </c>
      <c r="S31" s="328">
        <f t="shared" si="20"/>
        <v>0.13443427806987734</v>
      </c>
      <c r="T31" s="155">
        <f t="shared" si="21"/>
        <v>9.905976501618511E-3</v>
      </c>
      <c r="U31" s="66">
        <v>0</v>
      </c>
      <c r="V31" s="155">
        <f t="shared" si="22"/>
        <v>-1</v>
      </c>
    </row>
    <row r="32" spans="1:22" ht="15.75" customHeight="1" thickBot="1" x14ac:dyDescent="0.3">
      <c r="A32" s="314" t="s">
        <v>47</v>
      </c>
      <c r="B32" s="259">
        <f>SUM(B18,B25,B27:B31)</f>
        <v>1272257834</v>
      </c>
      <c r="C32" s="102">
        <f>SUM(C18,C25,C27:C31)</f>
        <v>147353895</v>
      </c>
      <c r="D32" s="279">
        <f t="shared" si="16"/>
        <v>0.10379873030761638</v>
      </c>
      <c r="E32" s="259">
        <f>SUM(E18,E25,E27:E31)</f>
        <v>107675000</v>
      </c>
      <c r="F32" s="278">
        <f>SUM(F18,F25,F27:F31)</f>
        <v>1294116204.667387</v>
      </c>
      <c r="G32" s="102">
        <f>SUM(G18,G25,G27:G31)</f>
        <v>142490802</v>
      </c>
      <c r="H32" s="260">
        <f>SUM(H18,H25,H27:H31)</f>
        <v>0</v>
      </c>
      <c r="I32" s="260">
        <f>SUM(I18,I25,I27:I31)</f>
        <v>142490802</v>
      </c>
      <c r="J32" s="333">
        <f t="shared" si="17"/>
        <v>9.9185651565592309E-2</v>
      </c>
      <c r="K32" s="279">
        <f t="shared" si="18"/>
        <v>-3.300281271832007E-2</v>
      </c>
      <c r="L32" s="102">
        <f>SUM(L18,L25,L27:L31)</f>
        <v>1950000</v>
      </c>
      <c r="M32" s="279">
        <f t="shared" si="19"/>
        <v>-0.98188994659856044</v>
      </c>
      <c r="N32" s="334"/>
      <c r="O32" s="259">
        <f>SUM(O18,O25,O27:O31)</f>
        <v>1317135572.3054261</v>
      </c>
      <c r="P32" s="102">
        <f>SUM(P18,P25,P27:P31)</f>
        <v>134507940</v>
      </c>
      <c r="Q32" s="260">
        <f>SUM(Q18,Q25,Q27:Q31)</f>
        <v>29471107</v>
      </c>
      <c r="R32" s="260">
        <f>SUM(R18,R25,R27:R31)</f>
        <v>163979047</v>
      </c>
      <c r="S32" s="333">
        <f t="shared" si="20"/>
        <v>0.11071327287073741</v>
      </c>
      <c r="T32" s="279">
        <f t="shared" si="21"/>
        <v>0.11282465251427524</v>
      </c>
      <c r="U32" s="102">
        <f>SUM(U18,U25,U27:U31)</f>
        <v>1950000</v>
      </c>
      <c r="V32" s="279">
        <f t="shared" si="22"/>
        <v>-0.98188994659856044</v>
      </c>
    </row>
  </sheetData>
  <mergeCells count="14">
    <mergeCell ref="A6:A8"/>
    <mergeCell ref="O6:V6"/>
    <mergeCell ref="U7:V7"/>
    <mergeCell ref="B6:E6"/>
    <mergeCell ref="B7:B8"/>
    <mergeCell ref="D7:D8"/>
    <mergeCell ref="E7:E8"/>
    <mergeCell ref="C7:C8"/>
    <mergeCell ref="G7:K7"/>
    <mergeCell ref="F7:F8"/>
    <mergeCell ref="O7:O8"/>
    <mergeCell ref="P7:T7"/>
    <mergeCell ref="F6:M6"/>
    <mergeCell ref="L7:M7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L35"/>
  <sheetViews>
    <sheetView zoomScale="80" zoomScaleNormal="80" workbookViewId="0">
      <pane xSplit="1" ySplit="13" topLeftCell="B14" activePane="bottomRight" state="frozenSplit"/>
      <selection activeCell="B1" sqref="B1 B1"/>
      <selection pane="topRight"/>
      <selection pane="bottomLeft"/>
      <selection pane="bottomRight" activeCell="G36" sqref="G36"/>
    </sheetView>
  </sheetViews>
  <sheetFormatPr defaultRowHeight="15" x14ac:dyDescent="0.25"/>
  <cols>
    <col min="1" max="1" width="11.85546875" style="1" customWidth="1"/>
    <col min="2" max="33" width="15.7109375" style="1" customWidth="1"/>
    <col min="34" max="37" width="9.140625" style="1" customWidth="1"/>
    <col min="38" max="38" width="0" style="1" hidden="1" customWidth="1"/>
  </cols>
  <sheetData>
    <row r="1" spans="1:38" ht="15.75" customHeight="1" x14ac:dyDescent="0.25">
      <c r="A1" s="12" t="s">
        <v>257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" t="s">
        <v>159</v>
      </c>
    </row>
    <row r="2" spans="1:38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 s="1" t="s">
        <v>162</v>
      </c>
    </row>
    <row r="3" spans="1:38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x14ac:dyDescent="0.25">
      <c r="A4" s="14" t="s">
        <v>258</v>
      </c>
    </row>
    <row r="5" spans="1:38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5.75" customHeight="1" thickBot="1" x14ac:dyDescent="0.3">
      <c r="A6"/>
      <c r="B6" s="508" t="s">
        <v>259</v>
      </c>
      <c r="C6" s="506"/>
      <c r="D6" s="506"/>
      <c r="E6" s="507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x14ac:dyDescent="0.25">
      <c r="B7" s="281" t="s">
        <v>157</v>
      </c>
      <c r="C7" s="282">
        <v>5.7500000000000002E-2</v>
      </c>
      <c r="D7" s="283" t="s">
        <v>158</v>
      </c>
      <c r="E7" s="284" t="s">
        <v>159</v>
      </c>
    </row>
    <row r="8" spans="1:38" ht="15.75" customHeight="1" thickBot="1" x14ac:dyDescent="0.3">
      <c r="A8"/>
      <c r="B8" s="285" t="s">
        <v>161</v>
      </c>
      <c r="C8" s="286">
        <v>20</v>
      </c>
      <c r="D8" s="8"/>
      <c r="E8" s="28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5.75" customHeight="1" thickBo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x14ac:dyDescent="0.25">
      <c r="A10" s="683" t="s">
        <v>260</v>
      </c>
      <c r="B10" s="665" t="s">
        <v>174</v>
      </c>
      <c r="C10" s="666"/>
      <c r="D10" s="666"/>
      <c r="E10" s="667"/>
      <c r="F10" s="665" t="s">
        <v>188</v>
      </c>
      <c r="G10" s="666"/>
      <c r="H10" s="666"/>
      <c r="I10" s="667"/>
      <c r="J10" s="665" t="s">
        <v>204</v>
      </c>
      <c r="K10" s="666"/>
      <c r="L10" s="666"/>
      <c r="M10" s="667"/>
      <c r="N10" s="665" t="s">
        <v>214</v>
      </c>
      <c r="O10" s="666"/>
      <c r="P10" s="666"/>
      <c r="Q10" s="667"/>
      <c r="R10" s="665" t="s">
        <v>218</v>
      </c>
      <c r="S10" s="666"/>
      <c r="T10" s="666"/>
      <c r="U10" s="667"/>
      <c r="V10" s="665" t="s">
        <v>224</v>
      </c>
      <c r="W10" s="666"/>
      <c r="X10" s="666"/>
      <c r="Y10" s="667"/>
      <c r="Z10" s="665" t="s">
        <v>232</v>
      </c>
      <c r="AA10" s="666"/>
      <c r="AB10" s="666"/>
      <c r="AC10" s="667"/>
      <c r="AD10" s="671" t="s">
        <v>261</v>
      </c>
      <c r="AE10" s="672"/>
      <c r="AF10" s="672"/>
      <c r="AG10" s="673"/>
    </row>
    <row r="11" spans="1:38" ht="15.75" customHeight="1" thickBot="1" x14ac:dyDescent="0.3">
      <c r="A11" s="684"/>
      <c r="B11" s="668">
        <v>80500000</v>
      </c>
      <c r="C11" s="669"/>
      <c r="D11" s="669"/>
      <c r="E11" s="670"/>
      <c r="F11" s="668">
        <v>35000000</v>
      </c>
      <c r="G11" s="669"/>
      <c r="H11" s="669"/>
      <c r="I11" s="670"/>
      <c r="J11" s="668">
        <v>62500000</v>
      </c>
      <c r="K11" s="669"/>
      <c r="L11" s="669"/>
      <c r="M11" s="670"/>
      <c r="N11" s="668">
        <v>114000000</v>
      </c>
      <c r="O11" s="669"/>
      <c r="P11" s="669"/>
      <c r="Q11" s="670"/>
      <c r="R11" s="668">
        <v>8000000</v>
      </c>
      <c r="S11" s="669"/>
      <c r="T11" s="669"/>
      <c r="U11" s="670"/>
      <c r="V11" s="668">
        <v>20000000</v>
      </c>
      <c r="W11" s="669"/>
      <c r="X11" s="669"/>
      <c r="Y11" s="670"/>
      <c r="Z11" s="668">
        <v>25000000</v>
      </c>
      <c r="AA11" s="669"/>
      <c r="AB11" s="669"/>
      <c r="AC11" s="670"/>
      <c r="AD11" s="674">
        <f>SUM(B11,F11,J11,N11,R11,V11,Z11)</f>
        <v>345000000</v>
      </c>
      <c r="AE11" s="675"/>
      <c r="AF11" s="675"/>
      <c r="AG11" s="676"/>
      <c r="AH11"/>
      <c r="AI11"/>
      <c r="AJ11"/>
      <c r="AK11"/>
      <c r="AL11"/>
    </row>
    <row r="12" spans="1:38" x14ac:dyDescent="0.25">
      <c r="A12" s="684"/>
      <c r="B12" s="677" t="s">
        <v>52</v>
      </c>
      <c r="C12" s="678"/>
      <c r="D12" s="679" t="s">
        <v>262</v>
      </c>
      <c r="E12" s="680"/>
      <c r="F12" s="677" t="s">
        <v>52</v>
      </c>
      <c r="G12" s="678"/>
      <c r="H12" s="679" t="s">
        <v>262</v>
      </c>
      <c r="I12" s="680"/>
      <c r="J12" s="677" t="s">
        <v>52</v>
      </c>
      <c r="K12" s="678"/>
      <c r="L12" s="679" t="s">
        <v>262</v>
      </c>
      <c r="M12" s="680"/>
      <c r="N12" s="677" t="s">
        <v>52</v>
      </c>
      <c r="O12" s="678"/>
      <c r="P12" s="679" t="s">
        <v>262</v>
      </c>
      <c r="Q12" s="680"/>
      <c r="R12" s="677" t="s">
        <v>52</v>
      </c>
      <c r="S12" s="678"/>
      <c r="T12" s="679" t="s">
        <v>262</v>
      </c>
      <c r="U12" s="680"/>
      <c r="V12" s="677" t="s">
        <v>52</v>
      </c>
      <c r="W12" s="678"/>
      <c r="X12" s="679" t="s">
        <v>262</v>
      </c>
      <c r="Y12" s="680"/>
      <c r="Z12" s="677" t="s">
        <v>52</v>
      </c>
      <c r="AA12" s="678"/>
      <c r="AB12" s="679" t="s">
        <v>262</v>
      </c>
      <c r="AC12" s="680"/>
      <c r="AD12" s="677" t="s">
        <v>52</v>
      </c>
      <c r="AE12" s="678"/>
      <c r="AF12" s="681" t="s">
        <v>262</v>
      </c>
      <c r="AG12" s="682"/>
    </row>
    <row r="13" spans="1:38" ht="15.75" customHeight="1" thickBot="1" x14ac:dyDescent="0.3">
      <c r="A13" s="685"/>
      <c r="B13" s="335" t="s">
        <v>254</v>
      </c>
      <c r="C13" s="336" t="s">
        <v>255</v>
      </c>
      <c r="D13" s="337" t="s">
        <v>254</v>
      </c>
      <c r="E13" s="338" t="s">
        <v>255</v>
      </c>
      <c r="F13" s="335" t="s">
        <v>254</v>
      </c>
      <c r="G13" s="336" t="s">
        <v>255</v>
      </c>
      <c r="H13" s="337" t="s">
        <v>254</v>
      </c>
      <c r="I13" s="338" t="s">
        <v>255</v>
      </c>
      <c r="J13" s="335" t="s">
        <v>254</v>
      </c>
      <c r="K13" s="336" t="s">
        <v>255</v>
      </c>
      <c r="L13" s="337" t="s">
        <v>254</v>
      </c>
      <c r="M13" s="338" t="s">
        <v>255</v>
      </c>
      <c r="N13" s="335" t="s">
        <v>254</v>
      </c>
      <c r="O13" s="336" t="s">
        <v>255</v>
      </c>
      <c r="P13" s="337" t="s">
        <v>254</v>
      </c>
      <c r="Q13" s="338" t="s">
        <v>255</v>
      </c>
      <c r="R13" s="335" t="s">
        <v>254</v>
      </c>
      <c r="S13" s="336" t="s">
        <v>255</v>
      </c>
      <c r="T13" s="337" t="s">
        <v>254</v>
      </c>
      <c r="U13" s="338" t="s">
        <v>255</v>
      </c>
      <c r="V13" s="335" t="s">
        <v>254</v>
      </c>
      <c r="W13" s="336" t="s">
        <v>255</v>
      </c>
      <c r="X13" s="337" t="s">
        <v>254</v>
      </c>
      <c r="Y13" s="338" t="s">
        <v>255</v>
      </c>
      <c r="Z13" s="335" t="s">
        <v>254</v>
      </c>
      <c r="AA13" s="336" t="s">
        <v>255</v>
      </c>
      <c r="AB13" s="337" t="s">
        <v>254</v>
      </c>
      <c r="AC13" s="338" t="s">
        <v>255</v>
      </c>
      <c r="AD13" s="335" t="s">
        <v>254</v>
      </c>
      <c r="AE13" s="336" t="s">
        <v>255</v>
      </c>
      <c r="AF13" s="337" t="s">
        <v>254</v>
      </c>
      <c r="AG13" s="338" t="s">
        <v>255</v>
      </c>
      <c r="AH13"/>
      <c r="AI13"/>
      <c r="AJ13"/>
      <c r="AK13"/>
      <c r="AL13"/>
    </row>
    <row r="14" spans="1:38" x14ac:dyDescent="0.25">
      <c r="A14" s="339">
        <v>2015</v>
      </c>
      <c r="B14" s="340">
        <v>46769458</v>
      </c>
      <c r="C14" s="341">
        <v>0</v>
      </c>
      <c r="D14" s="9">
        <v>324876818</v>
      </c>
      <c r="E14" s="298">
        <v>0</v>
      </c>
      <c r="F14" s="340">
        <v>29637225</v>
      </c>
      <c r="G14" s="341">
        <v>0</v>
      </c>
      <c r="H14" s="9">
        <v>196779016</v>
      </c>
      <c r="I14" s="298">
        <v>0</v>
      </c>
      <c r="J14" s="340">
        <v>14306986</v>
      </c>
      <c r="K14" s="341">
        <v>0</v>
      </c>
      <c r="L14" s="9">
        <v>113115000</v>
      </c>
      <c r="M14" s="298">
        <v>0</v>
      </c>
      <c r="N14" s="340">
        <v>8489497</v>
      </c>
      <c r="O14" s="341">
        <v>0</v>
      </c>
      <c r="P14" s="9">
        <v>49790760</v>
      </c>
      <c r="Q14" s="298">
        <v>0</v>
      </c>
      <c r="R14" s="340">
        <v>10041569</v>
      </c>
      <c r="S14" s="341">
        <v>0</v>
      </c>
      <c r="T14" s="9">
        <v>75334172</v>
      </c>
      <c r="U14" s="298">
        <v>0</v>
      </c>
      <c r="V14" s="340">
        <v>4745160</v>
      </c>
      <c r="W14" s="341">
        <v>0</v>
      </c>
      <c r="X14" s="9">
        <v>39074400</v>
      </c>
      <c r="Y14" s="298">
        <v>0</v>
      </c>
      <c r="Z14" s="340">
        <v>33364000</v>
      </c>
      <c r="AA14" s="341">
        <v>0</v>
      </c>
      <c r="AB14" s="9">
        <v>278600000</v>
      </c>
      <c r="AC14" s="298">
        <v>0</v>
      </c>
      <c r="AD14" s="342">
        <f t="shared" ref="AD14:AD35" si="0">SUM(B14,F14,J14,N14,R14,V14,Z14)</f>
        <v>147353895</v>
      </c>
      <c r="AE14" s="343">
        <f t="shared" ref="AE14:AE35" si="1">SUM(C14,G14,K14,O14,S14,W14,AA14)</f>
        <v>0</v>
      </c>
      <c r="AF14" s="344">
        <f t="shared" ref="AF14:AF35" si="2">SUM(D14,H14,L14,P14,T14,X14,AB14)</f>
        <v>1077570166</v>
      </c>
      <c r="AG14" s="345">
        <f t="shared" ref="AG14:AG35" si="3">SUM(E14,I14,M14,Q14,U14,Y14,AC14)</f>
        <v>0</v>
      </c>
    </row>
    <row r="15" spans="1:38" x14ac:dyDescent="0.25">
      <c r="A15" s="339">
        <v>2016</v>
      </c>
      <c r="B15" s="340">
        <v>46465070</v>
      </c>
      <c r="C15" s="341">
        <f t="shared" ref="C15:C35" si="4">IF(AND(B$11 &gt; 0, ($A15-$A$14-IF($E$7 = "Yes", 1, 0)) &gt;= 1, ($A15-$A$14-IF($E$7 = "Yes", 1, 0)) &lt;= $C$8), ROUND(-PMT($C$7, $C$8, B$11, 0, 0), 0), 0)</f>
        <v>0</v>
      </c>
      <c r="D15" s="9">
        <v>291598791</v>
      </c>
      <c r="E15" s="298">
        <f>IF(AND(B$11 &gt; 0, ($A15-$A$14-IF($E$7 = "Yes", 1, 0)) &gt;= 1, ($A15-$A$14-IF($E$7 = "Yes", 1, 0)) &lt;= $C$8), ROUND(B$11 + CUMPRINC($C$7, $C$8, B$11, 1, $A15-$A$14, 0), 0), 0)</f>
        <v>0</v>
      </c>
      <c r="F15" s="340">
        <v>29182432</v>
      </c>
      <c r="G15" s="341">
        <f t="shared" ref="G15:G35" si="5">IF(AND(F$11 &gt; 0, ($A15-$A$14-IF($E$7 = "Yes", 1, 0)) &gt;= 1, ($A15-$A$14-IF($E$7 = "Yes", 1, 0)) &lt;= $C$8), ROUND(-PMT($C$7, $C$8, F$11, 0, 0), 0), 0)</f>
        <v>0</v>
      </c>
      <c r="H15" s="9">
        <v>177348991</v>
      </c>
      <c r="I15" s="298">
        <f>IF(AND(F$11 &gt; 0, ($A15-$A$14-IF($E$7 = "Yes", 1, 0)) &gt;= 1, ($A15-$A$14-IF($E$7 = "Yes", 1, 0)) &lt;= $C$8), ROUND(F$11 + CUMPRINC($C$7, $C$8, F$11, 1, $A15-$A$14, 0), 0), 0)</f>
        <v>0</v>
      </c>
      <c r="J15" s="340">
        <v>12956631</v>
      </c>
      <c r="K15" s="341">
        <f t="shared" ref="K15:K35" si="6">IF(AND(J$11 &gt; 0, ($A15-$A$14-IF($E$7 = "Yes", 1, 0)) &gt;= 1, ($A15-$A$14-IF($E$7 = "Yes", 1, 0)) &lt;= $C$8), ROUND(-PMT($C$7, $C$8, J$11, 0, 0), 0), 0)</f>
        <v>0</v>
      </c>
      <c r="L15" s="9">
        <v>105370000</v>
      </c>
      <c r="M15" s="298">
        <f>IF(AND(J$11 &gt; 0, ($A15-$A$14-IF($E$7 = "Yes", 1, 0)) &gt;= 1, ($A15-$A$14-IF($E$7 = "Yes", 1, 0)) &lt;= $C$8), ROUND(J$11 + CUMPRINC($C$7, $C$8, J$11, 1, $A15-$A$14, 0), 0), 0)</f>
        <v>0</v>
      </c>
      <c r="N15" s="340">
        <v>7707860</v>
      </c>
      <c r="O15" s="341">
        <f t="shared" ref="O15:O35" si="7">IF(AND(N$11 &gt; 0, ($A15-$A$14-IF($E$7 = "Yes", 1, 0)) &gt;= 1, ($A15-$A$14-IF($E$7 = "Yes", 1, 0)) &lt;= $C$8), ROUND(-PMT($C$7, $C$8, N$11, 0, 0), 0), 0)</f>
        <v>0</v>
      </c>
      <c r="P15" s="9">
        <v>44119675</v>
      </c>
      <c r="Q15" s="298">
        <f>IF(AND(N$11 &gt; 0, ($A15-$A$14-IF($E$7 = "Yes", 1, 0)) &gt;= 1, ($A15-$A$14-IF($E$7 = "Yes", 1, 0)) &lt;= $C$8), ROUND(N$11 + CUMPRINC($C$7, $C$8, N$11, 1, $A15-$A$14, 0), 0), 0)</f>
        <v>0</v>
      </c>
      <c r="R15" s="340">
        <v>10041357</v>
      </c>
      <c r="S15" s="341">
        <f t="shared" ref="S15:S35" si="8">IF(AND(R$11 &gt; 0, ($A15-$A$14-IF($E$7 = "Yes", 1, 0)) &gt;= 1, ($A15-$A$14-IF($E$7 = "Yes", 1, 0)) &lt;= $C$8), ROUND(-PMT($C$7, $C$8, R$11, 0, 0), 0), 0)</f>
        <v>0</v>
      </c>
      <c r="T15" s="9">
        <v>68320000</v>
      </c>
      <c r="U15" s="298">
        <f>IF(AND(R$11 &gt; 0, ($A15-$A$14-IF($E$7 = "Yes", 1, 0)) &gt;= 1, ($A15-$A$14-IF($E$7 = "Yes", 1, 0)) &lt;= $C$8), ROUND(R$11 + CUMPRINC($C$7, $C$8, R$11, 1, $A15-$A$14, 0), 0), 0)</f>
        <v>0</v>
      </c>
      <c r="V15" s="340">
        <v>4750068</v>
      </c>
      <c r="W15" s="341">
        <f t="shared" ref="W15:W35" si="9">IF(AND(V$11 &gt; 0, ($A15-$A$14-IF($E$7 = "Yes", 1, 0)) &gt;= 1, ($A15-$A$14-IF($E$7 = "Yes", 1, 0)) &lt;= $C$8), ROUND(-PMT($C$7, $C$8, V$11, 0, 0), 0), 0)</f>
        <v>0</v>
      </c>
      <c r="X15" s="9">
        <v>35890400</v>
      </c>
      <c r="Y15" s="298">
        <f>IF(AND(V$11 &gt; 0, ($A15-$A$14-IF($E$7 = "Yes", 1, 0)) &gt;= 1, ($A15-$A$14-IF($E$7 = "Yes", 1, 0)) &lt;= $C$8), ROUND(V$11 + CUMPRINC($C$7, $C$8, V$11, 1, $A15-$A$14, 0), 0), 0)</f>
        <v>0</v>
      </c>
      <c r="Z15" s="340">
        <v>31387384</v>
      </c>
      <c r="AA15" s="341">
        <f t="shared" ref="AA15:AA35" si="10">IF(AND(Z$11 &gt; 0, ($A15-$A$14-IF($E$7 = "Yes", 1, 0)) &gt;= 1, ($A15-$A$14-IF($E$7 = "Yes", 1, 0)) &lt;= $C$8), ROUND(-PMT($C$7, $C$8, Z$11, 0, 0), 0), 0)</f>
        <v>0</v>
      </c>
      <c r="AB15" s="9">
        <v>258815000</v>
      </c>
      <c r="AC15" s="298">
        <f>IF(AND(Z$11 &gt; 0, ($A15-$A$14-IF($E$7 = "Yes", 1, 0)) &gt;= 1, ($A15-$A$14-IF($E$7 = "Yes", 1, 0)) &lt;= $C$8), ROUND(Z$11 + CUMPRINC($C$7, $C$8, Z$11, 1, $A15-$A$14, 0), 0), 0)</f>
        <v>0</v>
      </c>
      <c r="AD15" s="342">
        <f t="shared" si="0"/>
        <v>142490802</v>
      </c>
      <c r="AE15" s="343">
        <f t="shared" si="1"/>
        <v>0</v>
      </c>
      <c r="AF15" s="344">
        <f t="shared" si="2"/>
        <v>981462857</v>
      </c>
      <c r="AG15" s="345">
        <f t="shared" si="3"/>
        <v>0</v>
      </c>
    </row>
    <row r="16" spans="1:38" x14ac:dyDescent="0.25">
      <c r="A16" s="339">
        <v>2017</v>
      </c>
      <c r="B16" s="340">
        <v>46652274</v>
      </c>
      <c r="C16" s="341">
        <f t="shared" si="4"/>
        <v>6876592</v>
      </c>
      <c r="D16" s="9">
        <v>256800509</v>
      </c>
      <c r="E16" s="298">
        <f t="shared" ref="E16:E35" si="11">IF(AND(B$11 &gt; 0, ($A16-$A$14-IF($E$7 = "Yes", 1, 0)) &gt;= 1, ($A16-$A$14-IF($E$7 = "Yes", 1, 0)) &lt;= $C$8), ROUND(B$11 + CUMPRINC($C$7, $C$8, B$11, 1, $A16-$A$14-IF($E$7 = "Yes", 1, 0), 0), 0), 0)</f>
        <v>78252158</v>
      </c>
      <c r="F16" s="340">
        <v>25580034</v>
      </c>
      <c r="G16" s="341">
        <f t="shared" si="5"/>
        <v>2989822</v>
      </c>
      <c r="H16" s="9">
        <v>160602191</v>
      </c>
      <c r="I16" s="298">
        <f t="shared" ref="I16:I35" si="12">IF(AND(F$11 &gt; 0, ($A16-$A$14-IF($E$7 = "Yes", 1, 0)) &gt;= 1, ($A16-$A$14-IF($E$7 = "Yes", 1, 0)) &lt;= $C$8), ROUND(F$11 + CUMPRINC($C$7, $C$8, F$11, 1, $A16-$A$14-IF($E$7 = "Yes", 1, 0), 0), 0), 0)</f>
        <v>34022678</v>
      </c>
      <c r="J16" s="340">
        <v>12086113</v>
      </c>
      <c r="K16" s="341">
        <f t="shared" si="6"/>
        <v>5338969</v>
      </c>
      <c r="L16" s="9">
        <v>98165000</v>
      </c>
      <c r="M16" s="298">
        <f t="shared" ref="M16:M35" si="13">IF(AND(J$11 &gt; 0, ($A16-$A$14-IF($E$7 = "Yes", 1, 0)) &gt;= 1, ($A16-$A$14-IF($E$7 = "Yes", 1, 0)) &lt;= $C$8), ROUND(J$11 + CUMPRINC($C$7, $C$8, J$11, 1, $A16-$A$14-IF($E$7 = "Yes", 1, 0), 0), 0), 0)</f>
        <v>60754781</v>
      </c>
      <c r="N16" s="340">
        <v>5489609</v>
      </c>
      <c r="O16" s="341">
        <f t="shared" si="7"/>
        <v>9738279</v>
      </c>
      <c r="P16" s="9">
        <v>40465878</v>
      </c>
      <c r="Q16" s="298">
        <f t="shared" ref="Q16:Q35" si="14">IF(AND(N$11 &gt; 0, ($A16-$A$14-IF($E$7 = "Yes", 1, 0)) &gt;= 1, ($A16-$A$14-IF($E$7 = "Yes", 1, 0)) &lt;= $C$8), ROUND(N$11 + CUMPRINC($C$7, $C$8, N$11, 1, $A16-$A$14-IF($E$7 = "Yes", 1, 0), 0), 0), 0)</f>
        <v>110816721</v>
      </c>
      <c r="R16" s="340">
        <v>8385878</v>
      </c>
      <c r="S16" s="341">
        <f t="shared" si="8"/>
        <v>683388</v>
      </c>
      <c r="T16" s="9">
        <v>62200000</v>
      </c>
      <c r="U16" s="298">
        <f t="shared" ref="U16:U35" si="15">IF(AND(R$11 &gt; 0, ($A16-$A$14-IF($E$7 = "Yes", 1, 0)) &gt;= 1, ($A16-$A$14-IF($E$7 = "Yes", 1, 0)) &lt;= $C$8), ROUND(R$11 + CUMPRINC($C$7, $C$8, R$11, 1, $A16-$A$14-IF($E$7 = "Yes", 1, 0), 0), 0), 0)</f>
        <v>7776612</v>
      </c>
      <c r="V16" s="340">
        <v>4755116</v>
      </c>
      <c r="W16" s="341">
        <f t="shared" si="9"/>
        <v>1708470</v>
      </c>
      <c r="X16" s="9">
        <v>32583000</v>
      </c>
      <c r="Y16" s="298">
        <f t="shared" ref="Y16:Y35" si="16">IF(AND(V$11 &gt; 0, ($A16-$A$14-IF($E$7 = "Yes", 1, 0)) &gt;= 1, ($A16-$A$14-IF($E$7 = "Yes", 1, 0)) &lt;= $C$8), ROUND(V$11 + CUMPRINC($C$7, $C$8, V$11, 1, $A16-$A$14-IF($E$7 = "Yes", 1, 0), 0), 0), 0)</f>
        <v>19441530</v>
      </c>
      <c r="Z16" s="340">
        <v>31558916</v>
      </c>
      <c r="AA16" s="341">
        <f t="shared" si="10"/>
        <v>2135587</v>
      </c>
      <c r="AB16" s="9">
        <v>238140000</v>
      </c>
      <c r="AC16" s="298">
        <f t="shared" ref="AC16:AC35" si="17">IF(AND(Z$11 &gt; 0, ($A16-$A$14-IF($E$7 = "Yes", 1, 0)) &gt;= 1, ($A16-$A$14-IF($E$7 = "Yes", 1, 0)) &lt;= $C$8), ROUND(Z$11 + CUMPRINC($C$7, $C$8, Z$11, 1, $A16-$A$14-IF($E$7 = "Yes", 1, 0), 0), 0), 0)</f>
        <v>24301913</v>
      </c>
      <c r="AD16" s="342">
        <f t="shared" si="0"/>
        <v>134507940</v>
      </c>
      <c r="AE16" s="343">
        <f t="shared" si="1"/>
        <v>29471107</v>
      </c>
      <c r="AF16" s="344">
        <f t="shared" si="2"/>
        <v>888956578</v>
      </c>
      <c r="AG16" s="345">
        <f t="shared" si="3"/>
        <v>335366393</v>
      </c>
    </row>
    <row r="17" spans="1:33" x14ac:dyDescent="0.25">
      <c r="A17" s="339">
        <v>2018</v>
      </c>
      <c r="B17" s="340">
        <v>46294607</v>
      </c>
      <c r="C17" s="341">
        <f t="shared" si="4"/>
        <v>6876592</v>
      </c>
      <c r="D17" s="9">
        <v>220884999</v>
      </c>
      <c r="E17" s="298">
        <f t="shared" si="11"/>
        <v>75875066</v>
      </c>
      <c r="F17" s="340">
        <v>23805549</v>
      </c>
      <c r="G17" s="341">
        <f t="shared" si="5"/>
        <v>2989822</v>
      </c>
      <c r="H17" s="9">
        <v>144821784</v>
      </c>
      <c r="I17" s="298">
        <f t="shared" si="12"/>
        <v>32989159</v>
      </c>
      <c r="J17" s="340">
        <v>12081850</v>
      </c>
      <c r="K17" s="341">
        <f t="shared" si="6"/>
        <v>5338969</v>
      </c>
      <c r="L17" s="9">
        <v>90595000</v>
      </c>
      <c r="M17" s="298">
        <f t="shared" si="13"/>
        <v>58909213</v>
      </c>
      <c r="N17" s="340">
        <v>5493162</v>
      </c>
      <c r="O17" s="341">
        <f t="shared" si="7"/>
        <v>9738279</v>
      </c>
      <c r="P17" s="9">
        <v>36654368</v>
      </c>
      <c r="Q17" s="298">
        <f t="shared" si="14"/>
        <v>107450404</v>
      </c>
      <c r="R17" s="340">
        <v>8382621</v>
      </c>
      <c r="S17" s="341">
        <f t="shared" si="8"/>
        <v>683388</v>
      </c>
      <c r="T17" s="9">
        <v>55925000</v>
      </c>
      <c r="U17" s="298">
        <f t="shared" si="15"/>
        <v>7540379</v>
      </c>
      <c r="V17" s="340">
        <v>4758407</v>
      </c>
      <c r="W17" s="341">
        <f t="shared" si="9"/>
        <v>1708470</v>
      </c>
      <c r="X17" s="9">
        <v>29148200</v>
      </c>
      <c r="Y17" s="298">
        <f t="shared" si="16"/>
        <v>18850948</v>
      </c>
      <c r="Z17" s="340">
        <v>31463216</v>
      </c>
      <c r="AA17" s="341">
        <f t="shared" si="10"/>
        <v>2135587</v>
      </c>
      <c r="AB17" s="9">
        <v>216760000</v>
      </c>
      <c r="AC17" s="298">
        <f t="shared" si="17"/>
        <v>23563685</v>
      </c>
      <c r="AD17" s="342">
        <f t="shared" si="0"/>
        <v>132279412</v>
      </c>
      <c r="AE17" s="343">
        <f t="shared" si="1"/>
        <v>29471107</v>
      </c>
      <c r="AF17" s="344">
        <f t="shared" si="2"/>
        <v>794789351</v>
      </c>
      <c r="AG17" s="345">
        <f t="shared" si="3"/>
        <v>325178854</v>
      </c>
    </row>
    <row r="18" spans="1:33" x14ac:dyDescent="0.25">
      <c r="A18" s="339">
        <v>2019</v>
      </c>
      <c r="B18" s="340">
        <v>41819510</v>
      </c>
      <c r="C18" s="341">
        <f t="shared" si="4"/>
        <v>6876592</v>
      </c>
      <c r="D18" s="9">
        <v>187880000</v>
      </c>
      <c r="E18" s="298">
        <f t="shared" si="11"/>
        <v>73361290</v>
      </c>
      <c r="F18" s="340">
        <v>22767750</v>
      </c>
      <c r="G18" s="341">
        <f t="shared" si="5"/>
        <v>2989822</v>
      </c>
      <c r="H18" s="9">
        <v>129316713</v>
      </c>
      <c r="I18" s="298">
        <f t="shared" si="12"/>
        <v>31896213</v>
      </c>
      <c r="J18" s="340">
        <v>12074200</v>
      </c>
      <c r="K18" s="341">
        <f t="shared" si="6"/>
        <v>5338969</v>
      </c>
      <c r="L18" s="9">
        <v>82645000</v>
      </c>
      <c r="M18" s="298">
        <f t="shared" si="13"/>
        <v>56957524</v>
      </c>
      <c r="N18" s="340">
        <v>5506255</v>
      </c>
      <c r="O18" s="341">
        <f t="shared" si="7"/>
        <v>9738279</v>
      </c>
      <c r="P18" s="9">
        <v>32661289</v>
      </c>
      <c r="Q18" s="298">
        <f t="shared" si="14"/>
        <v>103890523</v>
      </c>
      <c r="R18" s="340">
        <v>8383955</v>
      </c>
      <c r="S18" s="341">
        <f t="shared" si="8"/>
        <v>683388</v>
      </c>
      <c r="T18" s="9">
        <v>49495000</v>
      </c>
      <c r="U18" s="298">
        <f t="shared" si="15"/>
        <v>7290563</v>
      </c>
      <c r="V18" s="340">
        <v>4753357</v>
      </c>
      <c r="W18" s="341">
        <f t="shared" si="9"/>
        <v>1708470</v>
      </c>
      <c r="X18" s="9">
        <v>25589400</v>
      </c>
      <c r="Y18" s="298">
        <f t="shared" si="16"/>
        <v>18226408</v>
      </c>
      <c r="Z18" s="340">
        <v>28958785</v>
      </c>
      <c r="AA18" s="341">
        <f t="shared" si="10"/>
        <v>2135587</v>
      </c>
      <c r="AB18" s="9">
        <v>197005000</v>
      </c>
      <c r="AC18" s="298">
        <f t="shared" si="17"/>
        <v>22783009</v>
      </c>
      <c r="AD18" s="342">
        <f t="shared" si="0"/>
        <v>124263812</v>
      </c>
      <c r="AE18" s="343">
        <f t="shared" si="1"/>
        <v>29471107</v>
      </c>
      <c r="AF18" s="344">
        <f t="shared" si="2"/>
        <v>704592402</v>
      </c>
      <c r="AG18" s="345">
        <f t="shared" si="3"/>
        <v>314405530</v>
      </c>
    </row>
    <row r="19" spans="1:33" x14ac:dyDescent="0.25">
      <c r="A19" s="339">
        <v>2020</v>
      </c>
      <c r="B19" s="340">
        <v>35876783</v>
      </c>
      <c r="C19" s="341">
        <f t="shared" si="4"/>
        <v>6876592</v>
      </c>
      <c r="D19" s="9">
        <v>159670000</v>
      </c>
      <c r="E19" s="298">
        <f t="shared" si="11"/>
        <v>70702973</v>
      </c>
      <c r="F19" s="340">
        <v>21313502</v>
      </c>
      <c r="G19" s="341">
        <f t="shared" si="5"/>
        <v>2989822</v>
      </c>
      <c r="H19" s="9">
        <v>114483592</v>
      </c>
      <c r="I19" s="298">
        <f t="shared" si="12"/>
        <v>30740423</v>
      </c>
      <c r="J19" s="340">
        <v>12076681</v>
      </c>
      <c r="K19" s="341">
        <f t="shared" si="6"/>
        <v>5338969</v>
      </c>
      <c r="L19" s="9">
        <v>74305000</v>
      </c>
      <c r="M19" s="298">
        <f t="shared" si="13"/>
        <v>54893613</v>
      </c>
      <c r="N19" s="340">
        <v>5510198</v>
      </c>
      <c r="O19" s="341">
        <f t="shared" si="7"/>
        <v>9738279</v>
      </c>
      <c r="P19" s="9">
        <v>28480497</v>
      </c>
      <c r="Q19" s="298">
        <f t="shared" si="14"/>
        <v>100125949</v>
      </c>
      <c r="R19" s="340">
        <v>8377725</v>
      </c>
      <c r="S19" s="341">
        <f t="shared" si="8"/>
        <v>683388</v>
      </c>
      <c r="T19" s="9">
        <v>42905000</v>
      </c>
      <c r="U19" s="298">
        <f t="shared" si="15"/>
        <v>7026382</v>
      </c>
      <c r="V19" s="340">
        <v>4764353</v>
      </c>
      <c r="W19" s="341">
        <f t="shared" si="9"/>
        <v>1708470</v>
      </c>
      <c r="X19" s="9">
        <v>21866000</v>
      </c>
      <c r="Y19" s="298">
        <f t="shared" si="16"/>
        <v>17565956</v>
      </c>
      <c r="Z19" s="340">
        <v>28466676</v>
      </c>
      <c r="AA19" s="341">
        <f t="shared" si="10"/>
        <v>2135587</v>
      </c>
      <c r="AB19" s="9">
        <v>176840000</v>
      </c>
      <c r="AC19" s="298">
        <f t="shared" si="17"/>
        <v>21957445</v>
      </c>
      <c r="AD19" s="342">
        <f t="shared" si="0"/>
        <v>116385918</v>
      </c>
      <c r="AE19" s="343">
        <f t="shared" si="1"/>
        <v>29471107</v>
      </c>
      <c r="AF19" s="344">
        <f t="shared" si="2"/>
        <v>618550089</v>
      </c>
      <c r="AG19" s="345">
        <f t="shared" si="3"/>
        <v>303012741</v>
      </c>
    </row>
    <row r="20" spans="1:33" x14ac:dyDescent="0.25">
      <c r="A20" s="339">
        <v>2021</v>
      </c>
      <c r="B20" s="340">
        <v>35865633</v>
      </c>
      <c r="C20" s="341">
        <f t="shared" si="4"/>
        <v>6876592</v>
      </c>
      <c r="D20" s="9">
        <v>130320000</v>
      </c>
      <c r="E20" s="298">
        <f t="shared" si="11"/>
        <v>67891802</v>
      </c>
      <c r="F20" s="340">
        <v>21249295</v>
      </c>
      <c r="G20" s="341">
        <f t="shared" si="5"/>
        <v>2989822</v>
      </c>
      <c r="H20" s="9">
        <v>98963592</v>
      </c>
      <c r="I20" s="298">
        <f t="shared" si="12"/>
        <v>29518175</v>
      </c>
      <c r="J20" s="340">
        <v>12085375</v>
      </c>
      <c r="K20" s="341">
        <f t="shared" si="6"/>
        <v>5338969</v>
      </c>
      <c r="L20" s="9">
        <v>65545000</v>
      </c>
      <c r="M20" s="298">
        <f t="shared" si="13"/>
        <v>52711027</v>
      </c>
      <c r="N20" s="340">
        <v>7872711</v>
      </c>
      <c r="O20" s="341">
        <f t="shared" si="7"/>
        <v>9738279</v>
      </c>
      <c r="P20" s="9">
        <v>21718136</v>
      </c>
      <c r="Q20" s="298">
        <f t="shared" si="14"/>
        <v>96144913</v>
      </c>
      <c r="R20" s="340">
        <v>8387715</v>
      </c>
      <c r="S20" s="341">
        <f t="shared" si="8"/>
        <v>683388</v>
      </c>
      <c r="T20" s="9">
        <v>36125000</v>
      </c>
      <c r="U20" s="298">
        <f t="shared" si="15"/>
        <v>6747011</v>
      </c>
      <c r="V20" s="340">
        <v>4758973</v>
      </c>
      <c r="W20" s="341">
        <f t="shared" si="9"/>
        <v>1708470</v>
      </c>
      <c r="X20" s="9">
        <v>17987000</v>
      </c>
      <c r="Y20" s="298">
        <f t="shared" si="16"/>
        <v>16867529</v>
      </c>
      <c r="Z20" s="340">
        <v>27352977</v>
      </c>
      <c r="AA20" s="341">
        <f t="shared" si="10"/>
        <v>2135587</v>
      </c>
      <c r="AB20" s="9">
        <v>156910000</v>
      </c>
      <c r="AC20" s="298">
        <f t="shared" si="17"/>
        <v>21084411</v>
      </c>
      <c r="AD20" s="342">
        <f t="shared" si="0"/>
        <v>117572679</v>
      </c>
      <c r="AE20" s="343">
        <f t="shared" si="1"/>
        <v>29471107</v>
      </c>
      <c r="AF20" s="344">
        <f t="shared" si="2"/>
        <v>527568728</v>
      </c>
      <c r="AG20" s="345">
        <f t="shared" si="3"/>
        <v>290964868</v>
      </c>
    </row>
    <row r="21" spans="1:33" x14ac:dyDescent="0.25">
      <c r="A21" s="339">
        <v>2022</v>
      </c>
      <c r="B21" s="340">
        <v>25573880</v>
      </c>
      <c r="C21" s="341">
        <f t="shared" si="4"/>
        <v>6876592</v>
      </c>
      <c r="D21" s="9">
        <v>110189999</v>
      </c>
      <c r="E21" s="298">
        <f t="shared" si="11"/>
        <v>64918989</v>
      </c>
      <c r="F21" s="340">
        <v>21275545</v>
      </c>
      <c r="G21" s="341">
        <f t="shared" si="5"/>
        <v>2989822</v>
      </c>
      <c r="H21" s="9">
        <v>82623592</v>
      </c>
      <c r="I21" s="298">
        <f t="shared" si="12"/>
        <v>28225647</v>
      </c>
      <c r="J21" s="340">
        <v>10573713</v>
      </c>
      <c r="K21" s="341">
        <f t="shared" si="6"/>
        <v>5338969</v>
      </c>
      <c r="L21" s="9">
        <v>57890000</v>
      </c>
      <c r="M21" s="298">
        <f t="shared" si="13"/>
        <v>50402942</v>
      </c>
      <c r="N21" s="340">
        <v>3747572</v>
      </c>
      <c r="O21" s="341">
        <f t="shared" si="7"/>
        <v>9738279</v>
      </c>
      <c r="P21" s="9">
        <v>18894207</v>
      </c>
      <c r="Q21" s="298">
        <f t="shared" si="14"/>
        <v>91934966</v>
      </c>
      <c r="R21" s="340">
        <v>8383553</v>
      </c>
      <c r="S21" s="341">
        <f t="shared" si="8"/>
        <v>683388</v>
      </c>
      <c r="T21" s="9">
        <v>29160000</v>
      </c>
      <c r="U21" s="298">
        <f t="shared" si="15"/>
        <v>6451577</v>
      </c>
      <c r="V21" s="340">
        <v>4753415</v>
      </c>
      <c r="W21" s="341">
        <f t="shared" si="9"/>
        <v>1708470</v>
      </c>
      <c r="X21" s="9">
        <v>13937400</v>
      </c>
      <c r="Y21" s="298">
        <f t="shared" si="16"/>
        <v>16128941</v>
      </c>
      <c r="Z21" s="340">
        <v>23750322</v>
      </c>
      <c r="AA21" s="341">
        <f t="shared" si="10"/>
        <v>2135587</v>
      </c>
      <c r="AB21" s="9">
        <v>139765000</v>
      </c>
      <c r="AC21" s="298">
        <f t="shared" si="17"/>
        <v>20161177</v>
      </c>
      <c r="AD21" s="342">
        <f t="shared" si="0"/>
        <v>98058000</v>
      </c>
      <c r="AE21" s="343">
        <f t="shared" si="1"/>
        <v>29471107</v>
      </c>
      <c r="AF21" s="344">
        <f t="shared" si="2"/>
        <v>452460198</v>
      </c>
      <c r="AG21" s="345">
        <f t="shared" si="3"/>
        <v>278224239</v>
      </c>
    </row>
    <row r="22" spans="1:33" x14ac:dyDescent="0.25">
      <c r="A22" s="339">
        <v>2023</v>
      </c>
      <c r="B22" s="340">
        <v>25440402</v>
      </c>
      <c r="C22" s="341">
        <f t="shared" si="4"/>
        <v>6876592</v>
      </c>
      <c r="D22" s="9">
        <v>89280000</v>
      </c>
      <c r="E22" s="298">
        <f t="shared" si="11"/>
        <v>61775239</v>
      </c>
      <c r="F22" s="340">
        <v>18129883</v>
      </c>
      <c r="G22" s="341">
        <f t="shared" si="5"/>
        <v>2989822</v>
      </c>
      <c r="H22" s="9">
        <v>68593592</v>
      </c>
      <c r="I22" s="298">
        <f t="shared" si="12"/>
        <v>26858800</v>
      </c>
      <c r="J22" s="340">
        <v>10574088</v>
      </c>
      <c r="K22" s="341">
        <f t="shared" si="6"/>
        <v>5338969</v>
      </c>
      <c r="L22" s="9">
        <v>49850000</v>
      </c>
      <c r="M22" s="298">
        <f t="shared" si="13"/>
        <v>47962142</v>
      </c>
      <c r="N22" s="340">
        <v>3750175</v>
      </c>
      <c r="O22" s="341">
        <f t="shared" si="7"/>
        <v>9738279</v>
      </c>
      <c r="P22" s="9">
        <v>15938708</v>
      </c>
      <c r="Q22" s="298">
        <f t="shared" si="14"/>
        <v>87482948</v>
      </c>
      <c r="R22" s="340">
        <v>6321738</v>
      </c>
      <c r="S22" s="341">
        <f t="shared" si="8"/>
        <v>683388</v>
      </c>
      <c r="T22" s="9">
        <v>24075000</v>
      </c>
      <c r="U22" s="298">
        <f t="shared" si="15"/>
        <v>6139154</v>
      </c>
      <c r="V22" s="340">
        <v>4056135</v>
      </c>
      <c r="W22" s="341">
        <f t="shared" si="9"/>
        <v>1708470</v>
      </c>
      <c r="X22" s="9">
        <v>10400600</v>
      </c>
      <c r="Y22" s="298">
        <f t="shared" si="16"/>
        <v>15347886</v>
      </c>
      <c r="Z22" s="340">
        <v>23289700</v>
      </c>
      <c r="AA22" s="341">
        <f t="shared" si="10"/>
        <v>2135587</v>
      </c>
      <c r="AB22" s="9">
        <v>122290000</v>
      </c>
      <c r="AC22" s="298">
        <f t="shared" si="17"/>
        <v>19184857</v>
      </c>
      <c r="AD22" s="342">
        <f t="shared" si="0"/>
        <v>91562121</v>
      </c>
      <c r="AE22" s="343">
        <f t="shared" si="1"/>
        <v>29471107</v>
      </c>
      <c r="AF22" s="344">
        <f t="shared" si="2"/>
        <v>380427900</v>
      </c>
      <c r="AG22" s="345">
        <f t="shared" si="3"/>
        <v>264751026</v>
      </c>
    </row>
    <row r="23" spans="1:33" x14ac:dyDescent="0.25">
      <c r="A23" s="339">
        <v>2024</v>
      </c>
      <c r="B23" s="340">
        <v>20098705</v>
      </c>
      <c r="C23" s="341">
        <f t="shared" si="4"/>
        <v>6876592</v>
      </c>
      <c r="D23" s="9">
        <v>72895000</v>
      </c>
      <c r="E23" s="298">
        <f t="shared" si="11"/>
        <v>58450724</v>
      </c>
      <c r="F23" s="340">
        <v>17187808</v>
      </c>
      <c r="G23" s="341">
        <f t="shared" si="5"/>
        <v>2989822</v>
      </c>
      <c r="H23" s="9">
        <v>54793592</v>
      </c>
      <c r="I23" s="298">
        <f t="shared" si="12"/>
        <v>25413358</v>
      </c>
      <c r="J23" s="340">
        <v>10569450</v>
      </c>
      <c r="K23" s="341">
        <f t="shared" si="6"/>
        <v>5338969</v>
      </c>
      <c r="L23" s="9">
        <v>41415000</v>
      </c>
      <c r="M23" s="298">
        <f t="shared" si="13"/>
        <v>45380997</v>
      </c>
      <c r="N23" s="340">
        <v>3753362</v>
      </c>
      <c r="O23" s="341">
        <f t="shared" si="7"/>
        <v>9738279</v>
      </c>
      <c r="P23" s="9">
        <v>12842785</v>
      </c>
      <c r="Q23" s="298">
        <f t="shared" si="14"/>
        <v>82774938</v>
      </c>
      <c r="R23" s="340">
        <v>6327513</v>
      </c>
      <c r="S23" s="341">
        <f t="shared" si="8"/>
        <v>683388</v>
      </c>
      <c r="T23" s="9">
        <v>18810000</v>
      </c>
      <c r="U23" s="298">
        <f t="shared" si="15"/>
        <v>5808768</v>
      </c>
      <c r="V23" s="340">
        <v>4042334</v>
      </c>
      <c r="W23" s="341">
        <f t="shared" si="9"/>
        <v>1708470</v>
      </c>
      <c r="X23" s="9">
        <v>6721600</v>
      </c>
      <c r="Y23" s="298">
        <f t="shared" si="16"/>
        <v>14521919</v>
      </c>
      <c r="Z23" s="340">
        <v>23278075</v>
      </c>
      <c r="AA23" s="341">
        <f t="shared" si="10"/>
        <v>2135587</v>
      </c>
      <c r="AB23" s="9">
        <v>104005000</v>
      </c>
      <c r="AC23" s="298">
        <f t="shared" si="17"/>
        <v>18152399</v>
      </c>
      <c r="AD23" s="342">
        <f t="shared" si="0"/>
        <v>85257247</v>
      </c>
      <c r="AE23" s="343">
        <f t="shared" si="1"/>
        <v>29471107</v>
      </c>
      <c r="AF23" s="344">
        <f t="shared" si="2"/>
        <v>311482977</v>
      </c>
      <c r="AG23" s="345">
        <f t="shared" si="3"/>
        <v>250503103</v>
      </c>
    </row>
    <row r="24" spans="1:33" x14ac:dyDescent="0.25">
      <c r="A24" s="339">
        <v>2025</v>
      </c>
      <c r="B24" s="340">
        <v>20080612</v>
      </c>
      <c r="C24" s="341">
        <f t="shared" si="4"/>
        <v>6876592</v>
      </c>
      <c r="D24" s="9">
        <v>55755000</v>
      </c>
      <c r="E24" s="298">
        <f t="shared" si="11"/>
        <v>54935049</v>
      </c>
      <c r="F24" s="340">
        <v>17192870</v>
      </c>
      <c r="G24" s="341">
        <f t="shared" si="5"/>
        <v>2989822</v>
      </c>
      <c r="H24" s="9">
        <v>40288592</v>
      </c>
      <c r="I24" s="298">
        <f t="shared" si="12"/>
        <v>23884804</v>
      </c>
      <c r="J24" s="340">
        <v>8891375</v>
      </c>
      <c r="K24" s="341">
        <f t="shared" si="6"/>
        <v>5338969</v>
      </c>
      <c r="L24" s="9">
        <v>34290000</v>
      </c>
      <c r="M24" s="298">
        <f t="shared" si="13"/>
        <v>42651436</v>
      </c>
      <c r="N24" s="340">
        <v>3753863</v>
      </c>
      <c r="O24" s="341">
        <f t="shared" si="7"/>
        <v>9738279</v>
      </c>
      <c r="P24" s="9">
        <v>9601436</v>
      </c>
      <c r="Q24" s="298">
        <f t="shared" si="14"/>
        <v>77796219</v>
      </c>
      <c r="R24" s="340">
        <v>3722456</v>
      </c>
      <c r="S24" s="341">
        <f t="shared" si="8"/>
        <v>683388</v>
      </c>
      <c r="T24" s="9">
        <v>15985000</v>
      </c>
      <c r="U24" s="298">
        <f t="shared" si="15"/>
        <v>5459384</v>
      </c>
      <c r="V24" s="340">
        <v>2157607</v>
      </c>
      <c r="W24" s="341">
        <f t="shared" si="9"/>
        <v>1708470</v>
      </c>
      <c r="X24" s="9">
        <v>4784800</v>
      </c>
      <c r="Y24" s="298">
        <f t="shared" si="16"/>
        <v>13648459</v>
      </c>
      <c r="Z24" s="340">
        <v>22696455</v>
      </c>
      <c r="AA24" s="341">
        <f t="shared" si="10"/>
        <v>2135587</v>
      </c>
      <c r="AB24" s="9">
        <v>85475000</v>
      </c>
      <c r="AC24" s="298">
        <f t="shared" si="17"/>
        <v>17060574</v>
      </c>
      <c r="AD24" s="342">
        <f t="shared" si="0"/>
        <v>78495238</v>
      </c>
      <c r="AE24" s="343">
        <f t="shared" si="1"/>
        <v>29471107</v>
      </c>
      <c r="AF24" s="344">
        <f t="shared" si="2"/>
        <v>246179828</v>
      </c>
      <c r="AG24" s="345">
        <f t="shared" si="3"/>
        <v>235435925</v>
      </c>
    </row>
    <row r="25" spans="1:33" x14ac:dyDescent="0.25">
      <c r="A25" s="339">
        <v>2026</v>
      </c>
      <c r="B25" s="340">
        <v>18027882</v>
      </c>
      <c r="C25" s="341">
        <f t="shared" si="4"/>
        <v>6876592</v>
      </c>
      <c r="D25" s="9">
        <v>39910000</v>
      </c>
      <c r="E25" s="298">
        <f t="shared" si="11"/>
        <v>51217223</v>
      </c>
      <c r="F25" s="340">
        <v>16699496</v>
      </c>
      <c r="G25" s="341">
        <f t="shared" si="5"/>
        <v>2989822</v>
      </c>
      <c r="H25" s="9">
        <v>25538592</v>
      </c>
      <c r="I25" s="298">
        <f t="shared" si="12"/>
        <v>22268358</v>
      </c>
      <c r="J25" s="340">
        <v>8887575</v>
      </c>
      <c r="K25" s="341">
        <f t="shared" si="6"/>
        <v>5338969</v>
      </c>
      <c r="L25" s="9">
        <v>26830000</v>
      </c>
      <c r="M25" s="298">
        <f t="shared" si="13"/>
        <v>39764924</v>
      </c>
      <c r="N25" s="340">
        <v>3227236</v>
      </c>
      <c r="O25" s="341">
        <f t="shared" si="7"/>
        <v>9738279</v>
      </c>
      <c r="P25" s="9">
        <v>6749662</v>
      </c>
      <c r="Q25" s="298">
        <f t="shared" si="14"/>
        <v>72531222</v>
      </c>
      <c r="R25" s="340">
        <v>3725788</v>
      </c>
      <c r="S25" s="341">
        <f t="shared" si="8"/>
        <v>683388</v>
      </c>
      <c r="T25" s="9">
        <v>13000000</v>
      </c>
      <c r="U25" s="298">
        <f t="shared" si="15"/>
        <v>5089910</v>
      </c>
      <c r="V25" s="340">
        <v>2153937</v>
      </c>
      <c r="W25" s="341">
        <f t="shared" si="9"/>
        <v>1708470</v>
      </c>
      <c r="X25" s="9">
        <v>2783600</v>
      </c>
      <c r="Y25" s="298">
        <f t="shared" si="16"/>
        <v>12724776</v>
      </c>
      <c r="Z25" s="340">
        <v>23375722</v>
      </c>
      <c r="AA25" s="341">
        <f t="shared" si="10"/>
        <v>2135587</v>
      </c>
      <c r="AB25" s="9">
        <v>65415000</v>
      </c>
      <c r="AC25" s="298">
        <f t="shared" si="17"/>
        <v>15905970</v>
      </c>
      <c r="AD25" s="342">
        <f t="shared" si="0"/>
        <v>76097636</v>
      </c>
      <c r="AE25" s="343">
        <f t="shared" si="1"/>
        <v>29471107</v>
      </c>
      <c r="AF25" s="344">
        <f t="shared" si="2"/>
        <v>180226854</v>
      </c>
      <c r="AG25" s="345">
        <f t="shared" si="3"/>
        <v>219502383</v>
      </c>
    </row>
    <row r="26" spans="1:33" x14ac:dyDescent="0.25">
      <c r="A26" s="339">
        <v>2027</v>
      </c>
      <c r="B26" s="340">
        <v>18044082</v>
      </c>
      <c r="C26" s="341">
        <f t="shared" si="4"/>
        <v>6876592</v>
      </c>
      <c r="D26" s="9">
        <v>23300000</v>
      </c>
      <c r="E26" s="298">
        <f t="shared" si="11"/>
        <v>47285621</v>
      </c>
      <c r="F26" s="340">
        <v>12858908</v>
      </c>
      <c r="G26" s="341">
        <f t="shared" si="5"/>
        <v>2989822</v>
      </c>
      <c r="H26" s="9">
        <v>13878592</v>
      </c>
      <c r="I26" s="298">
        <f t="shared" si="12"/>
        <v>20558966</v>
      </c>
      <c r="J26" s="340">
        <v>7383200</v>
      </c>
      <c r="K26" s="341">
        <f t="shared" si="6"/>
        <v>5338969</v>
      </c>
      <c r="L26" s="9">
        <v>20550000</v>
      </c>
      <c r="M26" s="298">
        <f t="shared" si="13"/>
        <v>36712439</v>
      </c>
      <c r="N26" s="340">
        <v>3229340</v>
      </c>
      <c r="O26" s="341">
        <f t="shared" si="7"/>
        <v>9738279</v>
      </c>
      <c r="P26" s="9">
        <v>3763606</v>
      </c>
      <c r="Q26" s="298">
        <f t="shared" si="14"/>
        <v>66963489</v>
      </c>
      <c r="R26" s="340">
        <v>3725213</v>
      </c>
      <c r="S26" s="341">
        <f t="shared" si="8"/>
        <v>683388</v>
      </c>
      <c r="T26" s="9">
        <v>9850000</v>
      </c>
      <c r="U26" s="298">
        <f t="shared" si="15"/>
        <v>4699192</v>
      </c>
      <c r="V26" s="340">
        <v>1648888</v>
      </c>
      <c r="W26" s="341">
        <f t="shared" si="9"/>
        <v>1708470</v>
      </c>
      <c r="X26" s="9">
        <v>1217000</v>
      </c>
      <c r="Y26" s="298">
        <f t="shared" si="16"/>
        <v>11747980</v>
      </c>
      <c r="Z26" s="340">
        <v>23167623</v>
      </c>
      <c r="AA26" s="341">
        <f t="shared" si="10"/>
        <v>2135587</v>
      </c>
      <c r="AB26" s="9">
        <v>44665000</v>
      </c>
      <c r="AC26" s="298">
        <f t="shared" si="17"/>
        <v>14684976</v>
      </c>
      <c r="AD26" s="342">
        <f t="shared" si="0"/>
        <v>70057254</v>
      </c>
      <c r="AE26" s="343">
        <f t="shared" si="1"/>
        <v>29471107</v>
      </c>
      <c r="AF26" s="344">
        <f t="shared" si="2"/>
        <v>117224198</v>
      </c>
      <c r="AG26" s="345">
        <f t="shared" si="3"/>
        <v>202652663</v>
      </c>
    </row>
    <row r="27" spans="1:33" x14ac:dyDescent="0.25">
      <c r="A27" s="339">
        <v>2028</v>
      </c>
      <c r="B27" s="340">
        <v>7714851</v>
      </c>
      <c r="C27" s="341">
        <f t="shared" si="4"/>
        <v>6876592</v>
      </c>
      <c r="D27" s="9">
        <v>16485000</v>
      </c>
      <c r="E27" s="298">
        <f t="shared" si="11"/>
        <v>43127953</v>
      </c>
      <c r="F27" s="340">
        <v>7591982</v>
      </c>
      <c r="G27" s="341">
        <f t="shared" si="5"/>
        <v>2989822</v>
      </c>
      <c r="H27" s="9">
        <v>6938592</v>
      </c>
      <c r="I27" s="298">
        <f t="shared" si="12"/>
        <v>18751284</v>
      </c>
      <c r="J27" s="340">
        <v>7360831</v>
      </c>
      <c r="K27" s="341">
        <f t="shared" si="6"/>
        <v>5338969</v>
      </c>
      <c r="L27" s="9">
        <v>13995000</v>
      </c>
      <c r="M27" s="298">
        <f t="shared" si="13"/>
        <v>33484436</v>
      </c>
      <c r="N27" s="340">
        <v>1195624</v>
      </c>
      <c r="O27" s="341">
        <f t="shared" si="7"/>
        <v>9738279</v>
      </c>
      <c r="P27" s="9">
        <v>2718269</v>
      </c>
      <c r="Q27" s="298">
        <f t="shared" si="14"/>
        <v>61075610</v>
      </c>
      <c r="R27" s="340">
        <v>3725300</v>
      </c>
      <c r="S27" s="341">
        <f t="shared" si="8"/>
        <v>683388</v>
      </c>
      <c r="T27" s="9">
        <v>6525000</v>
      </c>
      <c r="U27" s="298">
        <f t="shared" si="15"/>
        <v>4286008</v>
      </c>
      <c r="V27" s="340">
        <v>951400</v>
      </c>
      <c r="W27" s="341">
        <f t="shared" si="9"/>
        <v>1708470</v>
      </c>
      <c r="X27" s="9">
        <v>300000</v>
      </c>
      <c r="Y27" s="298">
        <f t="shared" si="16"/>
        <v>10715019</v>
      </c>
      <c r="Z27" s="340">
        <v>15051147</v>
      </c>
      <c r="AA27" s="341">
        <f t="shared" si="10"/>
        <v>2135587</v>
      </c>
      <c r="AB27" s="9">
        <v>31270000</v>
      </c>
      <c r="AC27" s="298">
        <f t="shared" si="17"/>
        <v>13393774</v>
      </c>
      <c r="AD27" s="342">
        <f t="shared" si="0"/>
        <v>43591135</v>
      </c>
      <c r="AE27" s="343">
        <f t="shared" si="1"/>
        <v>29471107</v>
      </c>
      <c r="AF27" s="344">
        <f t="shared" si="2"/>
        <v>78231861</v>
      </c>
      <c r="AG27" s="345">
        <f t="shared" si="3"/>
        <v>184834084</v>
      </c>
    </row>
    <row r="28" spans="1:33" x14ac:dyDescent="0.25">
      <c r="A28" s="339">
        <v>2029</v>
      </c>
      <c r="B28" s="340">
        <v>6368722</v>
      </c>
      <c r="C28" s="341">
        <f t="shared" si="4"/>
        <v>6876592</v>
      </c>
      <c r="D28" s="9">
        <v>10740000</v>
      </c>
      <c r="E28" s="298">
        <f t="shared" si="11"/>
        <v>38731219</v>
      </c>
      <c r="F28" s="340">
        <v>1586970</v>
      </c>
      <c r="G28" s="341">
        <f t="shared" si="5"/>
        <v>2989822</v>
      </c>
      <c r="H28" s="9">
        <v>5658592</v>
      </c>
      <c r="I28" s="298">
        <f t="shared" si="12"/>
        <v>16839660</v>
      </c>
      <c r="J28" s="340">
        <v>4062225</v>
      </c>
      <c r="K28" s="341">
        <f t="shared" si="6"/>
        <v>5338969</v>
      </c>
      <c r="L28" s="9">
        <v>10510000</v>
      </c>
      <c r="M28" s="298">
        <f t="shared" si="13"/>
        <v>30070822</v>
      </c>
      <c r="N28" s="340">
        <v>1191417</v>
      </c>
      <c r="O28" s="341">
        <f t="shared" si="7"/>
        <v>9738279</v>
      </c>
      <c r="P28" s="9">
        <v>1628651</v>
      </c>
      <c r="Q28" s="298">
        <f t="shared" si="14"/>
        <v>54849179</v>
      </c>
      <c r="R28" s="340">
        <v>3720619</v>
      </c>
      <c r="S28" s="341">
        <f t="shared" si="8"/>
        <v>683388</v>
      </c>
      <c r="T28" s="9">
        <v>3020000</v>
      </c>
      <c r="U28" s="298">
        <f t="shared" si="15"/>
        <v>3849065</v>
      </c>
      <c r="V28" s="340">
        <v>306135</v>
      </c>
      <c r="W28" s="341">
        <f t="shared" si="9"/>
        <v>1708470</v>
      </c>
      <c r="X28" s="9">
        <v>0</v>
      </c>
      <c r="Y28" s="298">
        <f t="shared" si="16"/>
        <v>9622663</v>
      </c>
      <c r="Z28" s="340">
        <v>11248538</v>
      </c>
      <c r="AA28" s="341">
        <f t="shared" si="10"/>
        <v>2135587</v>
      </c>
      <c r="AB28" s="9">
        <v>21145000</v>
      </c>
      <c r="AC28" s="298">
        <f t="shared" si="17"/>
        <v>12028329</v>
      </c>
      <c r="AD28" s="342">
        <f t="shared" si="0"/>
        <v>28484626</v>
      </c>
      <c r="AE28" s="343">
        <f t="shared" si="1"/>
        <v>29471107</v>
      </c>
      <c r="AF28" s="344">
        <f t="shared" si="2"/>
        <v>52702243</v>
      </c>
      <c r="AG28" s="345">
        <f t="shared" si="3"/>
        <v>165990937</v>
      </c>
    </row>
    <row r="29" spans="1:33" x14ac:dyDescent="0.25">
      <c r="A29" s="339">
        <v>2030</v>
      </c>
      <c r="B29" s="340">
        <v>6372655</v>
      </c>
      <c r="C29" s="341">
        <f t="shared" si="4"/>
        <v>6876592</v>
      </c>
      <c r="D29" s="9">
        <v>4735000</v>
      </c>
      <c r="E29" s="298">
        <f t="shared" si="11"/>
        <v>34081672</v>
      </c>
      <c r="F29" s="340">
        <v>1593320</v>
      </c>
      <c r="G29" s="341">
        <f t="shared" si="5"/>
        <v>2989822</v>
      </c>
      <c r="H29" s="9">
        <v>4318592</v>
      </c>
      <c r="I29" s="298">
        <f t="shared" si="12"/>
        <v>14818118</v>
      </c>
      <c r="J29" s="340">
        <v>4067656</v>
      </c>
      <c r="K29" s="341">
        <f t="shared" si="6"/>
        <v>5338969</v>
      </c>
      <c r="L29" s="9">
        <v>6850000</v>
      </c>
      <c r="M29" s="298">
        <f t="shared" si="13"/>
        <v>26460925</v>
      </c>
      <c r="N29" s="340">
        <v>1193294</v>
      </c>
      <c r="O29" s="341">
        <f t="shared" si="7"/>
        <v>9738279</v>
      </c>
      <c r="P29" s="9">
        <v>485894</v>
      </c>
      <c r="Q29" s="298">
        <f t="shared" si="14"/>
        <v>48264728</v>
      </c>
      <c r="R29" s="340">
        <v>816600</v>
      </c>
      <c r="S29" s="341">
        <f t="shared" si="8"/>
        <v>683388</v>
      </c>
      <c r="T29" s="9">
        <v>2310000</v>
      </c>
      <c r="U29" s="298">
        <f t="shared" si="15"/>
        <v>3386998</v>
      </c>
      <c r="V29" s="340">
        <v>0</v>
      </c>
      <c r="W29" s="341">
        <f t="shared" si="9"/>
        <v>1708470</v>
      </c>
      <c r="X29" s="9">
        <v>0</v>
      </c>
      <c r="Y29" s="298">
        <f t="shared" si="16"/>
        <v>8467496</v>
      </c>
      <c r="Z29" s="340">
        <v>8541291</v>
      </c>
      <c r="AA29" s="341">
        <f t="shared" si="10"/>
        <v>2135587</v>
      </c>
      <c r="AB29" s="9">
        <v>13325000</v>
      </c>
      <c r="AC29" s="298">
        <f t="shared" si="17"/>
        <v>10584370</v>
      </c>
      <c r="AD29" s="342">
        <f t="shared" si="0"/>
        <v>22584816</v>
      </c>
      <c r="AE29" s="343">
        <f t="shared" si="1"/>
        <v>29471107</v>
      </c>
      <c r="AF29" s="344">
        <f t="shared" si="2"/>
        <v>32024486</v>
      </c>
      <c r="AG29" s="345">
        <f t="shared" si="3"/>
        <v>146064307</v>
      </c>
    </row>
    <row r="30" spans="1:33" x14ac:dyDescent="0.25">
      <c r="A30" s="339">
        <v>2031</v>
      </c>
      <c r="B30" s="340">
        <v>2489000</v>
      </c>
      <c r="C30" s="341">
        <f t="shared" si="4"/>
        <v>6876592</v>
      </c>
      <c r="D30" s="9">
        <v>2425000</v>
      </c>
      <c r="E30" s="298">
        <f t="shared" si="11"/>
        <v>29164776</v>
      </c>
      <c r="F30" s="340">
        <v>1585195</v>
      </c>
      <c r="G30" s="341">
        <f t="shared" si="5"/>
        <v>2989822</v>
      </c>
      <c r="H30" s="9">
        <v>2918592</v>
      </c>
      <c r="I30" s="298">
        <f t="shared" si="12"/>
        <v>12680338</v>
      </c>
      <c r="J30" s="340">
        <v>4063025</v>
      </c>
      <c r="K30" s="341">
        <f t="shared" si="6"/>
        <v>5338969</v>
      </c>
      <c r="L30" s="9">
        <v>3015000</v>
      </c>
      <c r="M30" s="298">
        <f t="shared" si="13"/>
        <v>22643460</v>
      </c>
      <c r="N30" s="340">
        <v>498042</v>
      </c>
      <c r="O30" s="341">
        <f t="shared" si="7"/>
        <v>9738279</v>
      </c>
      <c r="P30" s="9">
        <v>0</v>
      </c>
      <c r="Q30" s="298">
        <f t="shared" si="14"/>
        <v>41301671</v>
      </c>
      <c r="R30" s="340">
        <v>817600</v>
      </c>
      <c r="S30" s="341">
        <f t="shared" si="8"/>
        <v>683388</v>
      </c>
      <c r="T30" s="9">
        <v>1570000</v>
      </c>
      <c r="U30" s="298">
        <f t="shared" si="15"/>
        <v>2898363</v>
      </c>
      <c r="V30" s="340">
        <v>0</v>
      </c>
      <c r="W30" s="341">
        <f t="shared" si="9"/>
        <v>1708470</v>
      </c>
      <c r="X30" s="9">
        <v>0</v>
      </c>
      <c r="Y30" s="298">
        <f t="shared" si="16"/>
        <v>7245907</v>
      </c>
      <c r="Z30" s="340">
        <v>4984495</v>
      </c>
      <c r="AA30" s="341">
        <f t="shared" si="10"/>
        <v>2135587</v>
      </c>
      <c r="AB30" s="9">
        <v>8795000</v>
      </c>
      <c r="AC30" s="298">
        <f t="shared" si="17"/>
        <v>9057384</v>
      </c>
      <c r="AD30" s="342">
        <f t="shared" si="0"/>
        <v>14437357</v>
      </c>
      <c r="AE30" s="343">
        <f t="shared" si="1"/>
        <v>29471107</v>
      </c>
      <c r="AF30" s="344">
        <f t="shared" si="2"/>
        <v>18723592</v>
      </c>
      <c r="AG30" s="345">
        <f t="shared" si="3"/>
        <v>124991899</v>
      </c>
    </row>
    <row r="31" spans="1:33" x14ac:dyDescent="0.25">
      <c r="A31" s="339">
        <v>2032</v>
      </c>
      <c r="B31" s="340">
        <v>2485625</v>
      </c>
      <c r="C31" s="341">
        <f t="shared" si="4"/>
        <v>6876592</v>
      </c>
      <c r="D31" s="9">
        <v>0</v>
      </c>
      <c r="E31" s="298">
        <f t="shared" si="11"/>
        <v>23965159</v>
      </c>
      <c r="F31" s="340">
        <v>1585695</v>
      </c>
      <c r="G31" s="341">
        <f t="shared" si="5"/>
        <v>2989822</v>
      </c>
      <c r="H31" s="9">
        <v>1468592</v>
      </c>
      <c r="I31" s="298">
        <f t="shared" si="12"/>
        <v>10419635</v>
      </c>
      <c r="J31" s="340">
        <v>1577488</v>
      </c>
      <c r="K31" s="341">
        <f t="shared" si="6"/>
        <v>5338969</v>
      </c>
      <c r="L31" s="9">
        <v>1540000</v>
      </c>
      <c r="M31" s="298">
        <f t="shared" si="13"/>
        <v>18606490</v>
      </c>
      <c r="N31" s="340">
        <v>0</v>
      </c>
      <c r="O31" s="341">
        <f t="shared" si="7"/>
        <v>9738279</v>
      </c>
      <c r="P31" s="9">
        <v>0</v>
      </c>
      <c r="Q31" s="298">
        <f t="shared" si="14"/>
        <v>33938238</v>
      </c>
      <c r="R31" s="340">
        <v>817400</v>
      </c>
      <c r="S31" s="341">
        <f t="shared" si="8"/>
        <v>683388</v>
      </c>
      <c r="T31" s="9">
        <v>800000</v>
      </c>
      <c r="U31" s="298">
        <f t="shared" si="15"/>
        <v>2381631</v>
      </c>
      <c r="V31" s="340">
        <v>0</v>
      </c>
      <c r="W31" s="341">
        <f t="shared" si="9"/>
        <v>1708470</v>
      </c>
      <c r="X31" s="9">
        <v>0</v>
      </c>
      <c r="Y31" s="298">
        <f t="shared" si="16"/>
        <v>5954077</v>
      </c>
      <c r="Z31" s="340">
        <v>4977733</v>
      </c>
      <c r="AA31" s="341">
        <f t="shared" si="10"/>
        <v>2135587</v>
      </c>
      <c r="AB31" s="9">
        <v>4085000</v>
      </c>
      <c r="AC31" s="298">
        <f t="shared" si="17"/>
        <v>7442596</v>
      </c>
      <c r="AD31" s="342">
        <f t="shared" si="0"/>
        <v>11443941</v>
      </c>
      <c r="AE31" s="343">
        <f t="shared" si="1"/>
        <v>29471107</v>
      </c>
      <c r="AF31" s="344">
        <f t="shared" si="2"/>
        <v>7893592</v>
      </c>
      <c r="AG31" s="345">
        <f t="shared" si="3"/>
        <v>102707826</v>
      </c>
    </row>
    <row r="32" spans="1:33" x14ac:dyDescent="0.25">
      <c r="A32" s="339">
        <v>2033</v>
      </c>
      <c r="B32" s="340">
        <v>0</v>
      </c>
      <c r="C32" s="341">
        <f t="shared" si="4"/>
        <v>6876592</v>
      </c>
      <c r="D32" s="9">
        <v>0</v>
      </c>
      <c r="E32" s="298">
        <f t="shared" si="11"/>
        <v>18466564</v>
      </c>
      <c r="F32" s="340">
        <v>1553036</v>
      </c>
      <c r="G32" s="341">
        <f t="shared" si="5"/>
        <v>2989822</v>
      </c>
      <c r="H32" s="9">
        <v>0</v>
      </c>
      <c r="I32" s="298">
        <f t="shared" si="12"/>
        <v>8028941</v>
      </c>
      <c r="J32" s="340">
        <v>1574650</v>
      </c>
      <c r="K32" s="341">
        <f t="shared" si="6"/>
        <v>5338969</v>
      </c>
      <c r="L32" s="9">
        <v>0</v>
      </c>
      <c r="M32" s="298">
        <f t="shared" si="13"/>
        <v>14337395</v>
      </c>
      <c r="N32" s="340">
        <v>0</v>
      </c>
      <c r="O32" s="341">
        <f t="shared" si="7"/>
        <v>9738279</v>
      </c>
      <c r="P32" s="9">
        <v>0</v>
      </c>
      <c r="Q32" s="298">
        <f t="shared" si="14"/>
        <v>26151408</v>
      </c>
      <c r="R32" s="340">
        <v>816000</v>
      </c>
      <c r="S32" s="341">
        <f t="shared" si="8"/>
        <v>683388</v>
      </c>
      <c r="T32" s="9">
        <v>0</v>
      </c>
      <c r="U32" s="298">
        <f t="shared" si="15"/>
        <v>1835187</v>
      </c>
      <c r="V32" s="340">
        <v>0</v>
      </c>
      <c r="W32" s="341">
        <f t="shared" si="9"/>
        <v>1708470</v>
      </c>
      <c r="X32" s="9">
        <v>0</v>
      </c>
      <c r="Y32" s="298">
        <f t="shared" si="16"/>
        <v>4587966</v>
      </c>
      <c r="Z32" s="340">
        <v>4170785</v>
      </c>
      <c r="AA32" s="341">
        <f t="shared" si="10"/>
        <v>2135587</v>
      </c>
      <c r="AB32" s="9">
        <v>0</v>
      </c>
      <c r="AC32" s="298">
        <f t="shared" si="17"/>
        <v>5734958</v>
      </c>
      <c r="AD32" s="342">
        <f t="shared" si="0"/>
        <v>8114471</v>
      </c>
      <c r="AE32" s="343">
        <f t="shared" si="1"/>
        <v>29471107</v>
      </c>
      <c r="AF32" s="344">
        <f t="shared" si="2"/>
        <v>0</v>
      </c>
      <c r="AG32" s="345">
        <f t="shared" si="3"/>
        <v>79142419</v>
      </c>
    </row>
    <row r="33" spans="1:38" x14ac:dyDescent="0.25">
      <c r="A33" s="339">
        <v>2034</v>
      </c>
      <c r="B33" s="340">
        <v>0</v>
      </c>
      <c r="C33" s="341">
        <f t="shared" si="4"/>
        <v>6876592</v>
      </c>
      <c r="D33" s="9">
        <v>0</v>
      </c>
      <c r="E33" s="298">
        <f t="shared" si="11"/>
        <v>12651800</v>
      </c>
      <c r="F33" s="340">
        <v>0</v>
      </c>
      <c r="G33" s="341">
        <f t="shared" si="5"/>
        <v>2989822</v>
      </c>
      <c r="H33" s="9">
        <v>0</v>
      </c>
      <c r="I33" s="298">
        <f t="shared" si="12"/>
        <v>5500783</v>
      </c>
      <c r="J33" s="340">
        <v>0</v>
      </c>
      <c r="K33" s="341">
        <f t="shared" si="6"/>
        <v>5338969</v>
      </c>
      <c r="L33" s="9">
        <v>0</v>
      </c>
      <c r="M33" s="298">
        <f t="shared" si="13"/>
        <v>9822826</v>
      </c>
      <c r="N33" s="340">
        <v>0</v>
      </c>
      <c r="O33" s="341">
        <f t="shared" si="7"/>
        <v>9738279</v>
      </c>
      <c r="P33" s="9">
        <v>0</v>
      </c>
      <c r="Q33" s="298">
        <f t="shared" si="14"/>
        <v>17916835</v>
      </c>
      <c r="R33" s="340">
        <v>0</v>
      </c>
      <c r="S33" s="341">
        <f t="shared" si="8"/>
        <v>683388</v>
      </c>
      <c r="T33" s="9">
        <v>0</v>
      </c>
      <c r="U33" s="298">
        <f t="shared" si="15"/>
        <v>1257322</v>
      </c>
      <c r="V33" s="340">
        <v>0</v>
      </c>
      <c r="W33" s="341">
        <f t="shared" si="9"/>
        <v>1708470</v>
      </c>
      <c r="X33" s="9">
        <v>0</v>
      </c>
      <c r="Y33" s="298">
        <f t="shared" si="16"/>
        <v>3143304</v>
      </c>
      <c r="Z33" s="340">
        <v>0</v>
      </c>
      <c r="AA33" s="341">
        <f t="shared" si="10"/>
        <v>2135587</v>
      </c>
      <c r="AB33" s="9">
        <v>0</v>
      </c>
      <c r="AC33" s="298">
        <f t="shared" si="17"/>
        <v>3929131</v>
      </c>
      <c r="AD33" s="342">
        <f t="shared" si="0"/>
        <v>0</v>
      </c>
      <c r="AE33" s="343">
        <f t="shared" si="1"/>
        <v>29471107</v>
      </c>
      <c r="AF33" s="344">
        <f t="shared" si="2"/>
        <v>0</v>
      </c>
      <c r="AG33" s="345">
        <f t="shared" si="3"/>
        <v>54222001</v>
      </c>
    </row>
    <row r="34" spans="1:38" x14ac:dyDescent="0.25">
      <c r="A34" s="339">
        <v>2035</v>
      </c>
      <c r="B34" s="340">
        <v>0</v>
      </c>
      <c r="C34" s="341">
        <f t="shared" si="4"/>
        <v>6876592</v>
      </c>
      <c r="D34" s="9">
        <v>0</v>
      </c>
      <c r="E34" s="298">
        <f t="shared" si="11"/>
        <v>6502687</v>
      </c>
      <c r="F34" s="340">
        <v>0</v>
      </c>
      <c r="G34" s="341">
        <f t="shared" si="5"/>
        <v>2989822</v>
      </c>
      <c r="H34" s="9">
        <v>0</v>
      </c>
      <c r="I34" s="298">
        <f t="shared" si="12"/>
        <v>2827255</v>
      </c>
      <c r="J34" s="340">
        <v>0</v>
      </c>
      <c r="K34" s="341">
        <f t="shared" si="6"/>
        <v>5338969</v>
      </c>
      <c r="L34" s="9">
        <v>0</v>
      </c>
      <c r="M34" s="298">
        <f t="shared" si="13"/>
        <v>5048670</v>
      </c>
      <c r="N34" s="340">
        <v>0</v>
      </c>
      <c r="O34" s="341">
        <f t="shared" si="7"/>
        <v>9738279</v>
      </c>
      <c r="P34" s="9">
        <v>0</v>
      </c>
      <c r="Q34" s="298">
        <f t="shared" si="14"/>
        <v>9208774</v>
      </c>
      <c r="R34" s="340">
        <v>0</v>
      </c>
      <c r="S34" s="341">
        <f t="shared" si="8"/>
        <v>683388</v>
      </c>
      <c r="T34" s="9">
        <v>0</v>
      </c>
      <c r="U34" s="298">
        <f t="shared" si="15"/>
        <v>646230</v>
      </c>
      <c r="V34" s="340">
        <v>0</v>
      </c>
      <c r="W34" s="341">
        <f t="shared" si="9"/>
        <v>1708470</v>
      </c>
      <c r="X34" s="9">
        <v>0</v>
      </c>
      <c r="Y34" s="298">
        <f t="shared" si="16"/>
        <v>1615574</v>
      </c>
      <c r="Z34" s="340">
        <v>0</v>
      </c>
      <c r="AA34" s="341">
        <f t="shared" si="10"/>
        <v>2135587</v>
      </c>
      <c r="AB34" s="9">
        <v>0</v>
      </c>
      <c r="AC34" s="298">
        <f t="shared" si="17"/>
        <v>2019468</v>
      </c>
      <c r="AD34" s="342">
        <f t="shared" si="0"/>
        <v>0</v>
      </c>
      <c r="AE34" s="343">
        <f t="shared" si="1"/>
        <v>29471107</v>
      </c>
      <c r="AF34" s="344">
        <f t="shared" si="2"/>
        <v>0</v>
      </c>
      <c r="AG34" s="345">
        <f t="shared" si="3"/>
        <v>27868658</v>
      </c>
    </row>
    <row r="35" spans="1:38" ht="15.75" customHeight="1" thickBot="1" x14ac:dyDescent="0.3">
      <c r="A35" s="346">
        <v>2036</v>
      </c>
      <c r="B35" s="347">
        <v>0</v>
      </c>
      <c r="C35" s="348">
        <f t="shared" si="4"/>
        <v>6876592</v>
      </c>
      <c r="D35" s="349">
        <v>0</v>
      </c>
      <c r="E35" s="350">
        <f t="shared" si="11"/>
        <v>0</v>
      </c>
      <c r="F35" s="347">
        <v>0</v>
      </c>
      <c r="G35" s="348">
        <f t="shared" si="5"/>
        <v>2989822</v>
      </c>
      <c r="H35" s="349">
        <v>0</v>
      </c>
      <c r="I35" s="350">
        <f t="shared" si="12"/>
        <v>0</v>
      </c>
      <c r="J35" s="347">
        <v>0</v>
      </c>
      <c r="K35" s="348">
        <f t="shared" si="6"/>
        <v>5338969</v>
      </c>
      <c r="L35" s="349">
        <v>0</v>
      </c>
      <c r="M35" s="350">
        <f t="shared" si="13"/>
        <v>0</v>
      </c>
      <c r="N35" s="347">
        <v>0</v>
      </c>
      <c r="O35" s="348">
        <f t="shared" si="7"/>
        <v>9738279</v>
      </c>
      <c r="P35" s="349">
        <v>0</v>
      </c>
      <c r="Q35" s="350">
        <f t="shared" si="14"/>
        <v>0</v>
      </c>
      <c r="R35" s="347">
        <v>0</v>
      </c>
      <c r="S35" s="348">
        <f t="shared" si="8"/>
        <v>683388</v>
      </c>
      <c r="T35" s="349">
        <v>0</v>
      </c>
      <c r="U35" s="350">
        <f t="shared" si="15"/>
        <v>0</v>
      </c>
      <c r="V35" s="347">
        <v>0</v>
      </c>
      <c r="W35" s="348">
        <f t="shared" si="9"/>
        <v>1708470</v>
      </c>
      <c r="X35" s="349">
        <v>0</v>
      </c>
      <c r="Y35" s="350">
        <f t="shared" si="16"/>
        <v>0</v>
      </c>
      <c r="Z35" s="347">
        <v>0</v>
      </c>
      <c r="AA35" s="348">
        <f t="shared" si="10"/>
        <v>2135587</v>
      </c>
      <c r="AB35" s="349">
        <v>0</v>
      </c>
      <c r="AC35" s="350">
        <f t="shared" si="17"/>
        <v>0</v>
      </c>
      <c r="AD35" s="351">
        <f t="shared" si="0"/>
        <v>0</v>
      </c>
      <c r="AE35" s="352">
        <f t="shared" si="1"/>
        <v>29471107</v>
      </c>
      <c r="AF35" s="353">
        <f t="shared" si="2"/>
        <v>0</v>
      </c>
      <c r="AG35" s="354">
        <f t="shared" si="3"/>
        <v>0</v>
      </c>
      <c r="AH35"/>
      <c r="AI35"/>
      <c r="AJ35"/>
      <c r="AK35"/>
      <c r="AL35"/>
    </row>
  </sheetData>
  <mergeCells count="34">
    <mergeCell ref="A10:A13"/>
    <mergeCell ref="F12:G12"/>
    <mergeCell ref="H12:I12"/>
    <mergeCell ref="J12:K12"/>
    <mergeCell ref="B10:E10"/>
    <mergeCell ref="B11:E11"/>
    <mergeCell ref="J10:M10"/>
    <mergeCell ref="J11:M11"/>
    <mergeCell ref="F10:I10"/>
    <mergeCell ref="F11:I11"/>
    <mergeCell ref="B12:C12"/>
    <mergeCell ref="D12:E12"/>
    <mergeCell ref="B6:E6"/>
    <mergeCell ref="N10:Q10"/>
    <mergeCell ref="N11:Q11"/>
    <mergeCell ref="L12:M12"/>
    <mergeCell ref="N12:O12"/>
    <mergeCell ref="P12:Q12"/>
    <mergeCell ref="R10:U10"/>
    <mergeCell ref="R11:U11"/>
    <mergeCell ref="V10:Y10"/>
    <mergeCell ref="V11:Y11"/>
    <mergeCell ref="R12:S12"/>
    <mergeCell ref="T12:U12"/>
    <mergeCell ref="V12:W12"/>
    <mergeCell ref="X12:Y12"/>
    <mergeCell ref="Z10:AC10"/>
    <mergeCell ref="Z11:AC11"/>
    <mergeCell ref="AD10:AG10"/>
    <mergeCell ref="AD11:AG11"/>
    <mergeCell ref="Z12:AA12"/>
    <mergeCell ref="AB12:AC12"/>
    <mergeCell ref="AD12:AE12"/>
    <mergeCell ref="AF12:AG12"/>
  </mergeCells>
  <dataValidations count="1">
    <dataValidation type="list" allowBlank="1" showInputMessage="1" showErrorMessage="1" sqref="E7">
      <formula1>$AL$1:$AL$2</formula1>
    </dataValidation>
  </dataValidations>
  <pageMargins left="0.7" right="0.7" top="0.75" bottom="0.75" header="0.3" footer="0.3"/>
  <pageSetup scale="55" orientation="landscape" r:id="rId1"/>
  <headerFooter>
    <oddFooter>Page &amp;P</oddFooter>
  </headerFooter>
  <colBreaks count="2" manualBreakCount="2">
    <brk id="13" max="34" man="1"/>
    <brk id="25" max="34" man="1"/>
    <brk id="13" max="16384" man="1"/>
    <brk id="25" max="1638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308"/>
  <sheetViews>
    <sheetView zoomScale="80" zoomScaleNormal="80" workbookViewId="0">
      <pane ySplit="8" topLeftCell="A9" activePane="bottomLeft" state="frozenSplit"/>
      <selection pane="bottomLeft"/>
    </sheetView>
  </sheetViews>
  <sheetFormatPr defaultRowHeight="15" x14ac:dyDescent="0.25"/>
  <cols>
    <col min="1" max="1" width="61.7109375" style="1" customWidth="1"/>
    <col min="2" max="6" width="14.42578125" style="1" customWidth="1"/>
    <col min="7" max="7" width="9.140625" style="1" customWidth="1"/>
    <col min="8" max="9" width="14.42578125" style="1" customWidth="1"/>
    <col min="10" max="10" width="9.140625" style="1" customWidth="1"/>
    <col min="11" max="11" width="14.42578125" style="1" customWidth="1"/>
    <col min="12" max="12" width="9.140625" style="1" customWidth="1"/>
    <col min="13" max="13" width="1.5703125" style="1" customWidth="1"/>
    <col min="14" max="15" width="14.42578125" style="1" customWidth="1"/>
    <col min="16" max="16" width="9.140625" style="1" customWidth="1"/>
    <col min="17" max="18" width="14.42578125" style="1" customWidth="1"/>
    <col min="19" max="19" width="9.140625" style="1" customWidth="1"/>
    <col min="20" max="20" width="14.42578125" style="1" customWidth="1"/>
  </cols>
  <sheetData>
    <row r="1" spans="1:21" ht="15.75" customHeight="1" x14ac:dyDescent="0.25">
      <c r="A1" s="12" t="s">
        <v>263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1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1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1" x14ac:dyDescent="0.25">
      <c r="A4" s="14" t="s">
        <v>264</v>
      </c>
    </row>
    <row r="5" spans="1:21" ht="15.75" customHeight="1" thickBot="1" x14ac:dyDescent="0.3">
      <c r="A5" s="14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1" ht="15" customHeight="1" thickBot="1" x14ac:dyDescent="0.3">
      <c r="A6" s="696"/>
      <c r="B6" s="705" t="s">
        <v>151</v>
      </c>
      <c r="C6" s="706"/>
      <c r="D6" s="627"/>
      <c r="E6" s="618" t="s">
        <v>3</v>
      </c>
      <c r="F6" s="686"/>
      <c r="G6" s="686"/>
      <c r="H6" s="686"/>
      <c r="I6" s="686"/>
      <c r="J6" s="687"/>
      <c r="K6" s="686"/>
      <c r="L6" s="686"/>
      <c r="M6" s="355"/>
      <c r="N6" s="618" t="s">
        <v>4</v>
      </c>
      <c r="O6" s="686"/>
      <c r="P6" s="686"/>
      <c r="Q6" s="686"/>
      <c r="R6" s="686"/>
      <c r="S6" s="687"/>
      <c r="T6" s="686"/>
      <c r="U6" s="687"/>
    </row>
    <row r="7" spans="1:21" ht="15" customHeight="1" x14ac:dyDescent="0.25">
      <c r="A7" s="697"/>
      <c r="B7" s="699" t="s">
        <v>265</v>
      </c>
      <c r="C7" s="701" t="s">
        <v>44</v>
      </c>
      <c r="D7" s="703" t="s">
        <v>45</v>
      </c>
      <c r="E7" s="688" t="s">
        <v>265</v>
      </c>
      <c r="F7" s="689"/>
      <c r="G7" s="690"/>
      <c r="H7" s="691" t="s">
        <v>44</v>
      </c>
      <c r="I7" s="692"/>
      <c r="J7" s="693"/>
      <c r="K7" s="694" t="s">
        <v>45</v>
      </c>
      <c r="L7" s="694"/>
      <c r="M7" s="356"/>
      <c r="N7" s="688" t="s">
        <v>265</v>
      </c>
      <c r="O7" s="689"/>
      <c r="P7" s="690"/>
      <c r="Q7" s="691" t="s">
        <v>44</v>
      </c>
      <c r="R7" s="692"/>
      <c r="S7" s="693"/>
      <c r="T7" s="694" t="s">
        <v>45</v>
      </c>
      <c r="U7" s="695"/>
    </row>
    <row r="8" spans="1:21" ht="49.5" customHeight="1" thickBot="1" x14ac:dyDescent="0.3">
      <c r="A8" s="698"/>
      <c r="B8" s="700"/>
      <c r="C8" s="702"/>
      <c r="D8" s="704"/>
      <c r="E8" s="358" t="s">
        <v>266</v>
      </c>
      <c r="F8" s="359" t="s">
        <v>164</v>
      </c>
      <c r="G8" s="360" t="s">
        <v>139</v>
      </c>
      <c r="H8" s="361" t="s">
        <v>266</v>
      </c>
      <c r="I8" s="362" t="s">
        <v>164</v>
      </c>
      <c r="J8" s="357" t="s">
        <v>139</v>
      </c>
      <c r="K8" s="363" t="s">
        <v>266</v>
      </c>
      <c r="L8" s="364" t="s">
        <v>139</v>
      </c>
      <c r="M8" s="365"/>
      <c r="N8" s="358" t="s">
        <v>266</v>
      </c>
      <c r="O8" s="359" t="s">
        <v>164</v>
      </c>
      <c r="P8" s="360" t="s">
        <v>141</v>
      </c>
      <c r="Q8" s="361" t="s">
        <v>266</v>
      </c>
      <c r="R8" s="362" t="s">
        <v>164</v>
      </c>
      <c r="S8" s="357" t="s">
        <v>141</v>
      </c>
      <c r="T8" s="363" t="s">
        <v>266</v>
      </c>
      <c r="U8" s="366" t="s">
        <v>141</v>
      </c>
    </row>
    <row r="9" spans="1:21" x14ac:dyDescent="0.25">
      <c r="A9" s="290" t="s">
        <v>174</v>
      </c>
      <c r="B9" s="367"/>
      <c r="C9" s="292"/>
      <c r="D9" s="291"/>
      <c r="E9" s="293"/>
      <c r="F9" s="291"/>
      <c r="G9" s="292"/>
      <c r="H9" s="293"/>
      <c r="I9" s="291"/>
      <c r="J9" s="292"/>
      <c r="K9" s="291"/>
      <c r="L9" s="291"/>
      <c r="M9" s="368"/>
      <c r="N9" s="293"/>
      <c r="O9" s="291"/>
      <c r="P9" s="292"/>
      <c r="Q9" s="293"/>
      <c r="R9" s="291"/>
      <c r="S9" s="292"/>
      <c r="T9" s="291"/>
      <c r="U9" s="292"/>
    </row>
    <row r="10" spans="1:21" ht="19.899999999999999" customHeight="1" x14ac:dyDescent="0.25">
      <c r="A10" s="369" t="s">
        <v>267</v>
      </c>
      <c r="B10" s="370">
        <v>707707</v>
      </c>
      <c r="C10" s="298">
        <v>0</v>
      </c>
      <c r="D10" s="9">
        <v>0</v>
      </c>
      <c r="E10" s="299">
        <v>725400</v>
      </c>
      <c r="F10" s="297">
        <v>725400</v>
      </c>
      <c r="G10" s="24">
        <f t="shared" ref="G10:G23" si="0">IF($B10 &gt; 0, (F10-$B10)/$B10, "")</f>
        <v>2.5000459229596428E-2</v>
      </c>
      <c r="H10" s="299">
        <v>0</v>
      </c>
      <c r="I10" s="297">
        <v>0</v>
      </c>
      <c r="J10" s="24" t="str">
        <f t="shared" ref="J10:J23" si="1">IF($C10 &gt; 0, (I10-$C10)/$C10, "")</f>
        <v/>
      </c>
      <c r="K10" s="299">
        <v>0</v>
      </c>
      <c r="L10" s="371" t="str">
        <f t="shared" ref="L10:L23" si="2">IF($D10 &gt; 0, (K10-$D10)/$D10, "")</f>
        <v/>
      </c>
      <c r="M10" s="25"/>
      <c r="N10" s="299">
        <v>725400</v>
      </c>
      <c r="O10" s="297">
        <v>721861</v>
      </c>
      <c r="P10" s="24">
        <f t="shared" ref="P10:P23" si="3">IF($B10 &gt; 0, (O10-$B10)/$B10, "")</f>
        <v>1.9999802178019999E-2</v>
      </c>
      <c r="Q10" s="299">
        <v>0</v>
      </c>
      <c r="R10" s="297">
        <v>0</v>
      </c>
      <c r="S10" s="24" t="str">
        <f t="shared" ref="S10:S23" si="4">IF($C10 &gt; 0, (R10-$C10)/$C10, "")</f>
        <v/>
      </c>
      <c r="T10" s="299">
        <v>0</v>
      </c>
      <c r="U10" s="372" t="str">
        <f t="shared" ref="U10:U23" si="5">IF($D10 &gt; 0, (T10-$D10)/$D10, "")</f>
        <v/>
      </c>
    </row>
    <row r="11" spans="1:21" ht="19.899999999999999" customHeight="1" x14ac:dyDescent="0.25">
      <c r="A11" s="373" t="s">
        <v>268</v>
      </c>
      <c r="B11" s="374">
        <v>2500000</v>
      </c>
      <c r="C11" s="301">
        <v>0</v>
      </c>
      <c r="D11" s="375">
        <v>0</v>
      </c>
      <c r="E11" s="306">
        <v>2500000</v>
      </c>
      <c r="F11" s="305">
        <v>2500000</v>
      </c>
      <c r="G11" s="372">
        <f t="shared" si="0"/>
        <v>0</v>
      </c>
      <c r="H11" s="306">
        <v>0</v>
      </c>
      <c r="I11" s="305">
        <v>0</v>
      </c>
      <c r="J11" s="372" t="str">
        <f t="shared" si="1"/>
        <v/>
      </c>
      <c r="K11" s="306">
        <v>0</v>
      </c>
      <c r="L11" s="371" t="str">
        <f t="shared" si="2"/>
        <v/>
      </c>
      <c r="M11" s="376"/>
      <c r="N11" s="306">
        <v>2500000</v>
      </c>
      <c r="O11" s="305">
        <v>2500000</v>
      </c>
      <c r="P11" s="372">
        <f t="shared" si="3"/>
        <v>0</v>
      </c>
      <c r="Q11" s="306">
        <v>0</v>
      </c>
      <c r="R11" s="305">
        <v>0</v>
      </c>
      <c r="S11" s="372" t="str">
        <f t="shared" si="4"/>
        <v/>
      </c>
      <c r="T11" s="306">
        <v>0</v>
      </c>
      <c r="U11" s="372" t="str">
        <f t="shared" si="5"/>
        <v/>
      </c>
    </row>
    <row r="12" spans="1:21" ht="19.899999999999999" customHeight="1" x14ac:dyDescent="0.25">
      <c r="A12" s="373" t="s">
        <v>269</v>
      </c>
      <c r="B12" s="374">
        <v>1454500</v>
      </c>
      <c r="C12" s="301">
        <v>0</v>
      </c>
      <c r="D12" s="375">
        <v>0</v>
      </c>
      <c r="E12" s="306">
        <v>2202650</v>
      </c>
      <c r="F12" s="305">
        <v>2202650</v>
      </c>
      <c r="G12" s="372">
        <f t="shared" si="0"/>
        <v>0.51436919903746992</v>
      </c>
      <c r="H12" s="306">
        <v>0</v>
      </c>
      <c r="I12" s="305">
        <v>0</v>
      </c>
      <c r="J12" s="372" t="str">
        <f t="shared" si="1"/>
        <v/>
      </c>
      <c r="K12" s="306">
        <v>0</v>
      </c>
      <c r="L12" s="371" t="str">
        <f t="shared" si="2"/>
        <v/>
      </c>
      <c r="M12" s="376"/>
      <c r="N12" s="306">
        <v>2202650</v>
      </c>
      <c r="O12" s="305">
        <v>2202650</v>
      </c>
      <c r="P12" s="372">
        <f t="shared" si="3"/>
        <v>0.51436919903746992</v>
      </c>
      <c r="Q12" s="306">
        <v>0</v>
      </c>
      <c r="R12" s="305">
        <v>0</v>
      </c>
      <c r="S12" s="372" t="str">
        <f t="shared" si="4"/>
        <v/>
      </c>
      <c r="T12" s="306">
        <v>0</v>
      </c>
      <c r="U12" s="372" t="str">
        <f t="shared" si="5"/>
        <v/>
      </c>
    </row>
    <row r="13" spans="1:21" ht="19.899999999999999" customHeight="1" x14ac:dyDescent="0.25">
      <c r="A13" s="373" t="s">
        <v>270</v>
      </c>
      <c r="B13" s="374">
        <v>2729199</v>
      </c>
      <c r="C13" s="301">
        <v>0</v>
      </c>
      <c r="D13" s="375">
        <v>0</v>
      </c>
      <c r="E13" s="306">
        <v>2797429</v>
      </c>
      <c r="F13" s="305">
        <v>2797429</v>
      </c>
      <c r="G13" s="372">
        <f t="shared" si="0"/>
        <v>2.5000009160196821E-2</v>
      </c>
      <c r="H13" s="306">
        <v>0</v>
      </c>
      <c r="I13" s="305">
        <v>0</v>
      </c>
      <c r="J13" s="372" t="str">
        <f t="shared" si="1"/>
        <v/>
      </c>
      <c r="K13" s="306">
        <v>0</v>
      </c>
      <c r="L13" s="371" t="str">
        <f t="shared" si="2"/>
        <v/>
      </c>
      <c r="M13" s="376"/>
      <c r="N13" s="306">
        <v>2797429</v>
      </c>
      <c r="O13" s="305">
        <v>2797429</v>
      </c>
      <c r="P13" s="372">
        <f t="shared" si="3"/>
        <v>2.5000009160196821E-2</v>
      </c>
      <c r="Q13" s="306">
        <v>0</v>
      </c>
      <c r="R13" s="305">
        <v>0</v>
      </c>
      <c r="S13" s="372" t="str">
        <f t="shared" si="4"/>
        <v/>
      </c>
      <c r="T13" s="306">
        <v>0</v>
      </c>
      <c r="U13" s="372" t="str">
        <f t="shared" si="5"/>
        <v/>
      </c>
    </row>
    <row r="14" spans="1:21" ht="19.899999999999999" customHeight="1" x14ac:dyDescent="0.25">
      <c r="A14" s="373" t="s">
        <v>271</v>
      </c>
      <c r="B14" s="374">
        <v>0</v>
      </c>
      <c r="C14" s="301">
        <v>1471833</v>
      </c>
      <c r="D14" s="375">
        <v>0</v>
      </c>
      <c r="E14" s="306">
        <v>0</v>
      </c>
      <c r="F14" s="305">
        <v>0</v>
      </c>
      <c r="G14" s="372" t="str">
        <f t="shared" si="0"/>
        <v/>
      </c>
      <c r="H14" s="306">
        <v>1508628</v>
      </c>
      <c r="I14" s="305">
        <v>1427678</v>
      </c>
      <c r="J14" s="372">
        <f t="shared" si="1"/>
        <v>-3.0000006794249075E-2</v>
      </c>
      <c r="K14" s="306">
        <v>0</v>
      </c>
      <c r="L14" s="371" t="str">
        <f t="shared" si="2"/>
        <v/>
      </c>
      <c r="M14" s="376"/>
      <c r="N14" s="306">
        <v>0</v>
      </c>
      <c r="O14" s="305">
        <v>0</v>
      </c>
      <c r="P14" s="372" t="str">
        <f t="shared" si="3"/>
        <v/>
      </c>
      <c r="Q14" s="306">
        <v>1508628</v>
      </c>
      <c r="R14" s="305">
        <v>1427678</v>
      </c>
      <c r="S14" s="372">
        <f t="shared" si="4"/>
        <v>-3.0000006794249075E-2</v>
      </c>
      <c r="T14" s="306">
        <v>0</v>
      </c>
      <c r="U14" s="372" t="str">
        <f t="shared" si="5"/>
        <v/>
      </c>
    </row>
    <row r="15" spans="1:21" ht="19.899999999999999" customHeight="1" x14ac:dyDescent="0.25">
      <c r="A15" s="373" t="s">
        <v>272</v>
      </c>
      <c r="B15" s="374">
        <v>0</v>
      </c>
      <c r="C15" s="301">
        <v>656158</v>
      </c>
      <c r="D15" s="375">
        <v>0</v>
      </c>
      <c r="E15" s="306">
        <v>0</v>
      </c>
      <c r="F15" s="305">
        <v>0</v>
      </c>
      <c r="G15" s="372" t="str">
        <f t="shared" si="0"/>
        <v/>
      </c>
      <c r="H15" s="306">
        <v>672562</v>
      </c>
      <c r="I15" s="305">
        <v>636473</v>
      </c>
      <c r="J15" s="372">
        <f t="shared" si="1"/>
        <v>-3.0000396246026111E-2</v>
      </c>
      <c r="K15" s="306">
        <v>0</v>
      </c>
      <c r="L15" s="371" t="str">
        <f t="shared" si="2"/>
        <v/>
      </c>
      <c r="M15" s="376"/>
      <c r="N15" s="306">
        <v>0</v>
      </c>
      <c r="O15" s="305">
        <v>0</v>
      </c>
      <c r="P15" s="372" t="str">
        <f t="shared" si="3"/>
        <v/>
      </c>
      <c r="Q15" s="306">
        <v>672562</v>
      </c>
      <c r="R15" s="305">
        <v>636473</v>
      </c>
      <c r="S15" s="372">
        <f t="shared" si="4"/>
        <v>-3.0000396246026111E-2</v>
      </c>
      <c r="T15" s="306">
        <v>0</v>
      </c>
      <c r="U15" s="372" t="str">
        <f t="shared" si="5"/>
        <v/>
      </c>
    </row>
    <row r="16" spans="1:21" ht="19.899999999999999" customHeight="1" x14ac:dyDescent="0.25">
      <c r="A16" s="373" t="s">
        <v>273</v>
      </c>
      <c r="B16" s="374">
        <v>0</v>
      </c>
      <c r="C16" s="301">
        <v>435269</v>
      </c>
      <c r="D16" s="375">
        <v>0</v>
      </c>
      <c r="E16" s="306">
        <v>0</v>
      </c>
      <c r="F16" s="305">
        <v>0</v>
      </c>
      <c r="G16" s="372" t="str">
        <f t="shared" si="0"/>
        <v/>
      </c>
      <c r="H16" s="306">
        <v>446151</v>
      </c>
      <c r="I16" s="305">
        <v>465000</v>
      </c>
      <c r="J16" s="372">
        <f t="shared" si="1"/>
        <v>6.8304887322552257E-2</v>
      </c>
      <c r="K16" s="306">
        <v>0</v>
      </c>
      <c r="L16" s="371" t="str">
        <f t="shared" si="2"/>
        <v/>
      </c>
      <c r="M16" s="376"/>
      <c r="N16" s="306">
        <v>0</v>
      </c>
      <c r="O16" s="305">
        <v>0</v>
      </c>
      <c r="P16" s="372" t="str">
        <f t="shared" si="3"/>
        <v/>
      </c>
      <c r="Q16" s="306">
        <v>446151</v>
      </c>
      <c r="R16" s="305">
        <v>465000</v>
      </c>
      <c r="S16" s="372">
        <f t="shared" si="4"/>
        <v>6.8304887322552257E-2</v>
      </c>
      <c r="T16" s="306">
        <v>0</v>
      </c>
      <c r="U16" s="372" t="str">
        <f t="shared" si="5"/>
        <v/>
      </c>
    </row>
    <row r="17" spans="1:21" ht="19.899999999999999" customHeight="1" x14ac:dyDescent="0.25">
      <c r="A17" s="373" t="s">
        <v>274</v>
      </c>
      <c r="B17" s="374">
        <v>2105824</v>
      </c>
      <c r="C17" s="301">
        <v>0</v>
      </c>
      <c r="D17" s="375">
        <v>0</v>
      </c>
      <c r="E17" s="306">
        <v>2158470</v>
      </c>
      <c r="F17" s="305">
        <v>2158470</v>
      </c>
      <c r="G17" s="372">
        <f t="shared" si="0"/>
        <v>2.500018994939748E-2</v>
      </c>
      <c r="H17" s="306">
        <v>0</v>
      </c>
      <c r="I17" s="305">
        <v>0</v>
      </c>
      <c r="J17" s="372" t="str">
        <f t="shared" si="1"/>
        <v/>
      </c>
      <c r="K17" s="306">
        <v>0</v>
      </c>
      <c r="L17" s="371" t="str">
        <f t="shared" si="2"/>
        <v/>
      </c>
      <c r="M17" s="376"/>
      <c r="N17" s="306">
        <v>2158470</v>
      </c>
      <c r="O17" s="305">
        <v>2158470</v>
      </c>
      <c r="P17" s="372">
        <f t="shared" si="3"/>
        <v>2.500018994939748E-2</v>
      </c>
      <c r="Q17" s="306">
        <v>0</v>
      </c>
      <c r="R17" s="305">
        <v>0</v>
      </c>
      <c r="S17" s="372" t="str">
        <f t="shared" si="4"/>
        <v/>
      </c>
      <c r="T17" s="306">
        <v>0</v>
      </c>
      <c r="U17" s="372" t="str">
        <f t="shared" si="5"/>
        <v/>
      </c>
    </row>
    <row r="18" spans="1:21" ht="19.899999999999999" customHeight="1" x14ac:dyDescent="0.25">
      <c r="A18" s="373" t="s">
        <v>275</v>
      </c>
      <c r="B18" s="374">
        <v>150000</v>
      </c>
      <c r="C18" s="301">
        <v>0</v>
      </c>
      <c r="D18" s="375">
        <v>0</v>
      </c>
      <c r="E18" s="306">
        <v>153750</v>
      </c>
      <c r="F18" s="305">
        <v>153750</v>
      </c>
      <c r="G18" s="372">
        <f t="shared" si="0"/>
        <v>2.5000000000000001E-2</v>
      </c>
      <c r="H18" s="306">
        <v>0</v>
      </c>
      <c r="I18" s="305">
        <v>0</v>
      </c>
      <c r="J18" s="372" t="str">
        <f t="shared" si="1"/>
        <v/>
      </c>
      <c r="K18" s="306">
        <v>0</v>
      </c>
      <c r="L18" s="371" t="str">
        <f t="shared" si="2"/>
        <v/>
      </c>
      <c r="M18" s="376"/>
      <c r="N18" s="306">
        <v>153750</v>
      </c>
      <c r="O18" s="305">
        <v>153750</v>
      </c>
      <c r="P18" s="372">
        <f t="shared" si="3"/>
        <v>2.5000000000000001E-2</v>
      </c>
      <c r="Q18" s="306">
        <v>0</v>
      </c>
      <c r="R18" s="305">
        <v>0</v>
      </c>
      <c r="S18" s="372" t="str">
        <f t="shared" si="4"/>
        <v/>
      </c>
      <c r="T18" s="306">
        <v>0</v>
      </c>
      <c r="U18" s="372" t="str">
        <f t="shared" si="5"/>
        <v/>
      </c>
    </row>
    <row r="19" spans="1:21" ht="19.899999999999999" customHeight="1" x14ac:dyDescent="0.25">
      <c r="A19" s="373" t="s">
        <v>276</v>
      </c>
      <c r="B19" s="374">
        <v>0</v>
      </c>
      <c r="C19" s="301">
        <v>0</v>
      </c>
      <c r="D19" s="375">
        <v>1500</v>
      </c>
      <c r="E19" s="306">
        <v>0</v>
      </c>
      <c r="F19" s="305">
        <v>0</v>
      </c>
      <c r="G19" s="372" t="str">
        <f t="shared" si="0"/>
        <v/>
      </c>
      <c r="H19" s="306">
        <v>0</v>
      </c>
      <c r="I19" s="305">
        <v>0</v>
      </c>
      <c r="J19" s="372" t="str">
        <f t="shared" si="1"/>
        <v/>
      </c>
      <c r="K19" s="306">
        <v>48246</v>
      </c>
      <c r="L19" s="371">
        <f t="shared" si="2"/>
        <v>31.164000000000001</v>
      </c>
      <c r="M19" s="376"/>
      <c r="N19" s="306">
        <v>0</v>
      </c>
      <c r="O19" s="305">
        <v>0</v>
      </c>
      <c r="P19" s="372" t="str">
        <f t="shared" si="3"/>
        <v/>
      </c>
      <c r="Q19" s="306">
        <v>0</v>
      </c>
      <c r="R19" s="305">
        <v>0</v>
      </c>
      <c r="S19" s="372" t="str">
        <f t="shared" si="4"/>
        <v/>
      </c>
      <c r="T19" s="306">
        <v>1500</v>
      </c>
      <c r="U19" s="372">
        <f t="shared" si="5"/>
        <v>0</v>
      </c>
    </row>
    <row r="20" spans="1:21" ht="19.899999999999999" customHeight="1" x14ac:dyDescent="0.25">
      <c r="A20" s="373" t="s">
        <v>277</v>
      </c>
      <c r="B20" s="374">
        <v>542578</v>
      </c>
      <c r="C20" s="301">
        <v>0</v>
      </c>
      <c r="D20" s="375">
        <v>0</v>
      </c>
      <c r="E20" s="306">
        <v>556142</v>
      </c>
      <c r="F20" s="305">
        <v>556142</v>
      </c>
      <c r="G20" s="372">
        <f t="shared" si="0"/>
        <v>2.499917062615882E-2</v>
      </c>
      <c r="H20" s="306">
        <v>0</v>
      </c>
      <c r="I20" s="305">
        <v>0</v>
      </c>
      <c r="J20" s="372" t="str">
        <f t="shared" si="1"/>
        <v/>
      </c>
      <c r="K20" s="306">
        <v>0</v>
      </c>
      <c r="L20" s="371" t="str">
        <f t="shared" si="2"/>
        <v/>
      </c>
      <c r="M20" s="376"/>
      <c r="N20" s="306">
        <v>556142</v>
      </c>
      <c r="O20" s="305">
        <v>556142</v>
      </c>
      <c r="P20" s="372">
        <f t="shared" si="3"/>
        <v>2.499917062615882E-2</v>
      </c>
      <c r="Q20" s="306">
        <v>0</v>
      </c>
      <c r="R20" s="305">
        <v>0</v>
      </c>
      <c r="S20" s="372" t="str">
        <f t="shared" si="4"/>
        <v/>
      </c>
      <c r="T20" s="306">
        <v>0</v>
      </c>
      <c r="U20" s="372" t="str">
        <f t="shared" si="5"/>
        <v/>
      </c>
    </row>
    <row r="21" spans="1:21" ht="19.899999999999999" customHeight="1" x14ac:dyDescent="0.25">
      <c r="A21" s="373" t="s">
        <v>278</v>
      </c>
      <c r="B21" s="374">
        <v>0</v>
      </c>
      <c r="C21" s="301">
        <v>0</v>
      </c>
      <c r="D21" s="375">
        <v>0</v>
      </c>
      <c r="E21" s="306">
        <v>5000000</v>
      </c>
      <c r="F21" s="305">
        <v>0</v>
      </c>
      <c r="G21" s="372" t="str">
        <f t="shared" si="0"/>
        <v/>
      </c>
      <c r="H21" s="306">
        <v>0</v>
      </c>
      <c r="I21" s="305">
        <v>0</v>
      </c>
      <c r="J21" s="372" t="str">
        <f t="shared" si="1"/>
        <v/>
      </c>
      <c r="K21" s="306">
        <v>0</v>
      </c>
      <c r="L21" s="371" t="str">
        <f t="shared" si="2"/>
        <v/>
      </c>
      <c r="M21" s="376"/>
      <c r="N21" s="306">
        <v>5000000</v>
      </c>
      <c r="O21" s="305">
        <v>0</v>
      </c>
      <c r="P21" s="372" t="str">
        <f t="shared" si="3"/>
        <v/>
      </c>
      <c r="Q21" s="306">
        <v>0</v>
      </c>
      <c r="R21" s="305">
        <v>0</v>
      </c>
      <c r="S21" s="372" t="str">
        <f t="shared" si="4"/>
        <v/>
      </c>
      <c r="T21" s="306">
        <v>0</v>
      </c>
      <c r="U21" s="372" t="str">
        <f t="shared" si="5"/>
        <v/>
      </c>
    </row>
    <row r="22" spans="1:21" ht="19.899999999999999" customHeight="1" x14ac:dyDescent="0.25">
      <c r="A22" s="373" t="s">
        <v>279</v>
      </c>
      <c r="B22" s="374">
        <v>0</v>
      </c>
      <c r="C22" s="301">
        <v>0</v>
      </c>
      <c r="D22" s="375">
        <v>0</v>
      </c>
      <c r="E22" s="306">
        <v>5000000</v>
      </c>
      <c r="F22" s="305">
        <v>0</v>
      </c>
      <c r="G22" s="372" t="str">
        <f t="shared" si="0"/>
        <v/>
      </c>
      <c r="H22" s="306">
        <v>0</v>
      </c>
      <c r="I22" s="305">
        <v>0</v>
      </c>
      <c r="J22" s="372" t="str">
        <f t="shared" si="1"/>
        <v/>
      </c>
      <c r="K22" s="306">
        <v>0</v>
      </c>
      <c r="L22" s="371" t="str">
        <f t="shared" si="2"/>
        <v/>
      </c>
      <c r="M22" s="376"/>
      <c r="N22" s="306">
        <v>5000000</v>
      </c>
      <c r="O22" s="305">
        <v>0</v>
      </c>
      <c r="P22" s="372" t="str">
        <f t="shared" si="3"/>
        <v/>
      </c>
      <c r="Q22" s="306">
        <v>0</v>
      </c>
      <c r="R22" s="305">
        <v>0</v>
      </c>
      <c r="S22" s="372" t="str">
        <f t="shared" si="4"/>
        <v/>
      </c>
      <c r="T22" s="306">
        <v>0</v>
      </c>
      <c r="U22" s="372" t="str">
        <f t="shared" si="5"/>
        <v/>
      </c>
    </row>
    <row r="23" spans="1:21" ht="15.75" customHeight="1" x14ac:dyDescent="0.25">
      <c r="A23" s="308" t="s">
        <v>187</v>
      </c>
      <c r="B23" s="377">
        <f>SUM(B10:B22)</f>
        <v>10189808</v>
      </c>
      <c r="C23" s="312">
        <f>SUM(C10:C22)</f>
        <v>2563260</v>
      </c>
      <c r="D23" s="378">
        <f>SUM(D10:D22)</f>
        <v>1500</v>
      </c>
      <c r="E23" s="313">
        <f>SUM(E10:E22)</f>
        <v>21093841</v>
      </c>
      <c r="F23" s="311">
        <f>SUM(F10:F22)</f>
        <v>11093841</v>
      </c>
      <c r="G23" s="379">
        <f t="shared" si="0"/>
        <v>8.8719336026743589E-2</v>
      </c>
      <c r="H23" s="313">
        <f>SUM(H10:H22)</f>
        <v>2627341</v>
      </c>
      <c r="I23" s="311">
        <f>SUM(I10:I22)</f>
        <v>2529151</v>
      </c>
      <c r="J23" s="379">
        <f t="shared" si="1"/>
        <v>-1.3306882641636042E-2</v>
      </c>
      <c r="K23" s="378">
        <f>SUM(K10:K22)</f>
        <v>48246</v>
      </c>
      <c r="L23" s="380">
        <f t="shared" si="2"/>
        <v>31.164000000000001</v>
      </c>
      <c r="M23" s="42"/>
      <c r="N23" s="313">
        <f>SUM(N10:N22)</f>
        <v>21093841</v>
      </c>
      <c r="O23" s="311">
        <f>SUM(O10:O22)</f>
        <v>11090302</v>
      </c>
      <c r="P23" s="379">
        <f t="shared" si="3"/>
        <v>8.8372028207008416E-2</v>
      </c>
      <c r="Q23" s="313">
        <f>SUM(Q10:Q22)</f>
        <v>2627341</v>
      </c>
      <c r="R23" s="311">
        <f>SUM(R10:R22)</f>
        <v>2529151</v>
      </c>
      <c r="S23" s="379">
        <f t="shared" si="4"/>
        <v>-1.3306882641636042E-2</v>
      </c>
      <c r="T23" s="378">
        <f>SUM(T10:T22)</f>
        <v>1500</v>
      </c>
      <c r="U23" s="379">
        <f t="shared" si="5"/>
        <v>0</v>
      </c>
    </row>
    <row r="24" spans="1:21" ht="15.75" customHeight="1" x14ac:dyDescent="0.25">
      <c r="A24" s="290" t="s">
        <v>188</v>
      </c>
      <c r="B24" s="367"/>
      <c r="C24" s="292"/>
      <c r="D24" s="291"/>
      <c r="E24" s="293"/>
      <c r="F24" s="291"/>
      <c r="G24" s="292"/>
      <c r="H24" s="293"/>
      <c r="I24" s="291"/>
      <c r="J24" s="292"/>
      <c r="K24" s="291"/>
      <c r="L24" s="291"/>
      <c r="M24" s="368"/>
      <c r="N24" s="293"/>
      <c r="O24" s="291"/>
      <c r="P24" s="292"/>
      <c r="Q24" s="293"/>
      <c r="R24" s="291"/>
      <c r="S24" s="292"/>
      <c r="T24" s="291"/>
      <c r="U24" s="292"/>
    </row>
    <row r="25" spans="1:21" ht="19.899999999999999" customHeight="1" x14ac:dyDescent="0.25">
      <c r="A25" s="369" t="s">
        <v>280</v>
      </c>
      <c r="B25" s="370">
        <v>8492325</v>
      </c>
      <c r="C25" s="298">
        <v>0</v>
      </c>
      <c r="D25" s="9">
        <v>0</v>
      </c>
      <c r="E25" s="299">
        <v>8619710</v>
      </c>
      <c r="F25" s="297">
        <v>8492325</v>
      </c>
      <c r="G25" s="24">
        <f t="shared" ref="G25:G37" si="6">IF($B25 &gt; 0, (F25-$B25)/$B25, "")</f>
        <v>0</v>
      </c>
      <c r="H25" s="299">
        <v>0</v>
      </c>
      <c r="I25" s="297">
        <v>0</v>
      </c>
      <c r="J25" s="24" t="str">
        <f t="shared" ref="J25:J37" si="7">IF($C25 &gt; 0, (I25-$C25)/$C25, "")</f>
        <v/>
      </c>
      <c r="K25" s="299">
        <v>0</v>
      </c>
      <c r="L25" s="371" t="str">
        <f t="shared" ref="L25:L37" si="8">IF($D25 &gt; 0, (K25-$D25)/$D25, "")</f>
        <v/>
      </c>
      <c r="M25" s="25"/>
      <c r="N25" s="299">
        <v>8749006</v>
      </c>
      <c r="O25" s="297">
        <v>8492325</v>
      </c>
      <c r="P25" s="24">
        <f t="shared" ref="P25:P37" si="9">IF($B25 &gt; 0, (O25-$B25)/$B25, "")</f>
        <v>0</v>
      </c>
      <c r="Q25" s="299">
        <v>0</v>
      </c>
      <c r="R25" s="297">
        <v>0</v>
      </c>
      <c r="S25" s="24" t="str">
        <f t="shared" ref="S25:S37" si="10">IF($C25 &gt; 0, (R25-$C25)/$C25, "")</f>
        <v/>
      </c>
      <c r="T25" s="299">
        <v>0</v>
      </c>
      <c r="U25" s="372" t="str">
        <f t="shared" ref="U25:U37" si="11">IF($D25 &gt; 0, (T25-$D25)/$D25, "")</f>
        <v/>
      </c>
    </row>
    <row r="26" spans="1:21" ht="19.899999999999999" customHeight="1" x14ac:dyDescent="0.25">
      <c r="A26" s="373" t="s">
        <v>281</v>
      </c>
      <c r="B26" s="374">
        <v>3570446</v>
      </c>
      <c r="C26" s="301">
        <v>0</v>
      </c>
      <c r="D26" s="375">
        <v>1800000</v>
      </c>
      <c r="E26" s="306">
        <v>4062002</v>
      </c>
      <c r="F26" s="305">
        <v>3570446</v>
      </c>
      <c r="G26" s="372">
        <f t="shared" si="6"/>
        <v>0</v>
      </c>
      <c r="H26" s="306">
        <v>0</v>
      </c>
      <c r="I26" s="305">
        <v>0</v>
      </c>
      <c r="J26" s="372" t="str">
        <f t="shared" si="7"/>
        <v/>
      </c>
      <c r="K26" s="306">
        <v>1800000</v>
      </c>
      <c r="L26" s="371">
        <f t="shared" si="8"/>
        <v>0</v>
      </c>
      <c r="M26" s="376"/>
      <c r="N26" s="306">
        <v>4122362</v>
      </c>
      <c r="O26" s="305">
        <v>3570446</v>
      </c>
      <c r="P26" s="372">
        <f t="shared" si="9"/>
        <v>0</v>
      </c>
      <c r="Q26" s="306">
        <v>0</v>
      </c>
      <c r="R26" s="305">
        <v>0</v>
      </c>
      <c r="S26" s="372" t="str">
        <f t="shared" si="10"/>
        <v/>
      </c>
      <c r="T26" s="306">
        <v>1800000</v>
      </c>
      <c r="U26" s="372">
        <f t="shared" si="11"/>
        <v>0</v>
      </c>
    </row>
    <row r="27" spans="1:21" ht="19.899999999999999" customHeight="1" x14ac:dyDescent="0.25">
      <c r="A27" s="373" t="s">
        <v>282</v>
      </c>
      <c r="B27" s="374">
        <v>522558</v>
      </c>
      <c r="C27" s="301">
        <v>0</v>
      </c>
      <c r="D27" s="375">
        <v>0</v>
      </c>
      <c r="E27" s="306">
        <v>530396</v>
      </c>
      <c r="F27" s="305">
        <v>522558</v>
      </c>
      <c r="G27" s="372">
        <f t="shared" si="6"/>
        <v>0</v>
      </c>
      <c r="H27" s="306">
        <v>0</v>
      </c>
      <c r="I27" s="305">
        <v>0</v>
      </c>
      <c r="J27" s="372" t="str">
        <f t="shared" si="7"/>
        <v/>
      </c>
      <c r="K27" s="306">
        <v>0</v>
      </c>
      <c r="L27" s="371" t="str">
        <f t="shared" si="8"/>
        <v/>
      </c>
      <c r="M27" s="376"/>
      <c r="N27" s="306">
        <v>538352</v>
      </c>
      <c r="O27" s="305">
        <v>522558</v>
      </c>
      <c r="P27" s="372">
        <f t="shared" si="9"/>
        <v>0</v>
      </c>
      <c r="Q27" s="306">
        <v>0</v>
      </c>
      <c r="R27" s="305">
        <v>0</v>
      </c>
      <c r="S27" s="372" t="str">
        <f t="shared" si="10"/>
        <v/>
      </c>
      <c r="T27" s="306">
        <v>0</v>
      </c>
      <c r="U27" s="372" t="str">
        <f t="shared" si="11"/>
        <v/>
      </c>
    </row>
    <row r="28" spans="1:21" ht="19.899999999999999" customHeight="1" x14ac:dyDescent="0.25">
      <c r="A28" s="373" t="s">
        <v>283</v>
      </c>
      <c r="B28" s="374">
        <v>7487816</v>
      </c>
      <c r="C28" s="301">
        <v>0</v>
      </c>
      <c r="D28" s="375">
        <v>0</v>
      </c>
      <c r="E28" s="306">
        <v>7600133</v>
      </c>
      <c r="F28" s="305">
        <v>7487816</v>
      </c>
      <c r="G28" s="372">
        <f t="shared" si="6"/>
        <v>0</v>
      </c>
      <c r="H28" s="306">
        <v>0</v>
      </c>
      <c r="I28" s="305">
        <v>0</v>
      </c>
      <c r="J28" s="372" t="str">
        <f t="shared" si="7"/>
        <v/>
      </c>
      <c r="K28" s="306">
        <v>0</v>
      </c>
      <c r="L28" s="371" t="str">
        <f t="shared" si="8"/>
        <v/>
      </c>
      <c r="M28" s="376"/>
      <c r="N28" s="306">
        <v>7714135</v>
      </c>
      <c r="O28" s="305">
        <v>7487816</v>
      </c>
      <c r="P28" s="372">
        <f t="shared" si="9"/>
        <v>0</v>
      </c>
      <c r="Q28" s="306">
        <v>0</v>
      </c>
      <c r="R28" s="305">
        <v>0</v>
      </c>
      <c r="S28" s="372" t="str">
        <f t="shared" si="10"/>
        <v/>
      </c>
      <c r="T28" s="306">
        <v>0</v>
      </c>
      <c r="U28" s="372" t="str">
        <f t="shared" si="11"/>
        <v/>
      </c>
    </row>
    <row r="29" spans="1:21" ht="19.899999999999999" customHeight="1" x14ac:dyDescent="0.25">
      <c r="A29" s="373" t="s">
        <v>284</v>
      </c>
      <c r="B29" s="374">
        <v>744700</v>
      </c>
      <c r="C29" s="301">
        <v>0</v>
      </c>
      <c r="D29" s="375">
        <v>0</v>
      </c>
      <c r="E29" s="306">
        <v>2067000</v>
      </c>
      <c r="F29" s="305">
        <v>2067000</v>
      </c>
      <c r="G29" s="372">
        <f t="shared" si="6"/>
        <v>1.7756143413455083</v>
      </c>
      <c r="H29" s="306">
        <v>0</v>
      </c>
      <c r="I29" s="305">
        <v>0</v>
      </c>
      <c r="J29" s="372" t="str">
        <f t="shared" si="7"/>
        <v/>
      </c>
      <c r="K29" s="306">
        <v>0</v>
      </c>
      <c r="L29" s="371" t="str">
        <f t="shared" si="8"/>
        <v/>
      </c>
      <c r="M29" s="376"/>
      <c r="N29" s="306">
        <v>2067000</v>
      </c>
      <c r="O29" s="305">
        <v>2067000</v>
      </c>
      <c r="P29" s="372">
        <f t="shared" si="9"/>
        <v>1.7756143413455083</v>
      </c>
      <c r="Q29" s="306">
        <v>0</v>
      </c>
      <c r="R29" s="305">
        <v>0</v>
      </c>
      <c r="S29" s="372" t="str">
        <f t="shared" si="10"/>
        <v/>
      </c>
      <c r="T29" s="306">
        <v>0</v>
      </c>
      <c r="U29" s="372" t="str">
        <f t="shared" si="11"/>
        <v/>
      </c>
    </row>
    <row r="30" spans="1:21" ht="19.899999999999999" customHeight="1" x14ac:dyDescent="0.25">
      <c r="A30" s="373" t="s">
        <v>285</v>
      </c>
      <c r="B30" s="374">
        <v>2500000</v>
      </c>
      <c r="C30" s="301">
        <v>0</v>
      </c>
      <c r="D30" s="375">
        <v>0</v>
      </c>
      <c r="E30" s="306">
        <v>2537500</v>
      </c>
      <c r="F30" s="305">
        <v>2500000</v>
      </c>
      <c r="G30" s="372">
        <f t="shared" si="6"/>
        <v>0</v>
      </c>
      <c r="H30" s="306">
        <v>0</v>
      </c>
      <c r="I30" s="305">
        <v>0</v>
      </c>
      <c r="J30" s="372" t="str">
        <f t="shared" si="7"/>
        <v/>
      </c>
      <c r="K30" s="306">
        <v>0</v>
      </c>
      <c r="L30" s="371" t="str">
        <f t="shared" si="8"/>
        <v/>
      </c>
      <c r="M30" s="376"/>
      <c r="N30" s="306">
        <v>2575563</v>
      </c>
      <c r="O30" s="305">
        <v>2500000</v>
      </c>
      <c r="P30" s="372">
        <f t="shared" si="9"/>
        <v>0</v>
      </c>
      <c r="Q30" s="306">
        <v>0</v>
      </c>
      <c r="R30" s="305">
        <v>0</v>
      </c>
      <c r="S30" s="372" t="str">
        <f t="shared" si="10"/>
        <v/>
      </c>
      <c r="T30" s="306">
        <v>0</v>
      </c>
      <c r="U30" s="372" t="str">
        <f t="shared" si="11"/>
        <v/>
      </c>
    </row>
    <row r="31" spans="1:21" ht="19.899999999999999" customHeight="1" x14ac:dyDescent="0.25">
      <c r="A31" s="373" t="s">
        <v>286</v>
      </c>
      <c r="B31" s="374">
        <v>6695258</v>
      </c>
      <c r="C31" s="301">
        <v>0</v>
      </c>
      <c r="D31" s="375">
        <v>4003412</v>
      </c>
      <c r="E31" s="306">
        <v>9795686</v>
      </c>
      <c r="F31" s="305">
        <v>6695258</v>
      </c>
      <c r="G31" s="372">
        <f t="shared" si="6"/>
        <v>0</v>
      </c>
      <c r="H31" s="306">
        <v>0</v>
      </c>
      <c r="I31" s="305">
        <v>0</v>
      </c>
      <c r="J31" s="372" t="str">
        <f t="shared" si="7"/>
        <v/>
      </c>
      <c r="K31" s="306">
        <v>4063463</v>
      </c>
      <c r="L31" s="371">
        <f t="shared" si="8"/>
        <v>1.4999955038352285E-2</v>
      </c>
      <c r="M31" s="376"/>
      <c r="N31" s="306">
        <v>9897622</v>
      </c>
      <c r="O31" s="305">
        <v>6695258</v>
      </c>
      <c r="P31" s="372">
        <f t="shared" si="9"/>
        <v>0</v>
      </c>
      <c r="Q31" s="306">
        <v>0</v>
      </c>
      <c r="R31" s="305">
        <v>0</v>
      </c>
      <c r="S31" s="372" t="str">
        <f t="shared" si="10"/>
        <v/>
      </c>
      <c r="T31" s="306">
        <v>4124415</v>
      </c>
      <c r="U31" s="372">
        <f t="shared" si="11"/>
        <v>3.0224968102208816E-2</v>
      </c>
    </row>
    <row r="32" spans="1:21" ht="19.899999999999999" customHeight="1" x14ac:dyDescent="0.25">
      <c r="A32" s="373" t="s">
        <v>287</v>
      </c>
      <c r="B32" s="374">
        <v>1930212</v>
      </c>
      <c r="C32" s="301">
        <v>0</v>
      </c>
      <c r="D32" s="375">
        <v>0</v>
      </c>
      <c r="E32" s="306">
        <v>1959166</v>
      </c>
      <c r="F32" s="305">
        <v>1930212</v>
      </c>
      <c r="G32" s="372">
        <f t="shared" si="6"/>
        <v>0</v>
      </c>
      <c r="H32" s="306">
        <v>0</v>
      </c>
      <c r="I32" s="305">
        <v>0</v>
      </c>
      <c r="J32" s="372" t="str">
        <f t="shared" si="7"/>
        <v/>
      </c>
      <c r="K32" s="306">
        <v>0</v>
      </c>
      <c r="L32" s="371" t="str">
        <f t="shared" si="8"/>
        <v/>
      </c>
      <c r="M32" s="376"/>
      <c r="N32" s="306">
        <v>1988554</v>
      </c>
      <c r="O32" s="305">
        <v>1930212</v>
      </c>
      <c r="P32" s="372">
        <f t="shared" si="9"/>
        <v>0</v>
      </c>
      <c r="Q32" s="306">
        <v>0</v>
      </c>
      <c r="R32" s="305">
        <v>0</v>
      </c>
      <c r="S32" s="372" t="str">
        <f t="shared" si="10"/>
        <v/>
      </c>
      <c r="T32" s="306">
        <v>0</v>
      </c>
      <c r="U32" s="372" t="str">
        <f t="shared" si="11"/>
        <v/>
      </c>
    </row>
    <row r="33" spans="1:21" ht="19.899999999999999" customHeight="1" x14ac:dyDescent="0.25">
      <c r="A33" s="373" t="s">
        <v>288</v>
      </c>
      <c r="B33" s="374">
        <v>0</v>
      </c>
      <c r="C33" s="301">
        <v>0</v>
      </c>
      <c r="D33" s="375">
        <v>150000</v>
      </c>
      <c r="E33" s="306">
        <v>0</v>
      </c>
      <c r="F33" s="305">
        <v>0</v>
      </c>
      <c r="G33" s="372" t="str">
        <f t="shared" si="6"/>
        <v/>
      </c>
      <c r="H33" s="306">
        <v>0</v>
      </c>
      <c r="I33" s="305">
        <v>0</v>
      </c>
      <c r="J33" s="372" t="str">
        <f t="shared" si="7"/>
        <v/>
      </c>
      <c r="K33" s="306">
        <v>150000</v>
      </c>
      <c r="L33" s="371">
        <f t="shared" si="8"/>
        <v>0</v>
      </c>
      <c r="M33" s="376"/>
      <c r="N33" s="306">
        <v>0</v>
      </c>
      <c r="O33" s="305">
        <v>0</v>
      </c>
      <c r="P33" s="372" t="str">
        <f t="shared" si="9"/>
        <v/>
      </c>
      <c r="Q33" s="306">
        <v>0</v>
      </c>
      <c r="R33" s="305">
        <v>0</v>
      </c>
      <c r="S33" s="372" t="str">
        <f t="shared" si="10"/>
        <v/>
      </c>
      <c r="T33" s="306">
        <v>150000</v>
      </c>
      <c r="U33" s="372">
        <f t="shared" si="11"/>
        <v>0</v>
      </c>
    </row>
    <row r="34" spans="1:21" ht="19.899999999999999" customHeight="1" thickBot="1" x14ac:dyDescent="0.3">
      <c r="A34" s="373" t="s">
        <v>289</v>
      </c>
      <c r="B34" s="374">
        <v>0</v>
      </c>
      <c r="C34" s="301">
        <v>0</v>
      </c>
      <c r="D34" s="375">
        <v>523851</v>
      </c>
      <c r="E34" s="306">
        <v>0</v>
      </c>
      <c r="F34" s="305">
        <v>0</v>
      </c>
      <c r="G34" s="372" t="str">
        <f t="shared" si="6"/>
        <v/>
      </c>
      <c r="H34" s="306">
        <v>0</v>
      </c>
      <c r="I34" s="305">
        <v>0</v>
      </c>
      <c r="J34" s="372" t="str">
        <f t="shared" si="7"/>
        <v/>
      </c>
      <c r="K34" s="306">
        <v>553781</v>
      </c>
      <c r="L34" s="371">
        <f t="shared" si="8"/>
        <v>5.7134566890203513E-2</v>
      </c>
      <c r="M34" s="376"/>
      <c r="N34" s="306">
        <v>0</v>
      </c>
      <c r="O34" s="305">
        <v>0</v>
      </c>
      <c r="P34" s="372" t="str">
        <f t="shared" si="9"/>
        <v/>
      </c>
      <c r="Q34" s="306">
        <v>0</v>
      </c>
      <c r="R34" s="305">
        <v>0</v>
      </c>
      <c r="S34" s="372" t="str">
        <f t="shared" si="10"/>
        <v/>
      </c>
      <c r="T34" s="306">
        <v>553781</v>
      </c>
      <c r="U34" s="372">
        <f t="shared" si="11"/>
        <v>5.7134566890203513E-2</v>
      </c>
    </row>
    <row r="35" spans="1:21" ht="19.899999999999999" customHeight="1" thickTop="1" thickBot="1" x14ac:dyDescent="0.3">
      <c r="A35" s="373" t="s">
        <v>290</v>
      </c>
      <c r="B35" s="374">
        <v>0</v>
      </c>
      <c r="C35" s="301">
        <v>0</v>
      </c>
      <c r="D35" s="375">
        <v>0</v>
      </c>
      <c r="E35" s="306">
        <v>6000000</v>
      </c>
      <c r="F35" s="305">
        <v>0</v>
      </c>
      <c r="G35" s="372" t="str">
        <f t="shared" si="6"/>
        <v/>
      </c>
      <c r="H35" s="306">
        <v>0</v>
      </c>
      <c r="I35" s="305">
        <v>0</v>
      </c>
      <c r="J35" s="372" t="str">
        <f t="shared" si="7"/>
        <v/>
      </c>
      <c r="K35" s="306">
        <v>0</v>
      </c>
      <c r="L35" s="371" t="str">
        <f t="shared" si="8"/>
        <v/>
      </c>
      <c r="M35" s="376"/>
      <c r="N35" s="306">
        <v>6000000</v>
      </c>
      <c r="O35" s="305">
        <v>0</v>
      </c>
      <c r="P35" s="372" t="str">
        <f t="shared" si="9"/>
        <v/>
      </c>
      <c r="Q35" s="306">
        <v>0</v>
      </c>
      <c r="R35" s="305">
        <v>0</v>
      </c>
      <c r="S35" s="372" t="str">
        <f t="shared" si="10"/>
        <v/>
      </c>
      <c r="T35" s="306">
        <v>0</v>
      </c>
      <c r="U35" s="372" t="str">
        <f t="shared" si="11"/>
        <v/>
      </c>
    </row>
    <row r="36" spans="1:21" ht="19.899999999999999" customHeight="1" x14ac:dyDescent="0.25">
      <c r="A36" s="373" t="s">
        <v>291</v>
      </c>
      <c r="B36" s="374">
        <v>0</v>
      </c>
      <c r="C36" s="301">
        <v>0</v>
      </c>
      <c r="D36" s="375">
        <v>0</v>
      </c>
      <c r="E36" s="306">
        <v>5000000</v>
      </c>
      <c r="F36" s="305">
        <v>0</v>
      </c>
      <c r="G36" s="372" t="str">
        <f t="shared" si="6"/>
        <v/>
      </c>
      <c r="H36" s="306">
        <v>0</v>
      </c>
      <c r="I36" s="305">
        <v>0</v>
      </c>
      <c r="J36" s="372" t="str">
        <f t="shared" si="7"/>
        <v/>
      </c>
      <c r="K36" s="306">
        <v>0</v>
      </c>
      <c r="L36" s="371" t="str">
        <f t="shared" si="8"/>
        <v/>
      </c>
      <c r="M36" s="376"/>
      <c r="N36" s="306">
        <v>5000000</v>
      </c>
      <c r="O36" s="305">
        <v>0</v>
      </c>
      <c r="P36" s="372" t="str">
        <f t="shared" si="9"/>
        <v/>
      </c>
      <c r="Q36" s="306">
        <v>0</v>
      </c>
      <c r="R36" s="305">
        <v>0</v>
      </c>
      <c r="S36" s="372" t="str">
        <f t="shared" si="10"/>
        <v/>
      </c>
      <c r="T36" s="306">
        <v>0</v>
      </c>
      <c r="U36" s="372" t="str">
        <f t="shared" si="11"/>
        <v/>
      </c>
    </row>
    <row r="37" spans="1:21" x14ac:dyDescent="0.25">
      <c r="A37" s="308" t="s">
        <v>203</v>
      </c>
      <c r="B37" s="377">
        <f>SUM(B25:B36)</f>
        <v>31943315</v>
      </c>
      <c r="C37" s="312">
        <f>SUM(C25:C36)</f>
        <v>0</v>
      </c>
      <c r="D37" s="378">
        <f>SUM(D25:D36)</f>
        <v>6477263</v>
      </c>
      <c r="E37" s="313">
        <f>SUM(E25:E36)</f>
        <v>48171593</v>
      </c>
      <c r="F37" s="311">
        <f>SUM(F25:F36)</f>
        <v>33265615</v>
      </c>
      <c r="G37" s="379">
        <f t="shared" si="6"/>
        <v>4.1395202720819674E-2</v>
      </c>
      <c r="H37" s="313">
        <f>SUM(H25:H36)</f>
        <v>0</v>
      </c>
      <c r="I37" s="311">
        <f>SUM(I25:I36)</f>
        <v>0</v>
      </c>
      <c r="J37" s="379" t="str">
        <f t="shared" si="7"/>
        <v/>
      </c>
      <c r="K37" s="378">
        <f>SUM(K25:K36)</f>
        <v>6567244</v>
      </c>
      <c r="L37" s="380">
        <f t="shared" si="8"/>
        <v>1.3891824370880108E-2</v>
      </c>
      <c r="M37" s="42"/>
      <c r="N37" s="313">
        <f>SUM(N25:N36)</f>
        <v>48652594</v>
      </c>
      <c r="O37" s="311">
        <f>SUM(O25:O36)</f>
        <v>33265615</v>
      </c>
      <c r="P37" s="379">
        <f t="shared" si="9"/>
        <v>4.1395202720819674E-2</v>
      </c>
      <c r="Q37" s="313">
        <f>SUM(Q25:Q36)</f>
        <v>0</v>
      </c>
      <c r="R37" s="311">
        <f>SUM(R25:R36)</f>
        <v>0</v>
      </c>
      <c r="S37" s="379" t="str">
        <f t="shared" si="10"/>
        <v/>
      </c>
      <c r="T37" s="378">
        <f>SUM(T25:T36)</f>
        <v>6628196</v>
      </c>
      <c r="U37" s="379">
        <f t="shared" si="11"/>
        <v>2.330197183594367E-2</v>
      </c>
    </row>
    <row r="38" spans="1:21" x14ac:dyDescent="0.25">
      <c r="A38" s="290" t="s">
        <v>204</v>
      </c>
      <c r="B38" s="367"/>
      <c r="C38" s="292"/>
      <c r="D38" s="291"/>
      <c r="E38" s="293"/>
      <c r="F38" s="291"/>
      <c r="G38" s="292"/>
      <c r="H38" s="293"/>
      <c r="I38" s="291"/>
      <c r="J38" s="292"/>
      <c r="K38" s="291"/>
      <c r="L38" s="291"/>
      <c r="M38" s="368"/>
      <c r="N38" s="293"/>
      <c r="O38" s="291"/>
      <c r="P38" s="292"/>
      <c r="Q38" s="293"/>
      <c r="R38" s="291"/>
      <c r="S38" s="292"/>
      <c r="T38" s="291"/>
      <c r="U38" s="292"/>
    </row>
    <row r="39" spans="1:21" ht="19.899999999999999" customHeight="1" x14ac:dyDescent="0.25">
      <c r="A39" s="369" t="s">
        <v>292</v>
      </c>
      <c r="B39" s="370">
        <v>4384956</v>
      </c>
      <c r="C39" s="298">
        <v>0</v>
      </c>
      <c r="D39" s="9">
        <v>0</v>
      </c>
      <c r="E39" s="299">
        <v>5120000</v>
      </c>
      <c r="F39" s="297">
        <v>4424581</v>
      </c>
      <c r="G39" s="24">
        <f>IF($B39 &gt; 0, (F39-$B39)/$B39, "")</f>
        <v>9.0365787022720408E-3</v>
      </c>
      <c r="H39" s="299">
        <v>0</v>
      </c>
      <c r="I39" s="297">
        <v>0</v>
      </c>
      <c r="J39" s="24" t="str">
        <f>IF($C39 &gt; 0, (I39-$C39)/$C39, "")</f>
        <v/>
      </c>
      <c r="K39" s="299">
        <v>0</v>
      </c>
      <c r="L39" s="371" t="str">
        <f>IF($D39 &gt; 0, (K39-$D39)/$D39, "")</f>
        <v/>
      </c>
      <c r="M39" s="25"/>
      <c r="N39" s="299">
        <v>5220000</v>
      </c>
      <c r="O39" s="297">
        <v>4468223</v>
      </c>
      <c r="P39" s="24">
        <f>IF($B39 &gt; 0, (O39-$B39)/$B39, "")</f>
        <v>1.8989244133806586E-2</v>
      </c>
      <c r="Q39" s="299">
        <v>0</v>
      </c>
      <c r="R39" s="297">
        <v>0</v>
      </c>
      <c r="S39" s="24" t="str">
        <f>IF($C39 &gt; 0, (R39-$C39)/$C39, "")</f>
        <v/>
      </c>
      <c r="T39" s="299">
        <v>0</v>
      </c>
      <c r="U39" s="372" t="str">
        <f>IF($D39 &gt; 0, (T39-$D39)/$D39, "")</f>
        <v/>
      </c>
    </row>
    <row r="40" spans="1:21" ht="19.899999999999999" customHeight="1" x14ac:dyDescent="0.25">
      <c r="A40" s="373" t="s">
        <v>293</v>
      </c>
      <c r="B40" s="374">
        <v>99450</v>
      </c>
      <c r="C40" s="301">
        <v>0</v>
      </c>
      <c r="D40" s="375">
        <v>0</v>
      </c>
      <c r="E40" s="306">
        <v>174050</v>
      </c>
      <c r="F40" s="305">
        <v>174050</v>
      </c>
      <c r="G40" s="372">
        <f>IF($B40 &gt; 0, (F40-$B40)/$B40, "")</f>
        <v>0.75012569130216189</v>
      </c>
      <c r="H40" s="306">
        <v>0</v>
      </c>
      <c r="I40" s="305">
        <v>0</v>
      </c>
      <c r="J40" s="372" t="str">
        <f>IF($C40 &gt; 0, (I40-$C40)/$C40, "")</f>
        <v/>
      </c>
      <c r="K40" s="306">
        <v>0</v>
      </c>
      <c r="L40" s="371" t="str">
        <f>IF($D40 &gt; 0, (K40-$D40)/$D40, "")</f>
        <v/>
      </c>
      <c r="M40" s="376"/>
      <c r="N40" s="306">
        <v>174050</v>
      </c>
      <c r="O40" s="305">
        <v>174050</v>
      </c>
      <c r="P40" s="372">
        <f>IF($B40 &gt; 0, (O40-$B40)/$B40, "")</f>
        <v>0.75012569130216189</v>
      </c>
      <c r="Q40" s="306">
        <v>0</v>
      </c>
      <c r="R40" s="305">
        <v>0</v>
      </c>
      <c r="S40" s="372" t="str">
        <f>IF($C40 &gt; 0, (R40-$C40)/$C40, "")</f>
        <v/>
      </c>
      <c r="T40" s="306">
        <v>0</v>
      </c>
      <c r="U40" s="372" t="str">
        <f>IF($D40 &gt; 0, (T40-$D40)/$D40, "")</f>
        <v/>
      </c>
    </row>
    <row r="41" spans="1:21" ht="19.899999999999999" customHeight="1" x14ac:dyDescent="0.25">
      <c r="A41" s="373" t="s">
        <v>294</v>
      </c>
      <c r="B41" s="374">
        <v>2500000</v>
      </c>
      <c r="C41" s="301">
        <v>0</v>
      </c>
      <c r="D41" s="375">
        <v>0</v>
      </c>
      <c r="E41" s="306">
        <v>5912500</v>
      </c>
      <c r="F41" s="305">
        <v>2522591</v>
      </c>
      <c r="G41" s="372">
        <f>IF($B41 &gt; 0, (F41-$B41)/$B41, "")</f>
        <v>9.0364E-3</v>
      </c>
      <c r="H41" s="306">
        <v>0</v>
      </c>
      <c r="I41" s="305">
        <v>0</v>
      </c>
      <c r="J41" s="372" t="str">
        <f>IF($C41 &gt; 0, (I41-$C41)/$C41, "")</f>
        <v/>
      </c>
      <c r="K41" s="306">
        <v>0</v>
      </c>
      <c r="L41" s="371" t="str">
        <f>IF($D41 &gt; 0, (K41-$D41)/$D41, "")</f>
        <v/>
      </c>
      <c r="M41" s="376"/>
      <c r="N41" s="306">
        <v>5912500</v>
      </c>
      <c r="O41" s="305">
        <v>2547473</v>
      </c>
      <c r="P41" s="372">
        <f>IF($B41 &gt; 0, (O41-$B41)/$B41, "")</f>
        <v>1.8989200000000001E-2</v>
      </c>
      <c r="Q41" s="306">
        <v>0</v>
      </c>
      <c r="R41" s="305">
        <v>0</v>
      </c>
      <c r="S41" s="372" t="str">
        <f>IF($C41 &gt; 0, (R41-$C41)/$C41, "")</f>
        <v/>
      </c>
      <c r="T41" s="306">
        <v>0</v>
      </c>
      <c r="U41" s="372" t="str">
        <f>IF($D41 &gt; 0, (T41-$D41)/$D41, "")</f>
        <v/>
      </c>
    </row>
    <row r="42" spans="1:21" ht="19.899999999999999" customHeight="1" x14ac:dyDescent="0.25">
      <c r="A42" s="373" t="s">
        <v>295</v>
      </c>
      <c r="B42" s="374">
        <v>0</v>
      </c>
      <c r="C42" s="301">
        <v>0</v>
      </c>
      <c r="D42" s="375">
        <v>0</v>
      </c>
      <c r="E42" s="306">
        <v>6000000</v>
      </c>
      <c r="F42" s="305">
        <v>0</v>
      </c>
      <c r="G42" s="372" t="str">
        <f>IF($B42 &gt; 0, (F42-$B42)/$B42, "")</f>
        <v/>
      </c>
      <c r="H42" s="306">
        <v>0</v>
      </c>
      <c r="I42" s="305">
        <v>0</v>
      </c>
      <c r="J42" s="372" t="str">
        <f>IF($C42 &gt; 0, (I42-$C42)/$C42, "")</f>
        <v/>
      </c>
      <c r="K42" s="306">
        <v>0</v>
      </c>
      <c r="L42" s="371" t="str">
        <f>IF($D42 &gt; 0, (K42-$D42)/$D42, "")</f>
        <v/>
      </c>
      <c r="M42" s="376"/>
      <c r="N42" s="306">
        <v>6000000</v>
      </c>
      <c r="O42" s="305">
        <v>0</v>
      </c>
      <c r="P42" s="372" t="str">
        <f>IF($B42 &gt; 0, (O42-$B42)/$B42, "")</f>
        <v/>
      </c>
      <c r="Q42" s="306">
        <v>0</v>
      </c>
      <c r="R42" s="305">
        <v>0</v>
      </c>
      <c r="S42" s="372" t="str">
        <f>IF($C42 &gt; 0, (R42-$C42)/$C42, "")</f>
        <v/>
      </c>
      <c r="T42" s="306">
        <v>0</v>
      </c>
      <c r="U42" s="372" t="str">
        <f>IF($D42 &gt; 0, (T42-$D42)/$D42, "")</f>
        <v/>
      </c>
    </row>
    <row r="43" spans="1:21" x14ac:dyDescent="0.25">
      <c r="A43" s="308" t="s">
        <v>213</v>
      </c>
      <c r="B43" s="377">
        <f>SUM(B39:B42)</f>
        <v>6984406</v>
      </c>
      <c r="C43" s="312">
        <f>SUM(C39:C42)</f>
        <v>0</v>
      </c>
      <c r="D43" s="378">
        <f>SUM(D39:D42)</f>
        <v>0</v>
      </c>
      <c r="E43" s="313">
        <f>SUM(E39:E42)</f>
        <v>17206550</v>
      </c>
      <c r="F43" s="311">
        <f>SUM(F39:F42)</f>
        <v>7121222</v>
      </c>
      <c r="G43" s="379">
        <f>IF($B43 &gt; 0, (F43-$B43)/$B43, "")</f>
        <v>1.9588781064560107E-2</v>
      </c>
      <c r="H43" s="313">
        <f>SUM(H39:H42)</f>
        <v>0</v>
      </c>
      <c r="I43" s="311">
        <f>SUM(I39:I42)</f>
        <v>0</v>
      </c>
      <c r="J43" s="379" t="str">
        <f>IF($C43 &gt; 0, (I43-$C43)/$C43, "")</f>
        <v/>
      </c>
      <c r="K43" s="378">
        <f>SUM(K39:K42)</f>
        <v>0</v>
      </c>
      <c r="L43" s="380" t="str">
        <f>IF($D43 &gt; 0, (K43-$D43)/$D43, "")</f>
        <v/>
      </c>
      <c r="M43" s="42"/>
      <c r="N43" s="313">
        <f>SUM(N39:N42)</f>
        <v>17306550</v>
      </c>
      <c r="O43" s="311">
        <f>SUM(O39:O42)</f>
        <v>7189746</v>
      </c>
      <c r="P43" s="379">
        <f>IF($B43 &gt; 0, (O43-$B43)/$B43, "")</f>
        <v>2.9399780024242577E-2</v>
      </c>
      <c r="Q43" s="313">
        <f>SUM(Q39:Q42)</f>
        <v>0</v>
      </c>
      <c r="R43" s="311">
        <f>SUM(R39:R42)</f>
        <v>0</v>
      </c>
      <c r="S43" s="379" t="str">
        <f>IF($C43 &gt; 0, (R43-$C43)/$C43, "")</f>
        <v/>
      </c>
      <c r="T43" s="378">
        <f>SUM(T39:T42)</f>
        <v>0</v>
      </c>
      <c r="U43" s="379" t="str">
        <f>IF($D43 &gt; 0, (T43-$D43)/$D43, "")</f>
        <v/>
      </c>
    </row>
    <row r="44" spans="1:21" x14ac:dyDescent="0.25">
      <c r="A44" s="290" t="s">
        <v>214</v>
      </c>
      <c r="B44" s="367"/>
      <c r="C44" s="292"/>
      <c r="D44" s="291"/>
      <c r="E44" s="293"/>
      <c r="F44" s="291"/>
      <c r="G44" s="292"/>
      <c r="H44" s="293"/>
      <c r="I44" s="291"/>
      <c r="J44" s="292"/>
      <c r="K44" s="291"/>
      <c r="L44" s="291"/>
      <c r="M44" s="368"/>
      <c r="N44" s="293"/>
      <c r="O44" s="291"/>
      <c r="P44" s="292"/>
      <c r="Q44" s="293"/>
      <c r="R44" s="291"/>
      <c r="S44" s="292"/>
      <c r="T44" s="291"/>
      <c r="U44" s="292"/>
    </row>
    <row r="45" spans="1:21" ht="19.899999999999999" customHeight="1" x14ac:dyDescent="0.25">
      <c r="A45" s="369" t="s">
        <v>296</v>
      </c>
      <c r="B45" s="370">
        <v>0</v>
      </c>
      <c r="C45" s="298">
        <v>460245</v>
      </c>
      <c r="D45" s="9">
        <v>0</v>
      </c>
      <c r="E45" s="299">
        <v>0</v>
      </c>
      <c r="F45" s="297">
        <v>0</v>
      </c>
      <c r="G45" s="24" t="str">
        <f>IF($B45 &gt; 0, (F45-$B45)/$B45, "")</f>
        <v/>
      </c>
      <c r="H45" s="299">
        <v>460245</v>
      </c>
      <c r="I45" s="297">
        <v>446438</v>
      </c>
      <c r="J45" s="24">
        <f>IF($C45 &gt; 0, (I45-$C45)/$C45, "")</f>
        <v>-2.9999239535464808E-2</v>
      </c>
      <c r="K45" s="299">
        <v>0</v>
      </c>
      <c r="L45" s="371" t="str">
        <f>IF($D45 &gt; 0, (K45-$D45)/$D45, "")</f>
        <v/>
      </c>
      <c r="M45" s="25"/>
      <c r="N45" s="299">
        <v>0</v>
      </c>
      <c r="O45" s="297">
        <v>0</v>
      </c>
      <c r="P45" s="24" t="str">
        <f>IF($B45 &gt; 0, (O45-$B45)/$B45, "")</f>
        <v/>
      </c>
      <c r="Q45" s="299">
        <v>460245</v>
      </c>
      <c r="R45" s="297">
        <v>446438</v>
      </c>
      <c r="S45" s="24">
        <f>IF($C45 &gt; 0, (R45-$C45)/$C45, "")</f>
        <v>-2.9999239535464808E-2</v>
      </c>
      <c r="T45" s="299">
        <v>0</v>
      </c>
      <c r="U45" s="372" t="str">
        <f>IF($D45 &gt; 0, (T45-$D45)/$D45, "")</f>
        <v/>
      </c>
    </row>
    <row r="46" spans="1:21" ht="19.899999999999999" customHeight="1" x14ac:dyDescent="0.25">
      <c r="A46" s="373" t="s">
        <v>297</v>
      </c>
      <c r="B46" s="374">
        <v>83200</v>
      </c>
      <c r="C46" s="301">
        <v>0</v>
      </c>
      <c r="D46" s="375">
        <v>0</v>
      </c>
      <c r="E46" s="306">
        <v>147950</v>
      </c>
      <c r="F46" s="305">
        <v>147950</v>
      </c>
      <c r="G46" s="372">
        <f>IF($B46 &gt; 0, (F46-$B46)/$B46, "")</f>
        <v>0.77824519230769229</v>
      </c>
      <c r="H46" s="306">
        <v>0</v>
      </c>
      <c r="I46" s="305">
        <v>0</v>
      </c>
      <c r="J46" s="372" t="str">
        <f>IF($C46 &gt; 0, (I46-$C46)/$C46, "")</f>
        <v/>
      </c>
      <c r="K46" s="306">
        <v>0</v>
      </c>
      <c r="L46" s="371" t="str">
        <f>IF($D46 &gt; 0, (K46-$D46)/$D46, "")</f>
        <v/>
      </c>
      <c r="M46" s="376"/>
      <c r="N46" s="306">
        <v>147950</v>
      </c>
      <c r="O46" s="305">
        <v>147950</v>
      </c>
      <c r="P46" s="372">
        <f>IF($B46 &gt; 0, (O46-$B46)/$B46, "")</f>
        <v>0.77824519230769229</v>
      </c>
      <c r="Q46" s="306">
        <v>0</v>
      </c>
      <c r="R46" s="305">
        <v>0</v>
      </c>
      <c r="S46" s="372" t="str">
        <f>IF($C46 &gt; 0, (R46-$C46)/$C46, "")</f>
        <v/>
      </c>
      <c r="T46" s="306">
        <v>0</v>
      </c>
      <c r="U46" s="372" t="str">
        <f>IF($D46 &gt; 0, (T46-$D46)/$D46, "")</f>
        <v/>
      </c>
    </row>
    <row r="47" spans="1:21" ht="19.899999999999999" customHeight="1" x14ac:dyDescent="0.25">
      <c r="A47" s="373" t="s">
        <v>298</v>
      </c>
      <c r="B47" s="374">
        <v>204000</v>
      </c>
      <c r="C47" s="301">
        <v>0</v>
      </c>
      <c r="D47" s="375">
        <v>0</v>
      </c>
      <c r="E47" s="306">
        <v>204000</v>
      </c>
      <c r="F47" s="305">
        <v>204000</v>
      </c>
      <c r="G47" s="372">
        <f>IF($B47 &gt; 0, (F47-$B47)/$B47, "")</f>
        <v>0</v>
      </c>
      <c r="H47" s="306">
        <v>0</v>
      </c>
      <c r="I47" s="305">
        <v>0</v>
      </c>
      <c r="J47" s="372" t="str">
        <f>IF($C47 &gt; 0, (I47-$C47)/$C47, "")</f>
        <v/>
      </c>
      <c r="K47" s="306">
        <v>0</v>
      </c>
      <c r="L47" s="371" t="str">
        <f>IF($D47 &gt; 0, (K47-$D47)/$D47, "")</f>
        <v/>
      </c>
      <c r="M47" s="376"/>
      <c r="N47" s="306">
        <v>204000</v>
      </c>
      <c r="O47" s="305">
        <v>204000</v>
      </c>
      <c r="P47" s="372">
        <f>IF($B47 &gt; 0, (O47-$B47)/$B47, "")</f>
        <v>0</v>
      </c>
      <c r="Q47" s="306">
        <v>0</v>
      </c>
      <c r="R47" s="305">
        <v>0</v>
      </c>
      <c r="S47" s="372" t="str">
        <f>IF($C47 &gt; 0, (R47-$C47)/$C47, "")</f>
        <v/>
      </c>
      <c r="T47" s="306">
        <v>0</v>
      </c>
      <c r="U47" s="372" t="str">
        <f>IF($D47 &gt; 0, (T47-$D47)/$D47, "")</f>
        <v/>
      </c>
    </row>
    <row r="48" spans="1:21" ht="19.899999999999999" customHeight="1" x14ac:dyDescent="0.25">
      <c r="A48" s="373" t="s">
        <v>299</v>
      </c>
      <c r="B48" s="374">
        <v>600000</v>
      </c>
      <c r="C48" s="301">
        <v>0</v>
      </c>
      <c r="D48" s="375">
        <v>0</v>
      </c>
      <c r="E48" s="306">
        <v>600000</v>
      </c>
      <c r="F48" s="305">
        <v>600000</v>
      </c>
      <c r="G48" s="372">
        <f>IF($B48 &gt; 0, (F48-$B48)/$B48, "")</f>
        <v>0</v>
      </c>
      <c r="H48" s="306">
        <v>0</v>
      </c>
      <c r="I48" s="305">
        <v>0</v>
      </c>
      <c r="J48" s="372" t="str">
        <f>IF($C48 &gt; 0, (I48-$C48)/$C48, "")</f>
        <v/>
      </c>
      <c r="K48" s="306">
        <v>0</v>
      </c>
      <c r="L48" s="371" t="str">
        <f>IF($D48 &gt; 0, (K48-$D48)/$D48, "")</f>
        <v/>
      </c>
      <c r="M48" s="376"/>
      <c r="N48" s="306">
        <v>600000</v>
      </c>
      <c r="O48" s="305">
        <v>600000</v>
      </c>
      <c r="P48" s="372">
        <f>IF($B48 &gt; 0, (O48-$B48)/$B48, "")</f>
        <v>0</v>
      </c>
      <c r="Q48" s="306">
        <v>0</v>
      </c>
      <c r="R48" s="305">
        <v>0</v>
      </c>
      <c r="S48" s="372" t="str">
        <f>IF($C48 &gt; 0, (R48-$C48)/$C48, "")</f>
        <v/>
      </c>
      <c r="T48" s="306">
        <v>0</v>
      </c>
      <c r="U48" s="372" t="str">
        <f>IF($D48 &gt; 0, (T48-$D48)/$D48, "")</f>
        <v/>
      </c>
    </row>
    <row r="49" spans="1:21" x14ac:dyDescent="0.25">
      <c r="A49" s="308" t="s">
        <v>217</v>
      </c>
      <c r="B49" s="377">
        <f>SUM(B45:B48)</f>
        <v>887200</v>
      </c>
      <c r="C49" s="312">
        <f>SUM(C45:C48)</f>
        <v>460245</v>
      </c>
      <c r="D49" s="378">
        <f>SUM(D45:D48)</f>
        <v>0</v>
      </c>
      <c r="E49" s="313">
        <f>SUM(E45:E48)</f>
        <v>951950</v>
      </c>
      <c r="F49" s="311">
        <f>SUM(F45:F48)</f>
        <v>951950</v>
      </c>
      <c r="G49" s="379">
        <f>IF($B49 &gt; 0, (F49-$B49)/$B49, "")</f>
        <v>7.2982416591523894E-2</v>
      </c>
      <c r="H49" s="313">
        <f>SUM(H45:H48)</f>
        <v>460245</v>
      </c>
      <c r="I49" s="311">
        <f>SUM(I45:I48)</f>
        <v>446438</v>
      </c>
      <c r="J49" s="379">
        <f>IF($C49 &gt; 0, (I49-$C49)/$C49, "")</f>
        <v>-2.9999239535464808E-2</v>
      </c>
      <c r="K49" s="378">
        <f>SUM(K45:K48)</f>
        <v>0</v>
      </c>
      <c r="L49" s="380" t="str">
        <f>IF($D49 &gt; 0, (K49-$D49)/$D49, "")</f>
        <v/>
      </c>
      <c r="M49" s="42"/>
      <c r="N49" s="313">
        <f>SUM(N45:N48)</f>
        <v>951950</v>
      </c>
      <c r="O49" s="311">
        <f>SUM(O45:O48)</f>
        <v>951950</v>
      </c>
      <c r="P49" s="379">
        <f>IF($B49 &gt; 0, (O49-$B49)/$B49, "")</f>
        <v>7.2982416591523894E-2</v>
      </c>
      <c r="Q49" s="313">
        <f>SUM(Q45:Q48)</f>
        <v>460245</v>
      </c>
      <c r="R49" s="311">
        <f>SUM(R45:R48)</f>
        <v>446438</v>
      </c>
      <c r="S49" s="379">
        <f>IF($C49 &gt; 0, (R49-$C49)/$C49, "")</f>
        <v>-2.9999239535464808E-2</v>
      </c>
      <c r="T49" s="378">
        <f>SUM(T45:T48)</f>
        <v>0</v>
      </c>
      <c r="U49" s="379" t="str">
        <f>IF($D49 &gt; 0, (T49-$D49)/$D49, "")</f>
        <v/>
      </c>
    </row>
    <row r="50" spans="1:21" x14ac:dyDescent="0.25">
      <c r="A50" s="290" t="s">
        <v>218</v>
      </c>
      <c r="B50" s="367"/>
      <c r="C50" s="292"/>
      <c r="D50" s="291"/>
      <c r="E50" s="293"/>
      <c r="F50" s="291"/>
      <c r="G50" s="292"/>
      <c r="H50" s="293"/>
      <c r="I50" s="291"/>
      <c r="J50" s="292"/>
      <c r="K50" s="291"/>
      <c r="L50" s="291"/>
      <c r="M50" s="368"/>
      <c r="N50" s="293"/>
      <c r="O50" s="291"/>
      <c r="P50" s="292"/>
      <c r="Q50" s="293"/>
      <c r="R50" s="291"/>
      <c r="S50" s="292"/>
      <c r="T50" s="291"/>
      <c r="U50" s="292"/>
    </row>
    <row r="51" spans="1:21" ht="19.899999999999999" customHeight="1" x14ac:dyDescent="0.25">
      <c r="A51" s="369" t="s">
        <v>300</v>
      </c>
      <c r="B51" s="370">
        <v>274100</v>
      </c>
      <c r="C51" s="298">
        <v>0</v>
      </c>
      <c r="D51" s="9">
        <v>0</v>
      </c>
      <c r="E51" s="299">
        <v>320450</v>
      </c>
      <c r="F51" s="297">
        <v>320450</v>
      </c>
      <c r="G51" s="24">
        <f>IF($B51 &gt; 0, (F51-$B51)/$B51, "")</f>
        <v>0.16909886902590296</v>
      </c>
      <c r="H51" s="299">
        <v>0</v>
      </c>
      <c r="I51" s="297">
        <v>0</v>
      </c>
      <c r="J51" s="24" t="str">
        <f>IF($C51 &gt; 0, (I51-$C51)/$C51, "")</f>
        <v/>
      </c>
      <c r="K51" s="299">
        <v>0</v>
      </c>
      <c r="L51" s="371" t="str">
        <f>IF($D51 &gt; 0, (K51-$D51)/$D51, "")</f>
        <v/>
      </c>
      <c r="M51" s="25"/>
      <c r="N51" s="299">
        <v>320450</v>
      </c>
      <c r="O51" s="297">
        <v>320450</v>
      </c>
      <c r="P51" s="24">
        <f>IF($B51 &gt; 0, (O51-$B51)/$B51, "")</f>
        <v>0.16909886902590296</v>
      </c>
      <c r="Q51" s="299">
        <v>0</v>
      </c>
      <c r="R51" s="297">
        <v>0</v>
      </c>
      <c r="S51" s="24" t="str">
        <f>IF($C51 &gt; 0, (R51-$C51)/$C51, "")</f>
        <v/>
      </c>
      <c r="T51" s="299">
        <v>0</v>
      </c>
      <c r="U51" s="372" t="str">
        <f>IF($D51 &gt; 0, (T51-$D51)/$D51, "")</f>
        <v/>
      </c>
    </row>
    <row r="52" spans="1:21" ht="19.899999999999999" customHeight="1" x14ac:dyDescent="0.25">
      <c r="A52" s="373" t="s">
        <v>301</v>
      </c>
      <c r="B52" s="374">
        <v>486878</v>
      </c>
      <c r="C52" s="301">
        <v>0</v>
      </c>
      <c r="D52" s="375">
        <v>848329</v>
      </c>
      <c r="E52" s="306">
        <v>535566</v>
      </c>
      <c r="F52" s="305">
        <v>486878</v>
      </c>
      <c r="G52" s="372">
        <f>IF($B52 &gt; 0, (F52-$B52)/$B52, "")</f>
        <v>0</v>
      </c>
      <c r="H52" s="306">
        <v>0</v>
      </c>
      <c r="I52" s="305">
        <v>0</v>
      </c>
      <c r="J52" s="372" t="str">
        <f>IF($C52 &gt; 0, (I52-$C52)/$C52, "")</f>
        <v/>
      </c>
      <c r="K52" s="306">
        <v>814301</v>
      </c>
      <c r="L52" s="371">
        <f>IF($D52 &gt; 0, (K52-$D52)/$D52, "")</f>
        <v>-4.0111796248860999E-2</v>
      </c>
      <c r="M52" s="376"/>
      <c r="N52" s="306">
        <v>535566</v>
      </c>
      <c r="O52" s="305">
        <v>486878</v>
      </c>
      <c r="P52" s="372">
        <f>IF($B52 &gt; 0, (O52-$B52)/$B52, "")</f>
        <v>0</v>
      </c>
      <c r="Q52" s="306">
        <v>0</v>
      </c>
      <c r="R52" s="305">
        <v>0</v>
      </c>
      <c r="S52" s="372" t="str">
        <f>IF($C52 &gt; 0, (R52-$C52)/$C52, "")</f>
        <v/>
      </c>
      <c r="T52" s="306">
        <v>829255</v>
      </c>
      <c r="U52" s="372">
        <f>IF($D52 &gt; 0, (T52-$D52)/$D52, "")</f>
        <v>-2.2484201294544922E-2</v>
      </c>
    </row>
    <row r="53" spans="1:21" ht="19.899999999999999" customHeight="1" x14ac:dyDescent="0.25">
      <c r="A53" s="373" t="s">
        <v>302</v>
      </c>
      <c r="B53" s="374">
        <v>0</v>
      </c>
      <c r="C53" s="301">
        <v>0</v>
      </c>
      <c r="D53" s="375">
        <v>0</v>
      </c>
      <c r="E53" s="306">
        <v>2000000</v>
      </c>
      <c r="F53" s="305">
        <v>0</v>
      </c>
      <c r="G53" s="372" t="str">
        <f>IF($B53 &gt; 0, (F53-$B53)/$B53, "")</f>
        <v/>
      </c>
      <c r="H53" s="306">
        <v>0</v>
      </c>
      <c r="I53" s="305">
        <v>0</v>
      </c>
      <c r="J53" s="372" t="str">
        <f>IF($C53 &gt; 0, (I53-$C53)/$C53, "")</f>
        <v/>
      </c>
      <c r="K53" s="306">
        <v>0</v>
      </c>
      <c r="L53" s="371" t="str">
        <f>IF($D53 &gt; 0, (K53-$D53)/$D53, "")</f>
        <v/>
      </c>
      <c r="M53" s="376"/>
      <c r="N53" s="306">
        <v>2000000</v>
      </c>
      <c r="O53" s="305">
        <v>0</v>
      </c>
      <c r="P53" s="372" t="str">
        <f>IF($B53 &gt; 0, (O53-$B53)/$B53, "")</f>
        <v/>
      </c>
      <c r="Q53" s="306">
        <v>0</v>
      </c>
      <c r="R53" s="305">
        <v>0</v>
      </c>
      <c r="S53" s="372" t="str">
        <f>IF($C53 &gt; 0, (R53-$C53)/$C53, "")</f>
        <v/>
      </c>
      <c r="T53" s="306">
        <v>0</v>
      </c>
      <c r="U53" s="372" t="str">
        <f>IF($D53 &gt; 0, (T53-$D53)/$D53, "")</f>
        <v/>
      </c>
    </row>
    <row r="54" spans="1:21" x14ac:dyDescent="0.25">
      <c r="A54" s="308" t="s">
        <v>223</v>
      </c>
      <c r="B54" s="377">
        <f>SUM(B51:B53)</f>
        <v>760978</v>
      </c>
      <c r="C54" s="312">
        <f>SUM(C51:C53)</f>
        <v>0</v>
      </c>
      <c r="D54" s="378">
        <f>SUM(D51:D53)</f>
        <v>848329</v>
      </c>
      <c r="E54" s="313">
        <f>SUM(E51:E53)</f>
        <v>2856016</v>
      </c>
      <c r="F54" s="311">
        <f>SUM(F51:F53)</f>
        <v>807328</v>
      </c>
      <c r="G54" s="379">
        <f>IF($B54 &gt; 0, (F54-$B54)/$B54, "")</f>
        <v>6.0908462531111283E-2</v>
      </c>
      <c r="H54" s="313">
        <f>SUM(H51:H53)</f>
        <v>0</v>
      </c>
      <c r="I54" s="311">
        <f>SUM(I51:I53)</f>
        <v>0</v>
      </c>
      <c r="J54" s="379" t="str">
        <f>IF($C54 &gt; 0, (I54-$C54)/$C54, "")</f>
        <v/>
      </c>
      <c r="K54" s="378">
        <f>SUM(K51:K53)</f>
        <v>814301</v>
      </c>
      <c r="L54" s="380">
        <f>IF($D54 &gt; 0, (K54-$D54)/$D54, "")</f>
        <v>-4.0111796248860999E-2</v>
      </c>
      <c r="M54" s="42"/>
      <c r="N54" s="313">
        <f>SUM(N51:N53)</f>
        <v>2856016</v>
      </c>
      <c r="O54" s="311">
        <f>SUM(O51:O53)</f>
        <v>807328</v>
      </c>
      <c r="P54" s="379">
        <f>IF($B54 &gt; 0, (O54-$B54)/$B54, "")</f>
        <v>6.0908462531111283E-2</v>
      </c>
      <c r="Q54" s="313">
        <f>SUM(Q51:Q53)</f>
        <v>0</v>
      </c>
      <c r="R54" s="311">
        <f>SUM(R51:R53)</f>
        <v>0</v>
      </c>
      <c r="S54" s="379" t="str">
        <f>IF($C54 &gt; 0, (R54-$C54)/$C54, "")</f>
        <v/>
      </c>
      <c r="T54" s="378">
        <f>SUM(T51:T53)</f>
        <v>829255</v>
      </c>
      <c r="U54" s="379">
        <f>IF($D54 &gt; 0, (T54-$D54)/$D54, "")</f>
        <v>-2.2484201294544922E-2</v>
      </c>
    </row>
    <row r="55" spans="1:21" x14ac:dyDescent="0.25">
      <c r="A55" s="290" t="s">
        <v>224</v>
      </c>
      <c r="B55" s="367"/>
      <c r="C55" s="292"/>
      <c r="D55" s="291"/>
      <c r="E55" s="293"/>
      <c r="F55" s="291"/>
      <c r="G55" s="292"/>
      <c r="H55" s="293"/>
      <c r="I55" s="291"/>
      <c r="J55" s="292"/>
      <c r="K55" s="291"/>
      <c r="L55" s="291"/>
      <c r="M55" s="368"/>
      <c r="N55" s="293"/>
      <c r="O55" s="291"/>
      <c r="P55" s="292"/>
      <c r="Q55" s="293"/>
      <c r="R55" s="291"/>
      <c r="S55" s="292"/>
      <c r="T55" s="291"/>
      <c r="U55" s="292"/>
    </row>
    <row r="56" spans="1:21" ht="19.899999999999999" customHeight="1" x14ac:dyDescent="0.25">
      <c r="A56" s="369" t="s">
        <v>303</v>
      </c>
      <c r="B56" s="370">
        <v>1474650</v>
      </c>
      <c r="C56" s="298">
        <v>0</v>
      </c>
      <c r="D56" s="9">
        <v>0</v>
      </c>
      <c r="E56" s="299">
        <v>3158800</v>
      </c>
      <c r="F56" s="297">
        <v>3158800</v>
      </c>
      <c r="G56" s="24">
        <f>IF($B56 &gt; 0, (F56-$B56)/$B56, "")</f>
        <v>1.1420676092632149</v>
      </c>
      <c r="H56" s="299">
        <v>0</v>
      </c>
      <c r="I56" s="297">
        <v>0</v>
      </c>
      <c r="J56" s="24" t="str">
        <f>IF($C56 &gt; 0, (I56-$C56)/$C56, "")</f>
        <v/>
      </c>
      <c r="K56" s="299">
        <v>0</v>
      </c>
      <c r="L56" s="371" t="str">
        <f>IF($D56 &gt; 0, (K56-$D56)/$D56, "")</f>
        <v/>
      </c>
      <c r="M56" s="25"/>
      <c r="N56" s="299">
        <v>3158800</v>
      </c>
      <c r="O56" s="297">
        <v>3158800</v>
      </c>
      <c r="P56" s="24">
        <f>IF($B56 &gt; 0, (O56-$B56)/$B56, "")</f>
        <v>1.1420676092632149</v>
      </c>
      <c r="Q56" s="299">
        <v>0</v>
      </c>
      <c r="R56" s="297">
        <v>0</v>
      </c>
      <c r="S56" s="24" t="str">
        <f>IF($C56 &gt; 0, (R56-$C56)/$C56, "")</f>
        <v/>
      </c>
      <c r="T56" s="299">
        <v>0</v>
      </c>
      <c r="U56" s="372" t="str">
        <f>IF($D56 &gt; 0, (T56-$D56)/$D56, "")</f>
        <v/>
      </c>
    </row>
    <row r="57" spans="1:21" ht="19.899999999999999" customHeight="1" x14ac:dyDescent="0.25">
      <c r="A57" s="373" t="s">
        <v>304</v>
      </c>
      <c r="B57" s="374">
        <v>0</v>
      </c>
      <c r="C57" s="301">
        <v>0</v>
      </c>
      <c r="D57" s="375">
        <v>0</v>
      </c>
      <c r="E57" s="306">
        <v>3000000</v>
      </c>
      <c r="F57" s="305">
        <v>0</v>
      </c>
      <c r="G57" s="372" t="str">
        <f>IF($B57 &gt; 0, (F57-$B57)/$B57, "")</f>
        <v/>
      </c>
      <c r="H57" s="306">
        <v>0</v>
      </c>
      <c r="I57" s="305">
        <v>0</v>
      </c>
      <c r="J57" s="372" t="str">
        <f>IF($C57 &gt; 0, (I57-$C57)/$C57, "")</f>
        <v/>
      </c>
      <c r="K57" s="306">
        <v>4600000</v>
      </c>
      <c r="L57" s="371" t="str">
        <f>IF($D57 &gt; 0, (K57-$D57)/$D57, "")</f>
        <v/>
      </c>
      <c r="M57" s="376"/>
      <c r="N57" s="306">
        <v>3000000</v>
      </c>
      <c r="O57" s="305">
        <v>0</v>
      </c>
      <c r="P57" s="372" t="str">
        <f>IF($B57 &gt; 0, (O57-$B57)/$B57, "")</f>
        <v/>
      </c>
      <c r="Q57" s="306">
        <v>0</v>
      </c>
      <c r="R57" s="305">
        <v>0</v>
      </c>
      <c r="S57" s="372" t="str">
        <f>IF($C57 &gt; 0, (R57-$C57)/$C57, "")</f>
        <v/>
      </c>
      <c r="T57" s="306">
        <v>4600000</v>
      </c>
      <c r="U57" s="372" t="str">
        <f>IF($D57 &gt; 0, (T57-$D57)/$D57, "")</f>
        <v/>
      </c>
    </row>
    <row r="58" spans="1:21" x14ac:dyDescent="0.25">
      <c r="A58" s="308" t="s">
        <v>231</v>
      </c>
      <c r="B58" s="377">
        <f>SUM(B56:B57)</f>
        <v>1474650</v>
      </c>
      <c r="C58" s="312">
        <f>SUM(C56:C57)</f>
        <v>0</v>
      </c>
      <c r="D58" s="378">
        <f>SUM(D56:D57)</f>
        <v>0</v>
      </c>
      <c r="E58" s="313">
        <f>SUM(E56:E57)</f>
        <v>6158800</v>
      </c>
      <c r="F58" s="311">
        <f>SUM(F56:F57)</f>
        <v>3158800</v>
      </c>
      <c r="G58" s="379">
        <f>IF($B58 &gt; 0, (F58-$B58)/$B58, "")</f>
        <v>1.1420676092632149</v>
      </c>
      <c r="H58" s="313">
        <f>SUM(H56:H57)</f>
        <v>0</v>
      </c>
      <c r="I58" s="311">
        <f>SUM(I56:I57)</f>
        <v>0</v>
      </c>
      <c r="J58" s="379" t="str">
        <f>IF($C58 &gt; 0, (I58-$C58)/$C58, "")</f>
        <v/>
      </c>
      <c r="K58" s="378">
        <f>SUM(K56:K57)</f>
        <v>4600000</v>
      </c>
      <c r="L58" s="380" t="str">
        <f>IF($D58 &gt; 0, (K58-$D58)/$D58, "")</f>
        <v/>
      </c>
      <c r="M58" s="42"/>
      <c r="N58" s="313">
        <f>SUM(N56:N57)</f>
        <v>6158800</v>
      </c>
      <c r="O58" s="311">
        <f>SUM(O56:O57)</f>
        <v>3158800</v>
      </c>
      <c r="P58" s="379">
        <f>IF($B58 &gt; 0, (O58-$B58)/$B58, "")</f>
        <v>1.1420676092632149</v>
      </c>
      <c r="Q58" s="313">
        <f>SUM(Q56:Q57)</f>
        <v>0</v>
      </c>
      <c r="R58" s="311">
        <f>SUM(R56:R57)</f>
        <v>0</v>
      </c>
      <c r="S58" s="379" t="str">
        <f>IF($C58 &gt; 0, (R58-$C58)/$C58, "")</f>
        <v/>
      </c>
      <c r="T58" s="378">
        <f>SUM(T56:T57)</f>
        <v>4600000</v>
      </c>
      <c r="U58" s="379" t="str">
        <f>IF($D58 &gt; 0, (T58-$D58)/$D58, "")</f>
        <v/>
      </c>
    </row>
    <row r="59" spans="1:21" x14ac:dyDescent="0.25">
      <c r="A59" s="290" t="s">
        <v>232</v>
      </c>
      <c r="B59" s="367"/>
      <c r="C59" s="292"/>
      <c r="D59" s="291"/>
      <c r="E59" s="293"/>
      <c r="F59" s="291"/>
      <c r="G59" s="292"/>
      <c r="H59" s="293"/>
      <c r="I59" s="291"/>
      <c r="J59" s="292"/>
      <c r="K59" s="291"/>
      <c r="L59" s="291"/>
      <c r="M59" s="368"/>
      <c r="N59" s="293"/>
      <c r="O59" s="291"/>
      <c r="P59" s="292"/>
      <c r="Q59" s="293"/>
      <c r="R59" s="291"/>
      <c r="S59" s="292"/>
      <c r="T59" s="291"/>
      <c r="U59" s="292"/>
    </row>
    <row r="60" spans="1:21" ht="19.899999999999999" customHeight="1" x14ac:dyDescent="0.25">
      <c r="A60" s="369" t="s">
        <v>305</v>
      </c>
      <c r="B60" s="370">
        <v>4125150</v>
      </c>
      <c r="C60" s="298">
        <v>0</v>
      </c>
      <c r="D60" s="9">
        <v>0</v>
      </c>
      <c r="E60" s="299">
        <v>6583450</v>
      </c>
      <c r="F60" s="297">
        <v>6583450</v>
      </c>
      <c r="G60" s="24">
        <f t="shared" ref="G60:G69" si="12">IF($B60 &gt; 0, (F60-$B60)/$B60, "")</f>
        <v>0.59592984497533419</v>
      </c>
      <c r="H60" s="299">
        <v>0</v>
      </c>
      <c r="I60" s="297">
        <v>0</v>
      </c>
      <c r="J60" s="24" t="str">
        <f t="shared" ref="J60:J69" si="13">IF($C60 &gt; 0, (I60-$C60)/$C60, "")</f>
        <v/>
      </c>
      <c r="K60" s="299">
        <v>0</v>
      </c>
      <c r="L60" s="371" t="str">
        <f t="shared" ref="L60:L69" si="14">IF($D60 &gt; 0, (K60-$D60)/$D60, "")</f>
        <v/>
      </c>
      <c r="M60" s="25"/>
      <c r="N60" s="299">
        <v>6583450</v>
      </c>
      <c r="O60" s="297">
        <v>6583450</v>
      </c>
      <c r="P60" s="24">
        <f t="shared" ref="P60:P69" si="15">IF($B60 &gt; 0, (O60-$B60)/$B60, "")</f>
        <v>0.59592984497533419</v>
      </c>
      <c r="Q60" s="299">
        <v>0</v>
      </c>
      <c r="R60" s="297">
        <v>0</v>
      </c>
      <c r="S60" s="24" t="str">
        <f t="shared" ref="S60:S69" si="16">IF($C60 &gt; 0, (R60-$C60)/$C60, "")</f>
        <v/>
      </c>
      <c r="T60" s="299">
        <v>0</v>
      </c>
      <c r="U60" s="372" t="str">
        <f t="shared" ref="U60:U69" si="17">IF($D60 &gt; 0, (T60-$D60)/$D60, "")</f>
        <v/>
      </c>
    </row>
    <row r="61" spans="1:21" ht="19.899999999999999" customHeight="1" thickBot="1" x14ac:dyDescent="0.3">
      <c r="A61" s="373" t="s">
        <v>306</v>
      </c>
      <c r="B61" s="374">
        <v>1000000</v>
      </c>
      <c r="C61" s="301">
        <v>0</v>
      </c>
      <c r="D61" s="375">
        <v>0</v>
      </c>
      <c r="E61" s="306">
        <v>1000000</v>
      </c>
      <c r="F61" s="305">
        <v>1000000</v>
      </c>
      <c r="G61" s="372">
        <f t="shared" si="12"/>
        <v>0</v>
      </c>
      <c r="H61" s="306">
        <v>0</v>
      </c>
      <c r="I61" s="305">
        <v>0</v>
      </c>
      <c r="J61" s="372" t="str">
        <f t="shared" si="13"/>
        <v/>
      </c>
      <c r="K61" s="306">
        <v>0</v>
      </c>
      <c r="L61" s="371" t="str">
        <f t="shared" si="14"/>
        <v/>
      </c>
      <c r="M61" s="376"/>
      <c r="N61" s="306">
        <v>1000000</v>
      </c>
      <c r="O61" s="305">
        <v>1000000</v>
      </c>
      <c r="P61" s="372">
        <f t="shared" si="15"/>
        <v>0</v>
      </c>
      <c r="Q61" s="306">
        <v>0</v>
      </c>
      <c r="R61" s="305">
        <v>0</v>
      </c>
      <c r="S61" s="372" t="str">
        <f t="shared" si="16"/>
        <v/>
      </c>
      <c r="T61" s="306">
        <v>0</v>
      </c>
      <c r="U61" s="372" t="str">
        <f t="shared" si="17"/>
        <v/>
      </c>
    </row>
    <row r="62" spans="1:21" ht="19.899999999999999" customHeight="1" thickTop="1" thickBot="1" x14ac:dyDescent="0.3">
      <c r="A62" s="373" t="s">
        <v>307</v>
      </c>
      <c r="B62" s="374">
        <v>0</v>
      </c>
      <c r="C62" s="301">
        <v>1090452</v>
      </c>
      <c r="D62" s="375">
        <v>0</v>
      </c>
      <c r="E62" s="306">
        <v>0</v>
      </c>
      <c r="F62" s="305">
        <v>0</v>
      </c>
      <c r="G62" s="372" t="str">
        <f t="shared" si="12"/>
        <v/>
      </c>
      <c r="H62" s="306">
        <v>1090452</v>
      </c>
      <c r="I62" s="305">
        <v>1057738</v>
      </c>
      <c r="J62" s="372">
        <f t="shared" si="13"/>
        <v>-3.0000403502400838E-2</v>
      </c>
      <c r="K62" s="306">
        <v>0</v>
      </c>
      <c r="L62" s="371" t="str">
        <f t="shared" si="14"/>
        <v/>
      </c>
      <c r="M62" s="376"/>
      <c r="N62" s="306">
        <v>0</v>
      </c>
      <c r="O62" s="305">
        <v>0</v>
      </c>
      <c r="P62" s="372" t="str">
        <f t="shared" si="15"/>
        <v/>
      </c>
      <c r="Q62" s="306">
        <v>1090452</v>
      </c>
      <c r="R62" s="305">
        <v>1057738</v>
      </c>
      <c r="S62" s="372">
        <f t="shared" si="16"/>
        <v>-3.0000403502400838E-2</v>
      </c>
      <c r="T62" s="306">
        <v>0</v>
      </c>
      <c r="U62" s="372" t="str">
        <f t="shared" si="17"/>
        <v/>
      </c>
    </row>
    <row r="63" spans="1:21" ht="19.899999999999999" customHeight="1" x14ac:dyDescent="0.25">
      <c r="A63" s="373" t="s">
        <v>308</v>
      </c>
      <c r="B63" s="374">
        <v>85411</v>
      </c>
      <c r="C63" s="301">
        <v>0</v>
      </c>
      <c r="D63" s="375">
        <v>0</v>
      </c>
      <c r="E63" s="306">
        <v>85411</v>
      </c>
      <c r="F63" s="305">
        <v>85411</v>
      </c>
      <c r="G63" s="372">
        <f t="shared" si="12"/>
        <v>0</v>
      </c>
      <c r="H63" s="306">
        <v>0</v>
      </c>
      <c r="I63" s="305">
        <v>0</v>
      </c>
      <c r="J63" s="372" t="str">
        <f t="shared" si="13"/>
        <v/>
      </c>
      <c r="K63" s="306">
        <v>0</v>
      </c>
      <c r="L63" s="371" t="str">
        <f t="shared" si="14"/>
        <v/>
      </c>
      <c r="M63" s="376"/>
      <c r="N63" s="306">
        <v>85411</v>
      </c>
      <c r="O63" s="305">
        <v>85411</v>
      </c>
      <c r="P63" s="372">
        <f t="shared" si="15"/>
        <v>0</v>
      </c>
      <c r="Q63" s="306">
        <v>0</v>
      </c>
      <c r="R63" s="305">
        <v>0</v>
      </c>
      <c r="S63" s="372" t="str">
        <f t="shared" si="16"/>
        <v/>
      </c>
      <c r="T63" s="306">
        <v>0</v>
      </c>
      <c r="U63" s="372" t="str">
        <f t="shared" si="17"/>
        <v/>
      </c>
    </row>
    <row r="64" spans="1:21" ht="19.899999999999999" customHeight="1" x14ac:dyDescent="0.25">
      <c r="A64" s="373" t="s">
        <v>309</v>
      </c>
      <c r="B64" s="374">
        <v>0</v>
      </c>
      <c r="C64" s="301">
        <v>732794</v>
      </c>
      <c r="D64" s="375">
        <v>0</v>
      </c>
      <c r="E64" s="306">
        <v>0</v>
      </c>
      <c r="F64" s="305">
        <v>0</v>
      </c>
      <c r="G64" s="372" t="str">
        <f t="shared" si="12"/>
        <v/>
      </c>
      <c r="H64" s="306">
        <v>732794</v>
      </c>
      <c r="I64" s="305">
        <v>710810</v>
      </c>
      <c r="J64" s="372">
        <f t="shared" si="13"/>
        <v>-3.0000245635198979E-2</v>
      </c>
      <c r="K64" s="306">
        <v>0</v>
      </c>
      <c r="L64" s="371" t="str">
        <f t="shared" si="14"/>
        <v/>
      </c>
      <c r="M64" s="376"/>
      <c r="N64" s="306">
        <v>0</v>
      </c>
      <c r="O64" s="305">
        <v>0</v>
      </c>
      <c r="P64" s="372" t="str">
        <f t="shared" si="15"/>
        <v/>
      </c>
      <c r="Q64" s="306">
        <v>732794</v>
      </c>
      <c r="R64" s="305">
        <v>710810</v>
      </c>
      <c r="S64" s="372">
        <f t="shared" si="16"/>
        <v>-3.0000245635198979E-2</v>
      </c>
      <c r="T64" s="306">
        <v>0</v>
      </c>
      <c r="U64" s="372" t="str">
        <f t="shared" si="17"/>
        <v/>
      </c>
    </row>
    <row r="65" spans="1:21" ht="19.899999999999999" customHeight="1" x14ac:dyDescent="0.25">
      <c r="A65" s="373" t="s">
        <v>310</v>
      </c>
      <c r="B65" s="374">
        <v>0</v>
      </c>
      <c r="C65" s="301">
        <v>0</v>
      </c>
      <c r="D65" s="375">
        <v>0</v>
      </c>
      <c r="E65" s="306">
        <v>10500000</v>
      </c>
      <c r="F65" s="305">
        <v>0</v>
      </c>
      <c r="G65" s="372" t="str">
        <f t="shared" si="12"/>
        <v/>
      </c>
      <c r="H65" s="306">
        <v>0</v>
      </c>
      <c r="I65" s="305">
        <v>0</v>
      </c>
      <c r="J65" s="372" t="str">
        <f t="shared" si="13"/>
        <v/>
      </c>
      <c r="K65" s="306">
        <v>0</v>
      </c>
      <c r="L65" s="371" t="str">
        <f t="shared" si="14"/>
        <v/>
      </c>
      <c r="M65" s="376"/>
      <c r="N65" s="306">
        <v>10500000</v>
      </c>
      <c r="O65" s="305">
        <v>0</v>
      </c>
      <c r="P65" s="372" t="str">
        <f t="shared" si="15"/>
        <v/>
      </c>
      <c r="Q65" s="306">
        <v>0</v>
      </c>
      <c r="R65" s="305">
        <v>0</v>
      </c>
      <c r="S65" s="372" t="str">
        <f t="shared" si="16"/>
        <v/>
      </c>
      <c r="T65" s="306">
        <v>0</v>
      </c>
      <c r="U65" s="372" t="str">
        <f t="shared" si="17"/>
        <v/>
      </c>
    </row>
    <row r="66" spans="1:21" ht="19.899999999999999" customHeight="1" x14ac:dyDescent="0.25">
      <c r="A66" s="373" t="s">
        <v>311</v>
      </c>
      <c r="B66" s="374">
        <v>0</v>
      </c>
      <c r="C66" s="301">
        <v>0</v>
      </c>
      <c r="D66" s="375">
        <v>0</v>
      </c>
      <c r="E66" s="306">
        <v>577607</v>
      </c>
      <c r="F66" s="305">
        <v>0</v>
      </c>
      <c r="G66" s="372" t="str">
        <f t="shared" si="12"/>
        <v/>
      </c>
      <c r="H66" s="306">
        <v>0</v>
      </c>
      <c r="I66" s="305">
        <v>0</v>
      </c>
      <c r="J66" s="372" t="str">
        <f t="shared" si="13"/>
        <v/>
      </c>
      <c r="K66" s="306">
        <v>0</v>
      </c>
      <c r="L66" s="371" t="str">
        <f t="shared" si="14"/>
        <v/>
      </c>
      <c r="M66" s="376"/>
      <c r="N66" s="306">
        <v>577607</v>
      </c>
      <c r="O66" s="305">
        <v>0</v>
      </c>
      <c r="P66" s="372" t="str">
        <f t="shared" si="15"/>
        <v/>
      </c>
      <c r="Q66" s="306">
        <v>0</v>
      </c>
      <c r="R66" s="305">
        <v>0</v>
      </c>
      <c r="S66" s="372" t="str">
        <f t="shared" si="16"/>
        <v/>
      </c>
      <c r="T66" s="306">
        <v>0</v>
      </c>
      <c r="U66" s="372" t="str">
        <f t="shared" si="17"/>
        <v/>
      </c>
    </row>
    <row r="67" spans="1:21" ht="19.899999999999999" customHeight="1" x14ac:dyDescent="0.25">
      <c r="A67" s="373" t="s">
        <v>312</v>
      </c>
      <c r="B67" s="374">
        <v>0</v>
      </c>
      <c r="C67" s="301">
        <v>0</v>
      </c>
      <c r="D67" s="375">
        <v>0</v>
      </c>
      <c r="E67" s="306">
        <v>47200000</v>
      </c>
      <c r="F67" s="305">
        <v>0</v>
      </c>
      <c r="G67" s="372" t="str">
        <f t="shared" si="12"/>
        <v/>
      </c>
      <c r="H67" s="306">
        <v>0</v>
      </c>
      <c r="I67" s="305">
        <v>0</v>
      </c>
      <c r="J67" s="372" t="str">
        <f t="shared" si="13"/>
        <v/>
      </c>
      <c r="K67" s="306">
        <v>0</v>
      </c>
      <c r="L67" s="371" t="str">
        <f t="shared" si="14"/>
        <v/>
      </c>
      <c r="M67" s="376"/>
      <c r="N67" s="306">
        <v>0</v>
      </c>
      <c r="O67" s="305">
        <v>0</v>
      </c>
      <c r="P67" s="372" t="str">
        <f t="shared" si="15"/>
        <v/>
      </c>
      <c r="Q67" s="306">
        <v>0</v>
      </c>
      <c r="R67" s="305">
        <v>0</v>
      </c>
      <c r="S67" s="372" t="str">
        <f t="shared" si="16"/>
        <v/>
      </c>
      <c r="T67" s="306">
        <v>0</v>
      </c>
      <c r="U67" s="372" t="str">
        <f t="shared" si="17"/>
        <v/>
      </c>
    </row>
    <row r="68" spans="1:21" ht="19.899999999999999" customHeight="1" x14ac:dyDescent="0.25">
      <c r="A68" s="373" t="s">
        <v>313</v>
      </c>
      <c r="B68" s="374">
        <v>0</v>
      </c>
      <c r="C68" s="301">
        <v>0</v>
      </c>
      <c r="D68" s="375">
        <v>0</v>
      </c>
      <c r="E68" s="306">
        <v>26000000</v>
      </c>
      <c r="F68" s="305">
        <v>0</v>
      </c>
      <c r="G68" s="372" t="str">
        <f t="shared" si="12"/>
        <v/>
      </c>
      <c r="H68" s="306">
        <v>0</v>
      </c>
      <c r="I68" s="305">
        <v>0</v>
      </c>
      <c r="J68" s="372" t="str">
        <f t="shared" si="13"/>
        <v/>
      </c>
      <c r="K68" s="306">
        <v>0</v>
      </c>
      <c r="L68" s="371" t="str">
        <f t="shared" si="14"/>
        <v/>
      </c>
      <c r="M68" s="376"/>
      <c r="N68" s="306">
        <v>26000000</v>
      </c>
      <c r="O68" s="305">
        <v>0</v>
      </c>
      <c r="P68" s="372" t="str">
        <f t="shared" si="15"/>
        <v/>
      </c>
      <c r="Q68" s="306">
        <v>0</v>
      </c>
      <c r="R68" s="305">
        <v>0</v>
      </c>
      <c r="S68" s="372" t="str">
        <f t="shared" si="16"/>
        <v/>
      </c>
      <c r="T68" s="306">
        <v>0</v>
      </c>
      <c r="U68" s="372" t="str">
        <f t="shared" si="17"/>
        <v/>
      </c>
    </row>
    <row r="69" spans="1:21" x14ac:dyDescent="0.25">
      <c r="A69" s="308" t="s">
        <v>249</v>
      </c>
      <c r="B69" s="377">
        <f>SUM(B60:B68)</f>
        <v>5210561</v>
      </c>
      <c r="C69" s="312">
        <f>SUM(C60:C68)</f>
        <v>1823246</v>
      </c>
      <c r="D69" s="378">
        <f>SUM(D60:D68)</f>
        <v>0</v>
      </c>
      <c r="E69" s="313">
        <f>SUM(E60:E68)</f>
        <v>91946468</v>
      </c>
      <c r="F69" s="311">
        <f>SUM(F60:F68)</f>
        <v>7668861</v>
      </c>
      <c r="G69" s="379">
        <f t="shared" si="12"/>
        <v>0.47179180898179679</v>
      </c>
      <c r="H69" s="313">
        <f>SUM(H60:H68)</f>
        <v>1823246</v>
      </c>
      <c r="I69" s="311">
        <f>SUM(I60:I68)</f>
        <v>1768548</v>
      </c>
      <c r="J69" s="379">
        <f t="shared" si="13"/>
        <v>-3.0000340052850794E-2</v>
      </c>
      <c r="K69" s="378">
        <f>SUM(K60:K68)</f>
        <v>0</v>
      </c>
      <c r="L69" s="380" t="str">
        <f t="shared" si="14"/>
        <v/>
      </c>
      <c r="M69" s="42"/>
      <c r="N69" s="313">
        <f>SUM(N60:N68)</f>
        <v>44746468</v>
      </c>
      <c r="O69" s="311">
        <f>SUM(O60:O68)</f>
        <v>7668861</v>
      </c>
      <c r="P69" s="379">
        <f t="shared" si="15"/>
        <v>0.47179180898179679</v>
      </c>
      <c r="Q69" s="313">
        <f>SUM(Q60:Q68)</f>
        <v>1823246</v>
      </c>
      <c r="R69" s="311">
        <f>SUM(R60:R68)</f>
        <v>1768548</v>
      </c>
      <c r="S69" s="379">
        <f t="shared" si="16"/>
        <v>-3.0000340052850794E-2</v>
      </c>
      <c r="T69" s="378">
        <f>SUM(T60:T68)</f>
        <v>0</v>
      </c>
      <c r="U69" s="379" t="str">
        <f t="shared" si="17"/>
        <v/>
      </c>
    </row>
    <row r="70" spans="1:21" x14ac:dyDescent="0.25">
      <c r="A70" s="290" t="s">
        <v>314</v>
      </c>
      <c r="B70" s="367"/>
      <c r="C70" s="292"/>
      <c r="D70" s="291"/>
      <c r="E70" s="293"/>
      <c r="F70" s="291"/>
      <c r="G70" s="292"/>
      <c r="H70" s="293"/>
      <c r="I70" s="291"/>
      <c r="J70" s="292"/>
      <c r="K70" s="291"/>
      <c r="L70" s="291"/>
      <c r="M70" s="368"/>
      <c r="N70" s="293"/>
      <c r="O70" s="291"/>
      <c r="P70" s="292"/>
      <c r="Q70" s="293"/>
      <c r="R70" s="291"/>
      <c r="S70" s="292"/>
      <c r="T70" s="291"/>
      <c r="U70" s="292"/>
    </row>
    <row r="71" spans="1:21" ht="19.899999999999999" customHeight="1" x14ac:dyDescent="0.25">
      <c r="A71" s="369" t="s">
        <v>315</v>
      </c>
      <c r="B71" s="370">
        <v>4999000</v>
      </c>
      <c r="C71" s="298">
        <v>0</v>
      </c>
      <c r="D71" s="9">
        <v>0</v>
      </c>
      <c r="E71" s="299">
        <v>5098000</v>
      </c>
      <c r="F71" s="297">
        <v>5098000</v>
      </c>
      <c r="G71" s="24">
        <f>IF($B71 &gt; 0, (F71-$B71)/$B71, "")</f>
        <v>1.9803960792158432E-2</v>
      </c>
      <c r="H71" s="299">
        <v>0</v>
      </c>
      <c r="I71" s="297">
        <v>0</v>
      </c>
      <c r="J71" s="24" t="str">
        <f>IF($C71 &gt; 0, (I71-$C71)/$C71, "")</f>
        <v/>
      </c>
      <c r="K71" s="299">
        <v>0</v>
      </c>
      <c r="L71" s="371" t="str">
        <f>IF($D71 &gt; 0, (K71-$D71)/$D71, "")</f>
        <v/>
      </c>
      <c r="M71" s="25"/>
      <c r="N71" s="299">
        <v>5202000</v>
      </c>
      <c r="O71" s="297">
        <v>5202000</v>
      </c>
      <c r="P71" s="24">
        <f>IF($B71 &gt; 0, (O71-$B71)/$B71, "")</f>
        <v>4.0608121624324867E-2</v>
      </c>
      <c r="Q71" s="299">
        <v>0</v>
      </c>
      <c r="R71" s="297">
        <v>0</v>
      </c>
      <c r="S71" s="24" t="str">
        <f>IF($C71 &gt; 0, (R71-$C71)/$C71, "")</f>
        <v/>
      </c>
      <c r="T71" s="299">
        <v>0</v>
      </c>
      <c r="U71" s="372" t="str">
        <f>IF($D71 &gt; 0, (T71-$D71)/$D71, "")</f>
        <v/>
      </c>
    </row>
    <row r="72" spans="1:21" x14ac:dyDescent="0.25">
      <c r="A72" s="308" t="s">
        <v>316</v>
      </c>
      <c r="B72" s="377">
        <f>SUM(B71:B71)</f>
        <v>4999000</v>
      </c>
      <c r="C72" s="312">
        <f>SUM(C71:C71)</f>
        <v>0</v>
      </c>
      <c r="D72" s="378">
        <f>SUM(D71:D71)</f>
        <v>0</v>
      </c>
      <c r="E72" s="313">
        <f>SUM(E71:E71)</f>
        <v>5098000</v>
      </c>
      <c r="F72" s="311">
        <f>SUM(F71:F71)</f>
        <v>5098000</v>
      </c>
      <c r="G72" s="379">
        <f>IF($B72 &gt; 0, (F72-$B72)/$B72, "")</f>
        <v>1.9803960792158432E-2</v>
      </c>
      <c r="H72" s="313">
        <f>SUM(H71:H71)</f>
        <v>0</v>
      </c>
      <c r="I72" s="311">
        <f>SUM(I71:I71)</f>
        <v>0</v>
      </c>
      <c r="J72" s="379" t="str">
        <f>IF($C72 &gt; 0, (I72-$C72)/$C72, "")</f>
        <v/>
      </c>
      <c r="K72" s="378">
        <f>SUM(K71:K71)</f>
        <v>0</v>
      </c>
      <c r="L72" s="380" t="str">
        <f>IF($D72 &gt; 0, (K72-$D72)/$D72, "")</f>
        <v/>
      </c>
      <c r="M72" s="42"/>
      <c r="N72" s="313">
        <f>SUM(N71:N71)</f>
        <v>5202000</v>
      </c>
      <c r="O72" s="311">
        <f>SUM(O71:O71)</f>
        <v>5202000</v>
      </c>
      <c r="P72" s="379">
        <f>IF($B72 &gt; 0, (O72-$B72)/$B72, "")</f>
        <v>4.0608121624324867E-2</v>
      </c>
      <c r="Q72" s="313">
        <f>SUM(Q71:Q71)</f>
        <v>0</v>
      </c>
      <c r="R72" s="311">
        <f>SUM(R71:R71)</f>
        <v>0</v>
      </c>
      <c r="S72" s="379" t="str">
        <f>IF($C72 &gt; 0, (R72-$C72)/$C72, "")</f>
        <v/>
      </c>
      <c r="T72" s="378">
        <f>SUM(T71:T71)</f>
        <v>0</v>
      </c>
      <c r="U72" s="379" t="str">
        <f>IF($D72 &gt; 0, (T72-$D72)/$D72, "")</f>
        <v/>
      </c>
    </row>
    <row r="73" spans="1:21" x14ac:dyDescent="0.25">
      <c r="A73" s="290" t="s">
        <v>317</v>
      </c>
      <c r="B73" s="367"/>
      <c r="C73" s="292"/>
      <c r="D73" s="291"/>
      <c r="E73" s="293"/>
      <c r="F73" s="291"/>
      <c r="G73" s="292"/>
      <c r="H73" s="293"/>
      <c r="I73" s="291"/>
      <c r="J73" s="292"/>
      <c r="K73" s="291"/>
      <c r="L73" s="291"/>
      <c r="M73" s="368"/>
      <c r="N73" s="293"/>
      <c r="O73" s="291"/>
      <c r="P73" s="292"/>
      <c r="Q73" s="293"/>
      <c r="R73" s="291"/>
      <c r="S73" s="292"/>
      <c r="T73" s="291"/>
      <c r="U73" s="292"/>
    </row>
    <row r="74" spans="1:21" ht="19.899999999999999" customHeight="1" x14ac:dyDescent="0.25">
      <c r="A74" s="369" t="s">
        <v>317</v>
      </c>
      <c r="B74" s="370">
        <v>1909998</v>
      </c>
      <c r="C74" s="298">
        <v>0</v>
      </c>
      <c r="D74" s="9">
        <v>0</v>
      </c>
      <c r="E74" s="299">
        <v>1957750</v>
      </c>
      <c r="F74" s="297">
        <v>1852698</v>
      </c>
      <c r="G74" s="24">
        <f>IF($B74 &gt; 0, (F74-$B74)/$B74, "")</f>
        <v>-3.0000031413645458E-2</v>
      </c>
      <c r="H74" s="299">
        <v>0</v>
      </c>
      <c r="I74" s="297">
        <v>0</v>
      </c>
      <c r="J74" s="24" t="str">
        <f>IF($C74 &gt; 0, (I74-$C74)/$C74, "")</f>
        <v/>
      </c>
      <c r="K74" s="299">
        <v>0</v>
      </c>
      <c r="L74" s="371" t="str">
        <f>IF($D74 &gt; 0, (K74-$D74)/$D74, "")</f>
        <v/>
      </c>
      <c r="M74" s="25"/>
      <c r="N74" s="299">
        <v>1957750</v>
      </c>
      <c r="O74" s="297">
        <v>1852698</v>
      </c>
      <c r="P74" s="24">
        <f>IF($B74 &gt; 0, (O74-$B74)/$B74, "")</f>
        <v>-3.0000031413645458E-2</v>
      </c>
      <c r="Q74" s="299">
        <v>0</v>
      </c>
      <c r="R74" s="297">
        <v>0</v>
      </c>
      <c r="S74" s="24" t="str">
        <f>IF($C74 &gt; 0, (R74-$C74)/$C74, "")</f>
        <v/>
      </c>
      <c r="T74" s="299">
        <v>0</v>
      </c>
      <c r="U74" s="372" t="str">
        <f>IF($D74 &gt; 0, (T74-$D74)/$D74, "")</f>
        <v/>
      </c>
    </row>
    <row r="75" spans="1:21" x14ac:dyDescent="0.25">
      <c r="A75" s="308" t="s">
        <v>318</v>
      </c>
      <c r="B75" s="377">
        <f>SUM(B74:B74)</f>
        <v>1909998</v>
      </c>
      <c r="C75" s="312">
        <f>SUM(C74:C74)</f>
        <v>0</v>
      </c>
      <c r="D75" s="378">
        <f>SUM(D74:D74)</f>
        <v>0</v>
      </c>
      <c r="E75" s="313">
        <f>SUM(E74:E74)</f>
        <v>1957750</v>
      </c>
      <c r="F75" s="311">
        <f>SUM(F74:F74)</f>
        <v>1852698</v>
      </c>
      <c r="G75" s="379">
        <f>IF($B75 &gt; 0, (F75-$B75)/$B75, "")</f>
        <v>-3.0000031413645458E-2</v>
      </c>
      <c r="H75" s="313">
        <f>SUM(H74:H74)</f>
        <v>0</v>
      </c>
      <c r="I75" s="311">
        <f>SUM(I74:I74)</f>
        <v>0</v>
      </c>
      <c r="J75" s="379" t="str">
        <f>IF($C75 &gt; 0, (I75-$C75)/$C75, "")</f>
        <v/>
      </c>
      <c r="K75" s="378">
        <f>SUM(K74:K74)</f>
        <v>0</v>
      </c>
      <c r="L75" s="380" t="str">
        <f>IF($D75 &gt; 0, (K75-$D75)/$D75, "")</f>
        <v/>
      </c>
      <c r="M75" s="42"/>
      <c r="N75" s="313">
        <f>SUM(N74:N74)</f>
        <v>1957750</v>
      </c>
      <c r="O75" s="311">
        <f>SUM(O74:O74)</f>
        <v>1852698</v>
      </c>
      <c r="P75" s="379">
        <f>IF($B75 &gt; 0, (O75-$B75)/$B75, "")</f>
        <v>-3.0000031413645458E-2</v>
      </c>
      <c r="Q75" s="313">
        <f>SUM(Q74:Q74)</f>
        <v>0</v>
      </c>
      <c r="R75" s="311">
        <f>SUM(R74:R74)</f>
        <v>0</v>
      </c>
      <c r="S75" s="379" t="str">
        <f>IF($C75 &gt; 0, (R75-$C75)/$C75, "")</f>
        <v/>
      </c>
      <c r="T75" s="378">
        <f>SUM(T74:T74)</f>
        <v>0</v>
      </c>
      <c r="U75" s="379" t="str">
        <f>IF($D75 &gt; 0, (T75-$D75)/$D75, "")</f>
        <v/>
      </c>
    </row>
    <row r="76" spans="1:21" x14ac:dyDescent="0.25">
      <c r="A76" s="290" t="s">
        <v>319</v>
      </c>
      <c r="B76" s="367"/>
      <c r="C76" s="292"/>
      <c r="D76" s="291"/>
      <c r="E76" s="293"/>
      <c r="F76" s="291"/>
      <c r="G76" s="292"/>
      <c r="H76" s="293"/>
      <c r="I76" s="291"/>
      <c r="J76" s="292"/>
      <c r="K76" s="291"/>
      <c r="L76" s="291"/>
      <c r="M76" s="368"/>
      <c r="N76" s="293"/>
      <c r="O76" s="291"/>
      <c r="P76" s="292"/>
      <c r="Q76" s="293"/>
      <c r="R76" s="291"/>
      <c r="S76" s="292"/>
      <c r="T76" s="291"/>
      <c r="U76" s="292"/>
    </row>
    <row r="77" spans="1:21" ht="19.899999999999999" customHeight="1" x14ac:dyDescent="0.25">
      <c r="A77" s="369" t="s">
        <v>320</v>
      </c>
      <c r="B77" s="370">
        <v>1899858</v>
      </c>
      <c r="C77" s="298">
        <v>0</v>
      </c>
      <c r="D77" s="9">
        <v>0</v>
      </c>
      <c r="E77" s="299">
        <v>1842862</v>
      </c>
      <c r="F77" s="297">
        <v>1871558</v>
      </c>
      <c r="G77" s="24">
        <f t="shared" ref="G77:G90" si="18">IF($B77 &gt; 0, (F77-$B77)/$B77, "")</f>
        <v>-1.4895850110903025E-2</v>
      </c>
      <c r="H77" s="299">
        <v>0</v>
      </c>
      <c r="I77" s="297">
        <v>0</v>
      </c>
      <c r="J77" s="24" t="str">
        <f t="shared" ref="J77:J90" si="19">IF($C77 &gt; 0, (I77-$C77)/$C77, "")</f>
        <v/>
      </c>
      <c r="K77" s="299">
        <v>0</v>
      </c>
      <c r="L77" s="371" t="str">
        <f t="shared" ref="L77:L90" si="20">IF($D77 &gt; 0, (K77-$D77)/$D77, "")</f>
        <v/>
      </c>
      <c r="M77" s="25"/>
      <c r="N77" s="299">
        <v>1842862</v>
      </c>
      <c r="O77" s="297">
        <v>1842862</v>
      </c>
      <c r="P77" s="24">
        <f t="shared" ref="P77:P90" si="21">IF($B77 &gt; 0, (O77-$B77)/$B77, "")</f>
        <v>-3.0000136852333173E-2</v>
      </c>
      <c r="Q77" s="299">
        <v>0</v>
      </c>
      <c r="R77" s="297">
        <v>0</v>
      </c>
      <c r="S77" s="24" t="str">
        <f t="shared" ref="S77:S90" si="22">IF($C77 &gt; 0, (R77-$C77)/$C77, "")</f>
        <v/>
      </c>
      <c r="T77" s="299">
        <v>0</v>
      </c>
      <c r="U77" s="372" t="str">
        <f t="shared" ref="U77:U90" si="23">IF($D77 &gt; 0, (T77-$D77)/$D77, "")</f>
        <v/>
      </c>
    </row>
    <row r="78" spans="1:21" ht="19.899999999999999" customHeight="1" x14ac:dyDescent="0.25">
      <c r="A78" s="373" t="s">
        <v>321</v>
      </c>
      <c r="B78" s="374">
        <v>120108163</v>
      </c>
      <c r="C78" s="301">
        <v>0</v>
      </c>
      <c r="D78" s="375">
        <v>0</v>
      </c>
      <c r="E78" s="306">
        <v>120108163</v>
      </c>
      <c r="F78" s="305">
        <v>174151888</v>
      </c>
      <c r="G78" s="372">
        <f t="shared" si="18"/>
        <v>0.44995880088516549</v>
      </c>
      <c r="H78" s="306">
        <v>0</v>
      </c>
      <c r="I78" s="305">
        <v>0</v>
      </c>
      <c r="J78" s="372" t="str">
        <f t="shared" si="19"/>
        <v/>
      </c>
      <c r="K78" s="306">
        <v>0</v>
      </c>
      <c r="L78" s="371" t="str">
        <f t="shared" si="20"/>
        <v/>
      </c>
      <c r="M78" s="376"/>
      <c r="N78" s="306">
        <v>120108163</v>
      </c>
      <c r="O78" s="305">
        <v>159886008</v>
      </c>
      <c r="P78" s="372">
        <f t="shared" si="21"/>
        <v>0.33118352663507145</v>
      </c>
      <c r="Q78" s="306">
        <v>0</v>
      </c>
      <c r="R78" s="305">
        <v>0</v>
      </c>
      <c r="S78" s="372" t="str">
        <f t="shared" si="22"/>
        <v/>
      </c>
      <c r="T78" s="306">
        <v>0</v>
      </c>
      <c r="U78" s="372" t="str">
        <f t="shared" si="23"/>
        <v/>
      </c>
    </row>
    <row r="79" spans="1:21" ht="19.899999999999999" customHeight="1" x14ac:dyDescent="0.25">
      <c r="A79" s="373" t="s">
        <v>322</v>
      </c>
      <c r="B79" s="374">
        <v>606099</v>
      </c>
      <c r="C79" s="301">
        <v>0</v>
      </c>
      <c r="D79" s="375">
        <v>0</v>
      </c>
      <c r="E79" s="306">
        <v>606099</v>
      </c>
      <c r="F79" s="305">
        <v>606099</v>
      </c>
      <c r="G79" s="372">
        <f t="shared" si="18"/>
        <v>0</v>
      </c>
      <c r="H79" s="306">
        <v>0</v>
      </c>
      <c r="I79" s="305">
        <v>0</v>
      </c>
      <c r="J79" s="372" t="str">
        <f t="shared" si="19"/>
        <v/>
      </c>
      <c r="K79" s="306">
        <v>0</v>
      </c>
      <c r="L79" s="371" t="str">
        <f t="shared" si="20"/>
        <v/>
      </c>
      <c r="M79" s="376"/>
      <c r="N79" s="306">
        <v>606099</v>
      </c>
      <c r="O79" s="305">
        <v>606099</v>
      </c>
      <c r="P79" s="372">
        <f t="shared" si="21"/>
        <v>0</v>
      </c>
      <c r="Q79" s="306">
        <v>0</v>
      </c>
      <c r="R79" s="305">
        <v>0</v>
      </c>
      <c r="S79" s="372" t="str">
        <f t="shared" si="22"/>
        <v/>
      </c>
      <c r="T79" s="306">
        <v>0</v>
      </c>
      <c r="U79" s="372" t="str">
        <f t="shared" si="23"/>
        <v/>
      </c>
    </row>
    <row r="80" spans="1:21" ht="19.899999999999999" customHeight="1" x14ac:dyDescent="0.25">
      <c r="A80" s="373" t="s">
        <v>323</v>
      </c>
      <c r="B80" s="374">
        <v>39954462</v>
      </c>
      <c r="C80" s="301">
        <v>0</v>
      </c>
      <c r="D80" s="375">
        <v>0</v>
      </c>
      <c r="E80" s="306">
        <v>39954462</v>
      </c>
      <c r="F80" s="305">
        <v>39954462</v>
      </c>
      <c r="G80" s="372">
        <f t="shared" si="18"/>
        <v>0</v>
      </c>
      <c r="H80" s="306">
        <v>0</v>
      </c>
      <c r="I80" s="305">
        <v>0</v>
      </c>
      <c r="J80" s="372" t="str">
        <f t="shared" si="19"/>
        <v/>
      </c>
      <c r="K80" s="306">
        <v>0</v>
      </c>
      <c r="L80" s="371" t="str">
        <f t="shared" si="20"/>
        <v/>
      </c>
      <c r="M80" s="376"/>
      <c r="N80" s="306">
        <v>39954462</v>
      </c>
      <c r="O80" s="305">
        <v>39954462</v>
      </c>
      <c r="P80" s="372">
        <f t="shared" si="21"/>
        <v>0</v>
      </c>
      <c r="Q80" s="306">
        <v>0</v>
      </c>
      <c r="R80" s="305">
        <v>0</v>
      </c>
      <c r="S80" s="372" t="str">
        <f t="shared" si="22"/>
        <v/>
      </c>
      <c r="T80" s="306">
        <v>0</v>
      </c>
      <c r="U80" s="372" t="str">
        <f t="shared" si="23"/>
        <v/>
      </c>
    </row>
    <row r="81" spans="1:21" ht="19.899999999999999" customHeight="1" x14ac:dyDescent="0.25">
      <c r="A81" s="373" t="s">
        <v>324</v>
      </c>
      <c r="B81" s="374">
        <v>450000</v>
      </c>
      <c r="C81" s="301">
        <v>0</v>
      </c>
      <c r="D81" s="375">
        <v>0</v>
      </c>
      <c r="E81" s="306">
        <v>450000</v>
      </c>
      <c r="F81" s="305">
        <v>450000</v>
      </c>
      <c r="G81" s="372">
        <f t="shared" si="18"/>
        <v>0</v>
      </c>
      <c r="H81" s="306">
        <v>0</v>
      </c>
      <c r="I81" s="305">
        <v>0</v>
      </c>
      <c r="J81" s="372" t="str">
        <f t="shared" si="19"/>
        <v/>
      </c>
      <c r="K81" s="306">
        <v>0</v>
      </c>
      <c r="L81" s="371" t="str">
        <f t="shared" si="20"/>
        <v/>
      </c>
      <c r="M81" s="376"/>
      <c r="N81" s="306">
        <v>450000</v>
      </c>
      <c r="O81" s="305">
        <v>450000</v>
      </c>
      <c r="P81" s="372">
        <f t="shared" si="21"/>
        <v>0</v>
      </c>
      <c r="Q81" s="306">
        <v>0</v>
      </c>
      <c r="R81" s="305">
        <v>0</v>
      </c>
      <c r="S81" s="372" t="str">
        <f t="shared" si="22"/>
        <v/>
      </c>
      <c r="T81" s="306">
        <v>0</v>
      </c>
      <c r="U81" s="372" t="str">
        <f t="shared" si="23"/>
        <v/>
      </c>
    </row>
    <row r="82" spans="1:21" ht="19.899999999999999" customHeight="1" x14ac:dyDescent="0.25">
      <c r="A82" s="373" t="s">
        <v>325</v>
      </c>
      <c r="B82" s="374">
        <v>105785538</v>
      </c>
      <c r="C82" s="301">
        <v>0</v>
      </c>
      <c r="D82" s="375">
        <v>0</v>
      </c>
      <c r="E82" s="306">
        <v>105785538</v>
      </c>
      <c r="F82" s="305">
        <v>105785538</v>
      </c>
      <c r="G82" s="372">
        <f t="shared" si="18"/>
        <v>0</v>
      </c>
      <c r="H82" s="306">
        <v>0</v>
      </c>
      <c r="I82" s="305">
        <v>0</v>
      </c>
      <c r="J82" s="372" t="str">
        <f t="shared" si="19"/>
        <v/>
      </c>
      <c r="K82" s="306">
        <v>0</v>
      </c>
      <c r="L82" s="371" t="str">
        <f t="shared" si="20"/>
        <v/>
      </c>
      <c r="M82" s="376"/>
      <c r="N82" s="306">
        <v>105785538</v>
      </c>
      <c r="O82" s="305">
        <v>105785538</v>
      </c>
      <c r="P82" s="372">
        <f t="shared" si="21"/>
        <v>0</v>
      </c>
      <c r="Q82" s="306">
        <v>0</v>
      </c>
      <c r="R82" s="305">
        <v>0</v>
      </c>
      <c r="S82" s="372" t="str">
        <f t="shared" si="22"/>
        <v/>
      </c>
      <c r="T82" s="306">
        <v>0</v>
      </c>
      <c r="U82" s="372" t="str">
        <f t="shared" si="23"/>
        <v/>
      </c>
    </row>
    <row r="83" spans="1:21" ht="19.899999999999999" customHeight="1" x14ac:dyDescent="0.25">
      <c r="A83" s="373" t="s">
        <v>326</v>
      </c>
      <c r="B83" s="374">
        <v>50000</v>
      </c>
      <c r="C83" s="301">
        <v>0</v>
      </c>
      <c r="D83" s="375">
        <v>0</v>
      </c>
      <c r="E83" s="306">
        <v>50000</v>
      </c>
      <c r="F83" s="305">
        <v>50000</v>
      </c>
      <c r="G83" s="372">
        <f t="shared" si="18"/>
        <v>0</v>
      </c>
      <c r="H83" s="306">
        <v>0</v>
      </c>
      <c r="I83" s="305">
        <v>0</v>
      </c>
      <c r="J83" s="372" t="str">
        <f t="shared" si="19"/>
        <v/>
      </c>
      <c r="K83" s="306">
        <v>0</v>
      </c>
      <c r="L83" s="371" t="str">
        <f t="shared" si="20"/>
        <v/>
      </c>
      <c r="M83" s="376"/>
      <c r="N83" s="306">
        <v>50000</v>
      </c>
      <c r="O83" s="305">
        <v>50000</v>
      </c>
      <c r="P83" s="372">
        <f t="shared" si="21"/>
        <v>0</v>
      </c>
      <c r="Q83" s="306">
        <v>0</v>
      </c>
      <c r="R83" s="305">
        <v>0</v>
      </c>
      <c r="S83" s="372" t="str">
        <f t="shared" si="22"/>
        <v/>
      </c>
      <c r="T83" s="306">
        <v>0</v>
      </c>
      <c r="U83" s="372" t="str">
        <f t="shared" si="23"/>
        <v/>
      </c>
    </row>
    <row r="84" spans="1:21" ht="19.899999999999999" customHeight="1" x14ac:dyDescent="0.25">
      <c r="A84" s="373" t="s">
        <v>327</v>
      </c>
      <c r="B84" s="374">
        <v>400000</v>
      </c>
      <c r="C84" s="301">
        <v>0</v>
      </c>
      <c r="D84" s="375">
        <v>0</v>
      </c>
      <c r="E84" s="306">
        <v>400000</v>
      </c>
      <c r="F84" s="305">
        <v>400000</v>
      </c>
      <c r="G84" s="372">
        <f t="shared" si="18"/>
        <v>0</v>
      </c>
      <c r="H84" s="306">
        <v>0</v>
      </c>
      <c r="I84" s="305">
        <v>0</v>
      </c>
      <c r="J84" s="372" t="str">
        <f t="shared" si="19"/>
        <v/>
      </c>
      <c r="K84" s="306">
        <v>0</v>
      </c>
      <c r="L84" s="371" t="str">
        <f t="shared" si="20"/>
        <v/>
      </c>
      <c r="M84" s="376"/>
      <c r="N84" s="306">
        <v>400000</v>
      </c>
      <c r="O84" s="305">
        <v>400000</v>
      </c>
      <c r="P84" s="372">
        <f t="shared" si="21"/>
        <v>0</v>
      </c>
      <c r="Q84" s="306">
        <v>0</v>
      </c>
      <c r="R84" s="305">
        <v>0</v>
      </c>
      <c r="S84" s="372" t="str">
        <f t="shared" si="22"/>
        <v/>
      </c>
      <c r="T84" s="306">
        <v>0</v>
      </c>
      <c r="U84" s="372" t="str">
        <f t="shared" si="23"/>
        <v/>
      </c>
    </row>
    <row r="85" spans="1:21" ht="19.899999999999999" customHeight="1" x14ac:dyDescent="0.25">
      <c r="A85" s="373" t="s">
        <v>328</v>
      </c>
      <c r="B85" s="374">
        <v>3676240</v>
      </c>
      <c r="C85" s="301">
        <v>0</v>
      </c>
      <c r="D85" s="375">
        <v>0</v>
      </c>
      <c r="E85" s="306">
        <v>3676240</v>
      </c>
      <c r="F85" s="305">
        <v>4176240</v>
      </c>
      <c r="G85" s="372">
        <f t="shared" si="18"/>
        <v>0.13600853045503014</v>
      </c>
      <c r="H85" s="306">
        <v>0</v>
      </c>
      <c r="I85" s="305">
        <v>0</v>
      </c>
      <c r="J85" s="372" t="str">
        <f t="shared" si="19"/>
        <v/>
      </c>
      <c r="K85" s="306">
        <v>0</v>
      </c>
      <c r="L85" s="371" t="str">
        <f t="shared" si="20"/>
        <v/>
      </c>
      <c r="M85" s="376"/>
      <c r="N85" s="306">
        <v>3676240</v>
      </c>
      <c r="O85" s="305">
        <v>4176240</v>
      </c>
      <c r="P85" s="372">
        <f t="shared" si="21"/>
        <v>0.13600853045503014</v>
      </c>
      <c r="Q85" s="306">
        <v>0</v>
      </c>
      <c r="R85" s="305">
        <v>0</v>
      </c>
      <c r="S85" s="372" t="str">
        <f t="shared" si="22"/>
        <v/>
      </c>
      <c r="T85" s="306">
        <v>0</v>
      </c>
      <c r="U85" s="372" t="str">
        <f t="shared" si="23"/>
        <v/>
      </c>
    </row>
    <row r="86" spans="1:21" ht="19.899999999999999" customHeight="1" x14ac:dyDescent="0.25">
      <c r="A86" s="373" t="s">
        <v>329</v>
      </c>
      <c r="B86" s="374">
        <v>7579858</v>
      </c>
      <c r="C86" s="301">
        <v>0</v>
      </c>
      <c r="D86" s="375">
        <v>0</v>
      </c>
      <c r="E86" s="306">
        <v>7579858</v>
      </c>
      <c r="F86" s="305">
        <v>7579858</v>
      </c>
      <c r="G86" s="372">
        <f t="shared" si="18"/>
        <v>0</v>
      </c>
      <c r="H86" s="306">
        <v>0</v>
      </c>
      <c r="I86" s="305">
        <v>0</v>
      </c>
      <c r="J86" s="372" t="str">
        <f t="shared" si="19"/>
        <v/>
      </c>
      <c r="K86" s="306">
        <v>0</v>
      </c>
      <c r="L86" s="371" t="str">
        <f t="shared" si="20"/>
        <v/>
      </c>
      <c r="M86" s="376"/>
      <c r="N86" s="306">
        <v>7579858</v>
      </c>
      <c r="O86" s="305">
        <v>7579858</v>
      </c>
      <c r="P86" s="372">
        <f t="shared" si="21"/>
        <v>0</v>
      </c>
      <c r="Q86" s="306">
        <v>0</v>
      </c>
      <c r="R86" s="305">
        <v>0</v>
      </c>
      <c r="S86" s="372" t="str">
        <f t="shared" si="22"/>
        <v/>
      </c>
      <c r="T86" s="306">
        <v>0</v>
      </c>
      <c r="U86" s="372" t="str">
        <f t="shared" si="23"/>
        <v/>
      </c>
    </row>
    <row r="87" spans="1:21" ht="19.899999999999999" customHeight="1" x14ac:dyDescent="0.25">
      <c r="A87" s="373" t="s">
        <v>330</v>
      </c>
      <c r="B87" s="374">
        <v>2000000</v>
      </c>
      <c r="C87" s="301">
        <v>0</v>
      </c>
      <c r="D87" s="375">
        <v>0</v>
      </c>
      <c r="E87" s="306">
        <v>2000000</v>
      </c>
      <c r="F87" s="305">
        <v>820000</v>
      </c>
      <c r="G87" s="372">
        <f t="shared" si="18"/>
        <v>-0.59</v>
      </c>
      <c r="H87" s="306">
        <v>0</v>
      </c>
      <c r="I87" s="305">
        <v>0</v>
      </c>
      <c r="J87" s="372" t="str">
        <f t="shared" si="19"/>
        <v/>
      </c>
      <c r="K87" s="306">
        <v>0</v>
      </c>
      <c r="L87" s="371" t="str">
        <f t="shared" si="20"/>
        <v/>
      </c>
      <c r="M87" s="376"/>
      <c r="N87" s="306">
        <v>2000000</v>
      </c>
      <c r="O87" s="305">
        <v>820000</v>
      </c>
      <c r="P87" s="372">
        <f t="shared" si="21"/>
        <v>-0.59</v>
      </c>
      <c r="Q87" s="306">
        <v>0</v>
      </c>
      <c r="R87" s="305">
        <v>0</v>
      </c>
      <c r="S87" s="372" t="str">
        <f t="shared" si="22"/>
        <v/>
      </c>
      <c r="T87" s="306">
        <v>0</v>
      </c>
      <c r="U87" s="372" t="str">
        <f t="shared" si="23"/>
        <v/>
      </c>
    </row>
    <row r="88" spans="1:21" ht="19.899999999999999" customHeight="1" thickBot="1" x14ac:dyDescent="0.3">
      <c r="A88" s="373" t="s">
        <v>331</v>
      </c>
      <c r="B88" s="374">
        <v>28701041</v>
      </c>
      <c r="C88" s="301">
        <v>0</v>
      </c>
      <c r="D88" s="375">
        <v>0</v>
      </c>
      <c r="E88" s="306">
        <v>28701041</v>
      </c>
      <c r="F88" s="305">
        <v>28701041</v>
      </c>
      <c r="G88" s="372">
        <f t="shared" si="18"/>
        <v>0</v>
      </c>
      <c r="H88" s="306">
        <v>0</v>
      </c>
      <c r="I88" s="305">
        <v>0</v>
      </c>
      <c r="J88" s="372" t="str">
        <f t="shared" si="19"/>
        <v/>
      </c>
      <c r="K88" s="306">
        <v>0</v>
      </c>
      <c r="L88" s="371" t="str">
        <f t="shared" si="20"/>
        <v/>
      </c>
      <c r="M88" s="376"/>
      <c r="N88" s="306">
        <v>28701041</v>
      </c>
      <c r="O88" s="305">
        <v>28701041</v>
      </c>
      <c r="P88" s="372">
        <f t="shared" si="21"/>
        <v>0</v>
      </c>
      <c r="Q88" s="306">
        <v>0</v>
      </c>
      <c r="R88" s="305">
        <v>0</v>
      </c>
      <c r="S88" s="372" t="str">
        <f t="shared" si="22"/>
        <v/>
      </c>
      <c r="T88" s="306">
        <v>0</v>
      </c>
      <c r="U88" s="372" t="str">
        <f t="shared" si="23"/>
        <v/>
      </c>
    </row>
    <row r="89" spans="1:21" ht="19.899999999999999" customHeight="1" thickTop="1" thickBot="1" x14ac:dyDescent="0.3">
      <c r="A89" s="373" t="s">
        <v>332</v>
      </c>
      <c r="B89" s="374">
        <v>0</v>
      </c>
      <c r="C89" s="301">
        <v>0</v>
      </c>
      <c r="D89" s="375">
        <v>0</v>
      </c>
      <c r="E89" s="306">
        <v>9000000</v>
      </c>
      <c r="F89" s="305">
        <v>0</v>
      </c>
      <c r="G89" s="372" t="str">
        <f t="shared" si="18"/>
        <v/>
      </c>
      <c r="H89" s="306">
        <v>0</v>
      </c>
      <c r="I89" s="305">
        <v>0</v>
      </c>
      <c r="J89" s="372" t="str">
        <f t="shared" si="19"/>
        <v/>
      </c>
      <c r="K89" s="306">
        <v>0</v>
      </c>
      <c r="L89" s="371" t="str">
        <f t="shared" si="20"/>
        <v/>
      </c>
      <c r="M89" s="376"/>
      <c r="N89" s="306">
        <v>9000000</v>
      </c>
      <c r="O89" s="305">
        <v>0</v>
      </c>
      <c r="P89" s="372" t="str">
        <f t="shared" si="21"/>
        <v/>
      </c>
      <c r="Q89" s="306">
        <v>0</v>
      </c>
      <c r="R89" s="305">
        <v>0</v>
      </c>
      <c r="S89" s="372" t="str">
        <f t="shared" si="22"/>
        <v/>
      </c>
      <c r="T89" s="306">
        <v>0</v>
      </c>
      <c r="U89" s="372" t="str">
        <f t="shared" si="23"/>
        <v/>
      </c>
    </row>
    <row r="90" spans="1:21" x14ac:dyDescent="0.25">
      <c r="A90" s="308" t="s">
        <v>333</v>
      </c>
      <c r="B90" s="377">
        <f>SUM(B77:B89)</f>
        <v>311211259</v>
      </c>
      <c r="C90" s="312">
        <f>SUM(C77:C89)</f>
        <v>0</v>
      </c>
      <c r="D90" s="378">
        <f>SUM(D77:D89)</f>
        <v>0</v>
      </c>
      <c r="E90" s="313">
        <f>SUM(E77:E89)</f>
        <v>320154263</v>
      </c>
      <c r="F90" s="311">
        <f>SUM(F77:F89)</f>
        <v>364546684</v>
      </c>
      <c r="G90" s="379">
        <f t="shared" si="18"/>
        <v>0.17138012670679115</v>
      </c>
      <c r="H90" s="313">
        <f>SUM(H77:H89)</f>
        <v>0</v>
      </c>
      <c r="I90" s="311">
        <f>SUM(I77:I89)</f>
        <v>0</v>
      </c>
      <c r="J90" s="379" t="str">
        <f t="shared" si="19"/>
        <v/>
      </c>
      <c r="K90" s="378">
        <f>SUM(K77:K89)</f>
        <v>0</v>
      </c>
      <c r="L90" s="380" t="str">
        <f t="shared" si="20"/>
        <v/>
      </c>
      <c r="M90" s="42"/>
      <c r="N90" s="313">
        <f>SUM(N77:N89)</f>
        <v>320154263</v>
      </c>
      <c r="O90" s="311">
        <f>SUM(O77:O89)</f>
        <v>350252108</v>
      </c>
      <c r="P90" s="379">
        <f t="shared" si="21"/>
        <v>0.12544806099062117</v>
      </c>
      <c r="Q90" s="313">
        <f>SUM(Q77:Q89)</f>
        <v>0</v>
      </c>
      <c r="R90" s="311">
        <f>SUM(R77:R89)</f>
        <v>0</v>
      </c>
      <c r="S90" s="379" t="str">
        <f t="shared" si="22"/>
        <v/>
      </c>
      <c r="T90" s="378">
        <f>SUM(T77:T89)</f>
        <v>0</v>
      </c>
      <c r="U90" s="379" t="str">
        <f t="shared" si="23"/>
        <v/>
      </c>
    </row>
    <row r="91" spans="1:21" x14ac:dyDescent="0.25">
      <c r="A91" s="290" t="s">
        <v>334</v>
      </c>
      <c r="B91" s="367"/>
      <c r="C91" s="292"/>
      <c r="D91" s="291"/>
      <c r="E91" s="293"/>
      <c r="F91" s="291"/>
      <c r="G91" s="292"/>
      <c r="H91" s="293"/>
      <c r="I91" s="291"/>
      <c r="J91" s="292"/>
      <c r="K91" s="291"/>
      <c r="L91" s="291"/>
      <c r="M91" s="368"/>
      <c r="N91" s="293"/>
      <c r="O91" s="291"/>
      <c r="P91" s="292"/>
      <c r="Q91" s="293"/>
      <c r="R91" s="291"/>
      <c r="S91" s="292"/>
      <c r="T91" s="291"/>
      <c r="U91" s="292"/>
    </row>
    <row r="92" spans="1:21" ht="19.899999999999999" customHeight="1" x14ac:dyDescent="0.25">
      <c r="A92" s="369" t="s">
        <v>335</v>
      </c>
      <c r="B92" s="370">
        <v>0</v>
      </c>
      <c r="C92" s="298">
        <v>0</v>
      </c>
      <c r="D92" s="9">
        <v>20000</v>
      </c>
      <c r="E92" s="299">
        <v>0</v>
      </c>
      <c r="F92" s="297">
        <v>0</v>
      </c>
      <c r="G92" s="24" t="str">
        <f t="shared" ref="G92:G101" si="24">IF($B92 &gt; 0, (F92-$B92)/$B92, "")</f>
        <v/>
      </c>
      <c r="H92" s="299">
        <v>0</v>
      </c>
      <c r="I92" s="297">
        <v>0</v>
      </c>
      <c r="J92" s="24" t="str">
        <f t="shared" ref="J92:J101" si="25">IF($C92 &gt; 0, (I92-$C92)/$C92, "")</f>
        <v/>
      </c>
      <c r="K92" s="299">
        <v>20000</v>
      </c>
      <c r="L92" s="371">
        <f t="shared" ref="L92:L101" si="26">IF($D92 &gt; 0, (K92-$D92)/$D92, "")</f>
        <v>0</v>
      </c>
      <c r="M92" s="25"/>
      <c r="N92" s="299">
        <v>0</v>
      </c>
      <c r="O92" s="297">
        <v>0</v>
      </c>
      <c r="P92" s="24" t="str">
        <f t="shared" ref="P92:P101" si="27">IF($B92 &gt; 0, (O92-$B92)/$B92, "")</f>
        <v/>
      </c>
      <c r="Q92" s="299">
        <v>0</v>
      </c>
      <c r="R92" s="297">
        <v>0</v>
      </c>
      <c r="S92" s="24" t="str">
        <f t="shared" ref="S92:S101" si="28">IF($C92 &gt; 0, (R92-$C92)/$C92, "")</f>
        <v/>
      </c>
      <c r="T92" s="299">
        <v>20000</v>
      </c>
      <c r="U92" s="372">
        <f t="shared" ref="U92:U101" si="29">IF($D92 &gt; 0, (T92-$D92)/$D92, "")</f>
        <v>0</v>
      </c>
    </row>
    <row r="93" spans="1:21" ht="19.899999999999999" customHeight="1" x14ac:dyDescent="0.25">
      <c r="A93" s="373" t="s">
        <v>334</v>
      </c>
      <c r="B93" s="374">
        <v>3001737</v>
      </c>
      <c r="C93" s="301">
        <v>0</v>
      </c>
      <c r="D93" s="375">
        <v>0</v>
      </c>
      <c r="E93" s="306">
        <v>2911685</v>
      </c>
      <c r="F93" s="305">
        <v>3072532</v>
      </c>
      <c r="G93" s="372">
        <f t="shared" si="24"/>
        <v>2.3584677804884307E-2</v>
      </c>
      <c r="H93" s="306">
        <v>0</v>
      </c>
      <c r="I93" s="305">
        <v>0</v>
      </c>
      <c r="J93" s="372" t="str">
        <f t="shared" si="25"/>
        <v/>
      </c>
      <c r="K93" s="306">
        <v>0</v>
      </c>
      <c r="L93" s="371" t="str">
        <f t="shared" si="26"/>
        <v/>
      </c>
      <c r="M93" s="376"/>
      <c r="N93" s="306">
        <v>2911685</v>
      </c>
      <c r="O93" s="305">
        <v>3001737</v>
      </c>
      <c r="P93" s="372">
        <f t="shared" si="27"/>
        <v>0</v>
      </c>
      <c r="Q93" s="306">
        <v>0</v>
      </c>
      <c r="R93" s="305">
        <v>0</v>
      </c>
      <c r="S93" s="372" t="str">
        <f t="shared" si="28"/>
        <v/>
      </c>
      <c r="T93" s="306">
        <v>0</v>
      </c>
      <c r="U93" s="372" t="str">
        <f t="shared" si="29"/>
        <v/>
      </c>
    </row>
    <row r="94" spans="1:21" ht="19.899999999999999" customHeight="1" x14ac:dyDescent="0.25">
      <c r="A94" s="373" t="s">
        <v>336</v>
      </c>
      <c r="B94" s="374">
        <v>725000</v>
      </c>
      <c r="C94" s="301">
        <v>0</v>
      </c>
      <c r="D94" s="375">
        <v>0</v>
      </c>
      <c r="E94" s="306">
        <v>703250</v>
      </c>
      <c r="F94" s="305">
        <v>706015</v>
      </c>
      <c r="G94" s="372">
        <f t="shared" si="24"/>
        <v>-2.6186206896551725E-2</v>
      </c>
      <c r="H94" s="306">
        <v>0</v>
      </c>
      <c r="I94" s="305">
        <v>0</v>
      </c>
      <c r="J94" s="372" t="str">
        <f t="shared" si="25"/>
        <v/>
      </c>
      <c r="K94" s="306">
        <v>0</v>
      </c>
      <c r="L94" s="371" t="str">
        <f t="shared" si="26"/>
        <v/>
      </c>
      <c r="M94" s="376"/>
      <c r="N94" s="306">
        <v>703250</v>
      </c>
      <c r="O94" s="305">
        <v>703250</v>
      </c>
      <c r="P94" s="372">
        <f t="shared" si="27"/>
        <v>-0.03</v>
      </c>
      <c r="Q94" s="306">
        <v>0</v>
      </c>
      <c r="R94" s="305">
        <v>0</v>
      </c>
      <c r="S94" s="372" t="str">
        <f t="shared" si="28"/>
        <v/>
      </c>
      <c r="T94" s="306">
        <v>0</v>
      </c>
      <c r="U94" s="372" t="str">
        <f t="shared" si="29"/>
        <v/>
      </c>
    </row>
    <row r="95" spans="1:21" ht="19.899999999999999" customHeight="1" x14ac:dyDescent="0.25">
      <c r="A95" s="373" t="s">
        <v>337</v>
      </c>
      <c r="B95" s="374">
        <v>0</v>
      </c>
      <c r="C95" s="301">
        <v>95000</v>
      </c>
      <c r="D95" s="375">
        <v>0</v>
      </c>
      <c r="E95" s="306">
        <v>0</v>
      </c>
      <c r="F95" s="305">
        <v>0</v>
      </c>
      <c r="G95" s="372" t="str">
        <f t="shared" si="24"/>
        <v/>
      </c>
      <c r="H95" s="306">
        <v>115000</v>
      </c>
      <c r="I95" s="305">
        <v>92150</v>
      </c>
      <c r="J95" s="372">
        <f t="shared" si="25"/>
        <v>-0.03</v>
      </c>
      <c r="K95" s="306">
        <v>0</v>
      </c>
      <c r="L95" s="371" t="str">
        <f t="shared" si="26"/>
        <v/>
      </c>
      <c r="M95" s="376"/>
      <c r="N95" s="306">
        <v>0</v>
      </c>
      <c r="O95" s="305">
        <v>0</v>
      </c>
      <c r="P95" s="372" t="str">
        <f t="shared" si="27"/>
        <v/>
      </c>
      <c r="Q95" s="306">
        <v>115000</v>
      </c>
      <c r="R95" s="305">
        <v>92150</v>
      </c>
      <c r="S95" s="372">
        <f t="shared" si="28"/>
        <v>-0.03</v>
      </c>
      <c r="T95" s="306">
        <v>0</v>
      </c>
      <c r="U95" s="372" t="str">
        <f t="shared" si="29"/>
        <v/>
      </c>
    </row>
    <row r="96" spans="1:21" ht="19.899999999999999" customHeight="1" x14ac:dyDescent="0.25">
      <c r="A96" s="373" t="s">
        <v>338</v>
      </c>
      <c r="B96" s="374">
        <v>0</v>
      </c>
      <c r="C96" s="301">
        <v>0</v>
      </c>
      <c r="D96" s="375">
        <v>50000</v>
      </c>
      <c r="E96" s="306">
        <v>0</v>
      </c>
      <c r="F96" s="305">
        <v>0</v>
      </c>
      <c r="G96" s="372" t="str">
        <f t="shared" si="24"/>
        <v/>
      </c>
      <c r="H96" s="306">
        <v>0</v>
      </c>
      <c r="I96" s="305">
        <v>0</v>
      </c>
      <c r="J96" s="372" t="str">
        <f t="shared" si="25"/>
        <v/>
      </c>
      <c r="K96" s="306">
        <v>50000</v>
      </c>
      <c r="L96" s="371">
        <f t="shared" si="26"/>
        <v>0</v>
      </c>
      <c r="M96" s="376"/>
      <c r="N96" s="306">
        <v>0</v>
      </c>
      <c r="O96" s="305">
        <v>0</v>
      </c>
      <c r="P96" s="372" t="str">
        <f t="shared" si="27"/>
        <v/>
      </c>
      <c r="Q96" s="306">
        <v>0</v>
      </c>
      <c r="R96" s="305">
        <v>0</v>
      </c>
      <c r="S96" s="372" t="str">
        <f t="shared" si="28"/>
        <v/>
      </c>
      <c r="T96" s="306">
        <v>50000</v>
      </c>
      <c r="U96" s="372">
        <f t="shared" si="29"/>
        <v>0</v>
      </c>
    </row>
    <row r="97" spans="1:21" ht="19.899999999999999" customHeight="1" x14ac:dyDescent="0.25">
      <c r="A97" s="373" t="s">
        <v>339</v>
      </c>
      <c r="B97" s="374">
        <v>1084317</v>
      </c>
      <c r="C97" s="301">
        <v>0</v>
      </c>
      <c r="D97" s="375">
        <v>0</v>
      </c>
      <c r="E97" s="306">
        <v>1051787</v>
      </c>
      <c r="F97" s="305">
        <v>1051787</v>
      </c>
      <c r="G97" s="372">
        <f t="shared" si="24"/>
        <v>-3.0000451897369496E-2</v>
      </c>
      <c r="H97" s="306">
        <v>0</v>
      </c>
      <c r="I97" s="305">
        <v>0</v>
      </c>
      <c r="J97" s="372" t="str">
        <f t="shared" si="25"/>
        <v/>
      </c>
      <c r="K97" s="306">
        <v>0</v>
      </c>
      <c r="L97" s="371" t="str">
        <f t="shared" si="26"/>
        <v/>
      </c>
      <c r="M97" s="376"/>
      <c r="N97" s="306">
        <v>1051787</v>
      </c>
      <c r="O97" s="305">
        <v>1051787</v>
      </c>
      <c r="P97" s="372">
        <f t="shared" si="27"/>
        <v>-3.0000451897369496E-2</v>
      </c>
      <c r="Q97" s="306">
        <v>0</v>
      </c>
      <c r="R97" s="305">
        <v>0</v>
      </c>
      <c r="S97" s="372" t="str">
        <f t="shared" si="28"/>
        <v/>
      </c>
      <c r="T97" s="306">
        <v>0</v>
      </c>
      <c r="U97" s="372" t="str">
        <f t="shared" si="29"/>
        <v/>
      </c>
    </row>
    <row r="98" spans="1:21" x14ac:dyDescent="0.25">
      <c r="A98" s="308" t="s">
        <v>340</v>
      </c>
      <c r="B98" s="377">
        <f>SUM(B92:B97)</f>
        <v>4811054</v>
      </c>
      <c r="C98" s="312">
        <f>SUM(C92:C97)</f>
        <v>95000</v>
      </c>
      <c r="D98" s="378">
        <f>SUM(D92:D97)</f>
        <v>70000</v>
      </c>
      <c r="E98" s="313">
        <f>SUM(E92:E97)</f>
        <v>4666722</v>
      </c>
      <c r="F98" s="311">
        <f>SUM(F92:F97)</f>
        <v>4830334</v>
      </c>
      <c r="G98" s="379">
        <f t="shared" si="24"/>
        <v>4.0074378712024435E-3</v>
      </c>
      <c r="H98" s="313">
        <f>SUM(H92:H97)</f>
        <v>115000</v>
      </c>
      <c r="I98" s="311">
        <f>SUM(I92:I97)</f>
        <v>92150</v>
      </c>
      <c r="J98" s="379">
        <f t="shared" si="25"/>
        <v>-0.03</v>
      </c>
      <c r="K98" s="378">
        <f>SUM(K92:K97)</f>
        <v>70000</v>
      </c>
      <c r="L98" s="380">
        <f t="shared" si="26"/>
        <v>0</v>
      </c>
      <c r="M98" s="42"/>
      <c r="N98" s="313">
        <f>SUM(N92:N97)</f>
        <v>4666722</v>
      </c>
      <c r="O98" s="311">
        <f>SUM(O92:O97)</f>
        <v>4756774</v>
      </c>
      <c r="P98" s="379">
        <f t="shared" si="27"/>
        <v>-1.128235101913219E-2</v>
      </c>
      <c r="Q98" s="313">
        <f>SUM(Q92:Q97)</f>
        <v>115000</v>
      </c>
      <c r="R98" s="311">
        <f>SUM(R92:R97)</f>
        <v>92150</v>
      </c>
      <c r="S98" s="379">
        <f t="shared" si="28"/>
        <v>-0.03</v>
      </c>
      <c r="T98" s="378">
        <f>SUM(T92:T97)</f>
        <v>70000</v>
      </c>
      <c r="U98" s="379">
        <f t="shared" si="29"/>
        <v>0</v>
      </c>
    </row>
    <row r="99" spans="1:21" x14ac:dyDescent="0.25">
      <c r="A99" s="399" t="s">
        <v>341</v>
      </c>
      <c r="B99" s="400">
        <f>SUM(B23,B37,B43,B49,B54,B58,B69)</f>
        <v>57450918</v>
      </c>
      <c r="C99" s="401">
        <f>SUM(C23,C37,C43,C49,C54,C58,C69)</f>
        <v>4846751</v>
      </c>
      <c r="D99" s="401">
        <f>SUM(D23,D37,D43,D49,D54,D58,D69)</f>
        <v>7327092</v>
      </c>
      <c r="E99" s="402">
        <f>SUM(E23,E37,E43,E49,E54,E58,E69)</f>
        <v>188385218</v>
      </c>
      <c r="F99" s="403">
        <f>SUM(F23,F37,F43,F49,F54,F58,F69)</f>
        <v>64067617</v>
      </c>
      <c r="G99" s="404">
        <f t="shared" si="24"/>
        <v>0.11517133633965605</v>
      </c>
      <c r="H99" s="402">
        <f>SUM(H23,H37,H43,H49,H54,H58,H69)</f>
        <v>4910832</v>
      </c>
      <c r="I99" s="405">
        <f>SUM(I23,I37,I43,I49,I54,I58,I69)</f>
        <v>4744137</v>
      </c>
      <c r="J99" s="406">
        <f t="shared" si="25"/>
        <v>-2.1171708635331174E-2</v>
      </c>
      <c r="K99" s="405">
        <f>SUM(K23,K37,K43,K49,K54,K58,K69)</f>
        <v>12029791</v>
      </c>
      <c r="L99" s="407">
        <f t="shared" si="26"/>
        <v>0.64182338641305448</v>
      </c>
      <c r="M99" s="60"/>
      <c r="N99" s="402">
        <f>SUM(N23,N37,N43,N49,N54,N58,N69)</f>
        <v>141766219</v>
      </c>
      <c r="O99" s="405">
        <f>SUM(O23,O37,O43,O49,O54,O58,O69)</f>
        <v>64132602</v>
      </c>
      <c r="P99" s="406">
        <f t="shared" si="27"/>
        <v>0.11630247579333719</v>
      </c>
      <c r="Q99" s="402">
        <f>SUM(Q23,Q37,Q43,Q49,Q54,Q58,Q69)</f>
        <v>4910832</v>
      </c>
      <c r="R99" s="405">
        <f>SUM(R23,R37,R43,R49,R54,R58,R69)</f>
        <v>4744137</v>
      </c>
      <c r="S99" s="406">
        <f t="shared" si="28"/>
        <v>-2.1171708635331174E-2</v>
      </c>
      <c r="T99" s="405">
        <f>SUM(T23,T37,T43,T49,T54,T58,T69)</f>
        <v>12058951</v>
      </c>
      <c r="U99" s="404">
        <f t="shared" si="29"/>
        <v>0.64580313717911553</v>
      </c>
    </row>
    <row r="100" spans="1:21" x14ac:dyDescent="0.25">
      <c r="A100" s="391" t="s">
        <v>342</v>
      </c>
      <c r="B100" s="392">
        <f>SUM(B72,B75,B90,B98)</f>
        <v>322931311</v>
      </c>
      <c r="C100" s="392">
        <f>SUM(C72,C75,C90,C98)</f>
        <v>95000</v>
      </c>
      <c r="D100" s="392">
        <f>SUM(D72,D75,D90,D98)</f>
        <v>70000</v>
      </c>
      <c r="E100" s="393">
        <f>SUM(E72,E75,E90,E98)</f>
        <v>331876735</v>
      </c>
      <c r="F100" s="394">
        <f>SUM(F72,F75,F90,F98)</f>
        <v>376327716</v>
      </c>
      <c r="G100" s="395">
        <f t="shared" si="24"/>
        <v>0.16534911041809755</v>
      </c>
      <c r="H100" s="393">
        <f>SUM(H72,H75,H90,H98)</f>
        <v>115000</v>
      </c>
      <c r="I100" s="394">
        <f>SUM(I72,I75,I90,I98)</f>
        <v>92150</v>
      </c>
      <c r="J100" s="395">
        <f t="shared" si="25"/>
        <v>-0.03</v>
      </c>
      <c r="K100" s="394">
        <f>SUM(K72,K75,K90,K98)</f>
        <v>70000</v>
      </c>
      <c r="L100" s="396">
        <f t="shared" si="26"/>
        <v>0</v>
      </c>
      <c r="M100" s="397"/>
      <c r="N100" s="393">
        <f>SUM(N72,N75,N90,N98)</f>
        <v>331980735</v>
      </c>
      <c r="O100" s="394">
        <f>SUM(O72,O75,O90,O98)</f>
        <v>362063580</v>
      </c>
      <c r="P100" s="395">
        <f t="shared" si="27"/>
        <v>0.12117830531459367</v>
      </c>
      <c r="Q100" s="393">
        <f>SUM(Q72,Q75,Q90,Q98)</f>
        <v>115000</v>
      </c>
      <c r="R100" s="394">
        <f>SUM(R72,R75,R90,R98)</f>
        <v>92150</v>
      </c>
      <c r="S100" s="395">
        <f t="shared" si="28"/>
        <v>-0.03</v>
      </c>
      <c r="T100" s="394">
        <f>SUM(T72,T75,T90,T98)</f>
        <v>70000</v>
      </c>
      <c r="U100" s="398">
        <f t="shared" si="29"/>
        <v>0</v>
      </c>
    </row>
    <row r="101" spans="1:21" x14ac:dyDescent="0.25">
      <c r="A101" s="382" t="s">
        <v>343</v>
      </c>
      <c r="B101" s="383">
        <f>SUM(B99:B100)</f>
        <v>380382229</v>
      </c>
      <c r="C101" s="383">
        <f>SUM(C99:C100)</f>
        <v>4941751</v>
      </c>
      <c r="D101" s="384">
        <f>SUM(D99:D100)</f>
        <v>7397092</v>
      </c>
      <c r="E101" s="385">
        <f>SUM(E99:E100)</f>
        <v>520261953</v>
      </c>
      <c r="F101" s="386">
        <f>SUM(F99:F100)</f>
        <v>440395333</v>
      </c>
      <c r="G101" s="387">
        <f t="shared" si="24"/>
        <v>0.15777052507886744</v>
      </c>
      <c r="H101" s="385">
        <f>SUM(H99:H100)</f>
        <v>5025832</v>
      </c>
      <c r="I101" s="386">
        <f>SUM(I99:I100)</f>
        <v>4836287</v>
      </c>
      <c r="J101" s="387">
        <f t="shared" si="25"/>
        <v>-2.1341423313315462E-2</v>
      </c>
      <c r="K101" s="385">
        <f>SUM(K99:K100)</f>
        <v>12099791</v>
      </c>
      <c r="L101" s="388">
        <f t="shared" si="26"/>
        <v>0.63574969731348485</v>
      </c>
      <c r="M101" s="42"/>
      <c r="N101" s="385">
        <f>SUM(N99:N100)</f>
        <v>473746954</v>
      </c>
      <c r="O101" s="386">
        <f>SUM(O99:O100)</f>
        <v>426196182</v>
      </c>
      <c r="P101" s="387">
        <f t="shared" si="27"/>
        <v>0.12044188583794223</v>
      </c>
      <c r="Q101" s="385">
        <f>SUM(Q99:Q100)</f>
        <v>5025832</v>
      </c>
      <c r="R101" s="386">
        <f>SUM(R99:R100)</f>
        <v>4836287</v>
      </c>
      <c r="S101" s="387">
        <f t="shared" si="28"/>
        <v>-2.1341423313315462E-2</v>
      </c>
      <c r="T101" s="389">
        <f>SUM(T99:T100)</f>
        <v>12128951</v>
      </c>
      <c r="U101" s="390">
        <f t="shared" si="29"/>
        <v>0.63969178698872475</v>
      </c>
    </row>
    <row r="103" spans="1:21" x14ac:dyDescent="0.25">
      <c r="A103" s="381" t="s">
        <v>344</v>
      </c>
    </row>
    <row r="115" spans="1:20" ht="15.75" customHeight="1" thickBo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ht="16.5" customHeight="1" thickTop="1" thickBot="1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42" spans="1:20" ht="15.75" customHeight="1" thickBot="1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ht="16.5" customHeight="1" thickTop="1" thickBot="1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69" spans="1:20" ht="15.75" customHeight="1" thickBot="1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ht="16.5" customHeight="1" thickTop="1" thickBot="1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96" spans="1:20" ht="15.75" customHeight="1" thickBot="1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ht="16.5" customHeight="1" thickTop="1" thickBot="1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ht="1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223" spans="1:20" ht="15.75" customHeight="1" thickBot="1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ht="16.5" customHeight="1" thickTop="1" thickBot="1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50" spans="1:20" ht="15.75" customHeight="1" thickBot="1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ht="16.5" customHeight="1" thickTop="1" thickBot="1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77" spans="1:20" ht="15.75" customHeight="1" thickBot="1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ht="16.5" customHeight="1" thickTop="1" thickBot="1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304" spans="1:20" ht="15.75" customHeight="1" thickBot="1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1:20" ht="16.5" customHeight="1" thickTop="1" thickBot="1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1:20" ht="21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1:20" ht="15.75" customHeight="1" thickBot="1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1:20" ht="16.5" customHeight="1" thickTop="1" thickBot="1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</row>
  </sheetData>
  <dataConsolidate/>
  <mergeCells count="13">
    <mergeCell ref="A6:A8"/>
    <mergeCell ref="B7:B8"/>
    <mergeCell ref="C7:C8"/>
    <mergeCell ref="D7:D8"/>
    <mergeCell ref="B6:D6"/>
    <mergeCell ref="E6:L6"/>
    <mergeCell ref="N6:U6"/>
    <mergeCell ref="E7:G7"/>
    <mergeCell ref="H7:J7"/>
    <mergeCell ref="K7:L7"/>
    <mergeCell ref="N7:P7"/>
    <mergeCell ref="Q7:S7"/>
    <mergeCell ref="T7:U7"/>
  </mergeCells>
  <pageMargins left="0.7" right="0.7" top="0.75" bottom="0.75" header="0.3" footer="0.3"/>
  <pageSetup scale="38" orientation="landscape" r:id="rId1"/>
  <headerFoot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3"/>
  <sheetViews>
    <sheetView zoomScale="80" zoomScaleNormal="80" workbookViewId="0"/>
  </sheetViews>
  <sheetFormatPr defaultRowHeight="15" x14ac:dyDescent="0.25"/>
  <cols>
    <col min="1" max="1" width="13.140625" style="1" customWidth="1"/>
    <col min="2" max="4" width="15.7109375" style="1" customWidth="1"/>
    <col min="5" max="5" width="9.140625" style="1" customWidth="1"/>
    <col min="6" max="6" width="1.5703125" style="1" customWidth="1"/>
    <col min="7" max="7" width="15.7109375" style="1" customWidth="1"/>
  </cols>
  <sheetData>
    <row r="1" spans="1:8" ht="15.75" customHeight="1" x14ac:dyDescent="0.25">
      <c r="A1" s="12" t="s">
        <v>345</v>
      </c>
      <c r="B1"/>
      <c r="C1"/>
      <c r="D1"/>
      <c r="E1"/>
      <c r="F1"/>
      <c r="G1"/>
    </row>
    <row r="2" spans="1:8" ht="15.75" customHeight="1" x14ac:dyDescent="0.25">
      <c r="A2" s="13" t="s">
        <v>31</v>
      </c>
      <c r="B2"/>
      <c r="C2"/>
      <c r="D2"/>
      <c r="E2"/>
      <c r="F2"/>
      <c r="G2"/>
    </row>
    <row r="3" spans="1:8" ht="15.75" customHeight="1" x14ac:dyDescent="0.25">
      <c r="A3" s="13"/>
      <c r="B3"/>
      <c r="C3"/>
      <c r="D3"/>
      <c r="E3"/>
      <c r="F3"/>
      <c r="G3"/>
    </row>
    <row r="4" spans="1:8" x14ac:dyDescent="0.25">
      <c r="A4" s="14" t="s">
        <v>346</v>
      </c>
    </row>
    <row r="5" spans="1:8" ht="15.75" customHeight="1" thickBot="1" x14ac:dyDescent="0.3">
      <c r="A5"/>
      <c r="B5"/>
      <c r="C5"/>
      <c r="D5"/>
      <c r="E5"/>
      <c r="F5"/>
      <c r="G5"/>
    </row>
    <row r="6" spans="1:8" ht="15.6" customHeight="1" thickBot="1" x14ac:dyDescent="0.3">
      <c r="A6" s="458"/>
      <c r="B6" s="452" t="s">
        <v>347</v>
      </c>
      <c r="C6" s="624" t="s">
        <v>348</v>
      </c>
      <c r="D6" s="618" t="s">
        <v>3</v>
      </c>
      <c r="E6" s="461"/>
      <c r="F6" s="408"/>
      <c r="G6" s="618" t="s">
        <v>4</v>
      </c>
      <c r="H6" s="461"/>
    </row>
    <row r="7" spans="1:8" ht="24.95" customHeight="1" x14ac:dyDescent="0.25">
      <c r="A7" s="606"/>
      <c r="B7" s="457"/>
      <c r="C7" s="708"/>
      <c r="D7" s="409" t="s">
        <v>349</v>
      </c>
      <c r="E7" s="604" t="s">
        <v>139</v>
      </c>
      <c r="F7" s="410"/>
      <c r="G7" s="409" t="s">
        <v>349</v>
      </c>
      <c r="H7" s="604" t="s">
        <v>141</v>
      </c>
    </row>
    <row r="8" spans="1:8" ht="24.95" customHeight="1" thickBot="1" x14ac:dyDescent="0.3">
      <c r="A8" s="606"/>
      <c r="B8" s="453"/>
      <c r="C8" s="625"/>
      <c r="D8" s="411">
        <v>50</v>
      </c>
      <c r="E8" s="709"/>
      <c r="F8" s="412"/>
      <c r="G8" s="411">
        <v>50</v>
      </c>
      <c r="H8" s="709"/>
    </row>
    <row r="9" spans="1:8" x14ac:dyDescent="0.25">
      <c r="A9" s="238" t="s">
        <v>50</v>
      </c>
      <c r="B9" s="63">
        <v>700500</v>
      </c>
      <c r="C9" s="153">
        <v>22876</v>
      </c>
      <c r="D9" s="66">
        <f t="shared" ref="D9:D15" si="0">ROUND($C9*D$8, 0)</f>
        <v>1143800</v>
      </c>
      <c r="E9" s="155">
        <f t="shared" ref="E9:E16" si="1">IF($B9 &gt; 0, (D9-$B9)/$B9, "")</f>
        <v>0.63283369022127056</v>
      </c>
      <c r="F9" s="271"/>
      <c r="G9" s="66">
        <f t="shared" ref="G9:G15" si="2">ROUND($C9*G$8, 0)</f>
        <v>1143800</v>
      </c>
      <c r="H9" s="155">
        <f t="shared" ref="H9:H16" si="3">IF($B9 &gt; 0, (G9-$B9)/$B9, "")</f>
        <v>0.63283369022127056</v>
      </c>
    </row>
    <row r="10" spans="1:8" x14ac:dyDescent="0.25">
      <c r="A10" s="241" t="s">
        <v>55</v>
      </c>
      <c r="B10" s="63">
        <v>159750</v>
      </c>
      <c r="C10" s="153">
        <v>4434</v>
      </c>
      <c r="D10" s="66">
        <f t="shared" si="0"/>
        <v>221700</v>
      </c>
      <c r="E10" s="155">
        <f t="shared" si="1"/>
        <v>0.38779342723004695</v>
      </c>
      <c r="F10" s="271"/>
      <c r="G10" s="66">
        <f t="shared" si="2"/>
        <v>221700</v>
      </c>
      <c r="H10" s="155">
        <f t="shared" si="3"/>
        <v>0.38779342723004695</v>
      </c>
    </row>
    <row r="11" spans="1:8" x14ac:dyDescent="0.25">
      <c r="A11" s="241" t="s">
        <v>56</v>
      </c>
      <c r="B11" s="63">
        <v>159250</v>
      </c>
      <c r="C11" s="153">
        <v>4233</v>
      </c>
      <c r="D11" s="66">
        <f t="shared" si="0"/>
        <v>211650</v>
      </c>
      <c r="E11" s="155">
        <f t="shared" si="1"/>
        <v>0.32904238618524334</v>
      </c>
      <c r="F11" s="271"/>
      <c r="G11" s="66">
        <f t="shared" si="2"/>
        <v>211650</v>
      </c>
      <c r="H11" s="155">
        <f t="shared" si="3"/>
        <v>0.32904238618524334</v>
      </c>
    </row>
    <row r="12" spans="1:8" x14ac:dyDescent="0.25">
      <c r="A12" s="241" t="s">
        <v>57</v>
      </c>
      <c r="B12" s="63">
        <v>37000</v>
      </c>
      <c r="C12" s="153">
        <v>1037</v>
      </c>
      <c r="D12" s="66">
        <f t="shared" si="0"/>
        <v>51850</v>
      </c>
      <c r="E12" s="155">
        <f t="shared" si="1"/>
        <v>0.40135135135135136</v>
      </c>
      <c r="F12" s="271"/>
      <c r="G12" s="66">
        <f t="shared" si="2"/>
        <v>51850</v>
      </c>
      <c r="H12" s="155">
        <f t="shared" si="3"/>
        <v>0.40135135135135136</v>
      </c>
    </row>
    <row r="13" spans="1:8" x14ac:dyDescent="0.25">
      <c r="A13" s="241" t="s">
        <v>58</v>
      </c>
      <c r="B13" s="63">
        <v>0</v>
      </c>
      <c r="C13" s="153">
        <v>0</v>
      </c>
      <c r="D13" s="66">
        <f t="shared" si="0"/>
        <v>0</v>
      </c>
      <c r="E13" s="155" t="str">
        <f t="shared" si="1"/>
        <v/>
      </c>
      <c r="F13" s="271"/>
      <c r="G13" s="66">
        <f t="shared" si="2"/>
        <v>0</v>
      </c>
      <c r="H13" s="155" t="str">
        <f t="shared" si="3"/>
        <v/>
      </c>
    </row>
    <row r="14" spans="1:8" x14ac:dyDescent="0.25">
      <c r="A14" s="241" t="s">
        <v>59</v>
      </c>
      <c r="B14" s="63">
        <v>355650</v>
      </c>
      <c r="C14" s="153">
        <v>10056</v>
      </c>
      <c r="D14" s="66">
        <f t="shared" si="0"/>
        <v>502800</v>
      </c>
      <c r="E14" s="155">
        <f t="shared" si="1"/>
        <v>0.41374947279628849</v>
      </c>
      <c r="F14" s="271"/>
      <c r="G14" s="66">
        <f t="shared" si="2"/>
        <v>502800</v>
      </c>
      <c r="H14" s="155">
        <f t="shared" si="3"/>
        <v>0.41374947279628849</v>
      </c>
    </row>
    <row r="15" spans="1:8" ht="15.75" customHeight="1" thickBot="1" x14ac:dyDescent="0.3">
      <c r="A15" s="241" t="s">
        <v>60</v>
      </c>
      <c r="B15" s="63">
        <v>42350</v>
      </c>
      <c r="C15" s="153">
        <v>1417</v>
      </c>
      <c r="D15" s="66">
        <f t="shared" si="0"/>
        <v>70850</v>
      </c>
      <c r="E15" s="155">
        <f t="shared" si="1"/>
        <v>0.67296340023612755</v>
      </c>
      <c r="F15" s="271"/>
      <c r="G15" s="66">
        <f t="shared" si="2"/>
        <v>70850</v>
      </c>
      <c r="H15" s="155">
        <f t="shared" si="3"/>
        <v>0.67296340023612755</v>
      </c>
    </row>
    <row r="16" spans="1:8" ht="15.75" customHeight="1" thickTop="1" x14ac:dyDescent="0.25">
      <c r="A16" s="242" t="s">
        <v>131</v>
      </c>
      <c r="B16" s="243">
        <f>SUM(B9:B15)</f>
        <v>1454500</v>
      </c>
      <c r="C16" s="413">
        <f>SUM(C9:C15)</f>
        <v>44053</v>
      </c>
      <c r="D16" s="244">
        <f>SUM(D9:D15)</f>
        <v>2202650</v>
      </c>
      <c r="E16" s="329">
        <f t="shared" si="1"/>
        <v>0.51436919903746992</v>
      </c>
      <c r="F16" s="274"/>
      <c r="G16" s="244">
        <f>SUM(G9:G15)</f>
        <v>2202650</v>
      </c>
      <c r="H16" s="329">
        <f t="shared" si="3"/>
        <v>0.51436919903746992</v>
      </c>
    </row>
    <row r="17" spans="1:8" x14ac:dyDescent="0.25">
      <c r="A17" s="249"/>
      <c r="B17" s="250"/>
      <c r="C17" s="414"/>
      <c r="D17" s="251"/>
      <c r="E17" s="276"/>
      <c r="F17" s="271"/>
      <c r="G17" s="251"/>
      <c r="H17" s="276"/>
    </row>
    <row r="18" spans="1:8" x14ac:dyDescent="0.25">
      <c r="A18" s="241" t="s">
        <v>65</v>
      </c>
      <c r="B18" s="63">
        <v>50450</v>
      </c>
      <c r="C18" s="153">
        <v>1818</v>
      </c>
      <c r="D18" s="66">
        <f>ROUND($C18*D$8, 0)</f>
        <v>90900</v>
      </c>
      <c r="E18" s="155">
        <f>IF($B18 &gt; 0, (D18-$B18)/$B18, "")</f>
        <v>0.80178394449950441</v>
      </c>
      <c r="F18" s="271"/>
      <c r="G18" s="66">
        <f>ROUND($C18*G$8, 0)</f>
        <v>90900</v>
      </c>
      <c r="H18" s="155">
        <f>IF($B18 &gt; 0, (G18-$B18)/$B18, "")</f>
        <v>0.80178394449950441</v>
      </c>
    </row>
    <row r="19" spans="1:8" x14ac:dyDescent="0.25">
      <c r="A19" s="241" t="s">
        <v>66</v>
      </c>
      <c r="B19" s="63">
        <v>48900</v>
      </c>
      <c r="C19" s="153">
        <v>2027</v>
      </c>
      <c r="D19" s="66">
        <f>ROUND($C19*D$8, 0)</f>
        <v>101350</v>
      </c>
      <c r="E19" s="155">
        <f>IF($B19 &gt; 0, (D19-$B19)/$B19, "")</f>
        <v>1.072597137014315</v>
      </c>
      <c r="F19" s="271"/>
      <c r="G19" s="66">
        <f>ROUND($C19*G$8, 0)</f>
        <v>101350</v>
      </c>
      <c r="H19" s="155">
        <f>IF($B19 &gt; 0, (G19-$B19)/$B19, "")</f>
        <v>1.072597137014315</v>
      </c>
    </row>
    <row r="20" spans="1:8" x14ac:dyDescent="0.25">
      <c r="A20" s="241" t="s">
        <v>67</v>
      </c>
      <c r="B20" s="63">
        <v>366150</v>
      </c>
      <c r="C20" s="153">
        <v>25091</v>
      </c>
      <c r="D20" s="66">
        <f>ROUND($C20*D$8, 0)</f>
        <v>1254550</v>
      </c>
      <c r="E20" s="155">
        <f>IF($B20 &gt; 0, (D20-$B20)/$B20, "")</f>
        <v>2.4263280076471392</v>
      </c>
      <c r="F20" s="271"/>
      <c r="G20" s="66">
        <f>ROUND($C20*G$8, 0)</f>
        <v>1254550</v>
      </c>
      <c r="H20" s="155">
        <f>IF($B20 &gt; 0, (G20-$B20)/$B20, "")</f>
        <v>2.4263280076471392</v>
      </c>
    </row>
    <row r="21" spans="1:8" ht="15.75" customHeight="1" thickBot="1" x14ac:dyDescent="0.3">
      <c r="A21" s="241" t="s">
        <v>68</v>
      </c>
      <c r="B21" s="63">
        <v>279200</v>
      </c>
      <c r="C21" s="153">
        <v>12404</v>
      </c>
      <c r="D21" s="66">
        <f>ROUND($C21*D$8, 0)</f>
        <v>620200</v>
      </c>
      <c r="E21" s="155">
        <f>IF($B21 &gt; 0, (D21-$B21)/$B21, "")</f>
        <v>1.2213467048710602</v>
      </c>
      <c r="F21" s="271"/>
      <c r="G21" s="66">
        <f>ROUND($C21*G$8, 0)</f>
        <v>620200</v>
      </c>
      <c r="H21" s="155">
        <f>IF($B21 &gt; 0, (G21-$B21)/$B21, "")</f>
        <v>1.2213467048710602</v>
      </c>
    </row>
    <row r="22" spans="1:8" ht="15.75" customHeight="1" thickTop="1" x14ac:dyDescent="0.25">
      <c r="A22" s="242" t="s">
        <v>132</v>
      </c>
      <c r="B22" s="243">
        <f>SUM(B18:B21)</f>
        <v>744700</v>
      </c>
      <c r="C22" s="413">
        <f>SUM(C18:C21)</f>
        <v>41340</v>
      </c>
      <c r="D22" s="244">
        <f>SUM(D18:D21)</f>
        <v>2067000</v>
      </c>
      <c r="E22" s="329">
        <f>IF($B22 &gt; 0, (D22-$B22)/$B22, "")</f>
        <v>1.7756143413455083</v>
      </c>
      <c r="F22" s="274"/>
      <c r="G22" s="244">
        <f>SUM(G18:G21)</f>
        <v>2067000</v>
      </c>
      <c r="H22" s="329">
        <f>IF($B22 &gt; 0, (G22-$B22)/$B22, "")</f>
        <v>1.7756143413455083</v>
      </c>
    </row>
    <row r="23" spans="1:8" x14ac:dyDescent="0.25">
      <c r="A23" s="249"/>
      <c r="B23" s="250"/>
      <c r="C23" s="414"/>
      <c r="D23" s="251"/>
      <c r="E23" s="276"/>
      <c r="F23" s="271"/>
      <c r="G23" s="251"/>
      <c r="H23" s="276"/>
    </row>
    <row r="24" spans="1:8" x14ac:dyDescent="0.25">
      <c r="A24" s="241" t="s">
        <v>71</v>
      </c>
      <c r="B24" s="63">
        <v>99450</v>
      </c>
      <c r="C24" s="153">
        <v>3481</v>
      </c>
      <c r="D24" s="66">
        <f>ROUND($C24*D$8, 0)</f>
        <v>174050</v>
      </c>
      <c r="E24" s="155">
        <f t="shared" ref="E24:E29" si="4">IF($B24 &gt; 0, (D24-$B24)/$B24, "")</f>
        <v>0.75012569130216189</v>
      </c>
      <c r="F24" s="271"/>
      <c r="G24" s="66">
        <f>ROUND($C24*G$8, 0)</f>
        <v>174050</v>
      </c>
      <c r="H24" s="155">
        <f t="shared" ref="H24:H29" si="5">IF($B24 &gt; 0, (G24-$B24)/$B24, "")</f>
        <v>0.75012569130216189</v>
      </c>
    </row>
    <row r="25" spans="1:8" x14ac:dyDescent="0.25">
      <c r="A25" s="241" t="s">
        <v>72</v>
      </c>
      <c r="B25" s="63">
        <v>83200</v>
      </c>
      <c r="C25" s="153">
        <v>2959</v>
      </c>
      <c r="D25" s="66">
        <f>ROUND($C25*D$8, 0)</f>
        <v>147950</v>
      </c>
      <c r="E25" s="155">
        <f t="shared" si="4"/>
        <v>0.77824519230769229</v>
      </c>
      <c r="F25" s="271"/>
      <c r="G25" s="66">
        <f>ROUND($C25*G$8, 0)</f>
        <v>147950</v>
      </c>
      <c r="H25" s="155">
        <f t="shared" si="5"/>
        <v>0.77824519230769229</v>
      </c>
    </row>
    <row r="26" spans="1:8" x14ac:dyDescent="0.25">
      <c r="A26" s="241" t="s">
        <v>73</v>
      </c>
      <c r="B26" s="63">
        <v>274100</v>
      </c>
      <c r="C26" s="153">
        <v>6409</v>
      </c>
      <c r="D26" s="66">
        <f>ROUND($C26*D$8, 0)</f>
        <v>320450</v>
      </c>
      <c r="E26" s="155">
        <f t="shared" si="4"/>
        <v>0.16909886902590296</v>
      </c>
      <c r="F26" s="271"/>
      <c r="G26" s="66">
        <f>ROUND($C26*G$8, 0)</f>
        <v>320450</v>
      </c>
      <c r="H26" s="155">
        <f t="shared" si="5"/>
        <v>0.16909886902590296</v>
      </c>
    </row>
    <row r="27" spans="1:8" x14ac:dyDescent="0.25">
      <c r="A27" s="241" t="s">
        <v>74</v>
      </c>
      <c r="B27" s="63">
        <v>1474650</v>
      </c>
      <c r="C27" s="153">
        <v>63176</v>
      </c>
      <c r="D27" s="66">
        <f>ROUND($C27*D$8, 0)</f>
        <v>3158800</v>
      </c>
      <c r="E27" s="155">
        <f t="shared" si="4"/>
        <v>1.1420676092632149</v>
      </c>
      <c r="F27" s="271"/>
      <c r="G27" s="66">
        <f>ROUND($C27*G$8, 0)</f>
        <v>3158800</v>
      </c>
      <c r="H27" s="155">
        <f t="shared" si="5"/>
        <v>1.1420676092632149</v>
      </c>
    </row>
    <row r="28" spans="1:8" ht="15.75" customHeight="1" thickBot="1" x14ac:dyDescent="0.3">
      <c r="A28" s="241" t="s">
        <v>75</v>
      </c>
      <c r="B28" s="63">
        <v>4125150</v>
      </c>
      <c r="C28" s="153">
        <v>131669</v>
      </c>
      <c r="D28" s="66">
        <f>ROUND($C28*D$8, 0)</f>
        <v>6583450</v>
      </c>
      <c r="E28" s="155">
        <f t="shared" si="4"/>
        <v>0.59592984497533419</v>
      </c>
      <c r="F28" s="271"/>
      <c r="G28" s="66">
        <f>ROUND($C28*G$8, 0)</f>
        <v>6583450</v>
      </c>
      <c r="H28" s="155">
        <f t="shared" si="5"/>
        <v>0.59592984497533419</v>
      </c>
    </row>
    <row r="29" spans="1:8" ht="15.75" customHeight="1" thickBot="1" x14ac:dyDescent="0.3">
      <c r="A29" s="314" t="s">
        <v>47</v>
      </c>
      <c r="B29" s="259">
        <f>SUM(B16,B22,B24:B28)</f>
        <v>8255750</v>
      </c>
      <c r="C29" s="415">
        <f>SUM(C16,C22,C24:C28)</f>
        <v>293087</v>
      </c>
      <c r="D29" s="102">
        <f>SUM(D16,D22,D24:D28)</f>
        <v>14654350</v>
      </c>
      <c r="E29" s="279">
        <f t="shared" si="4"/>
        <v>0.77504769403143259</v>
      </c>
      <c r="F29" s="280"/>
      <c r="G29" s="102">
        <f>SUM(G16,G22,G24:G28)</f>
        <v>14654350</v>
      </c>
      <c r="H29" s="279">
        <f t="shared" si="5"/>
        <v>0.77504769403143259</v>
      </c>
    </row>
    <row r="32" spans="1:8" x14ac:dyDescent="0.25">
      <c r="A32" s="143" t="s">
        <v>109</v>
      </c>
    </row>
    <row r="33" spans="1:9" ht="31.5" customHeight="1" x14ac:dyDescent="0.25">
      <c r="A33" s="707" t="s">
        <v>350</v>
      </c>
      <c r="B33" s="707"/>
      <c r="C33" s="707"/>
      <c r="D33" s="707"/>
      <c r="E33" s="707"/>
      <c r="F33" s="707"/>
      <c r="G33" s="707"/>
      <c r="H33" s="707"/>
      <c r="I33" s="707"/>
    </row>
  </sheetData>
  <mergeCells count="8">
    <mergeCell ref="A33:I33"/>
    <mergeCell ref="A6:A8"/>
    <mergeCell ref="B6:B8"/>
    <mergeCell ref="C6:C8"/>
    <mergeCell ref="E7:E8"/>
    <mergeCell ref="D6:E6"/>
    <mergeCell ref="G6:H6"/>
    <mergeCell ref="H7:H8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3"/>
  <sheetViews>
    <sheetView zoomScale="80" zoomScaleNormal="80" workbookViewId="0"/>
  </sheetViews>
  <sheetFormatPr defaultRowHeight="15" x14ac:dyDescent="0.25"/>
  <cols>
    <col min="1" max="1" width="25.85546875" style="1" customWidth="1"/>
    <col min="2" max="5" width="14.42578125" style="1" customWidth="1"/>
    <col min="6" max="6" width="9.140625" style="1" customWidth="1"/>
    <col min="7" max="7" width="14.42578125" style="1" customWidth="1"/>
    <col min="8" max="8" width="9.140625" style="1" customWidth="1"/>
    <col min="9" max="9" width="14.42578125" style="1" customWidth="1"/>
    <col min="10" max="10" width="9.140625" style="1" customWidth="1"/>
    <col min="11" max="11" width="1.5703125" style="1" customWidth="1"/>
    <col min="12" max="12" width="14.42578125" style="1" customWidth="1"/>
    <col min="13" max="13" width="9.140625" style="1" customWidth="1"/>
    <col min="14" max="14" width="14.42578125" style="1" customWidth="1"/>
    <col min="15" max="15" width="9.140625" style="1" customWidth="1"/>
    <col min="16" max="16" width="14.42578125" style="1" customWidth="1"/>
  </cols>
  <sheetData>
    <row r="1" spans="1:17" ht="15.75" customHeight="1" x14ac:dyDescent="0.25">
      <c r="A1" s="12" t="s">
        <v>351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7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7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7" x14ac:dyDescent="0.25">
      <c r="A4" s="14" t="s">
        <v>352</v>
      </c>
    </row>
    <row r="5" spans="1:17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7" ht="15.75" customHeight="1" thickBot="1" x14ac:dyDescent="0.3">
      <c r="A6" s="458"/>
      <c r="B6" s="705" t="s">
        <v>151</v>
      </c>
      <c r="C6" s="706"/>
      <c r="D6" s="627"/>
      <c r="E6" s="618" t="s">
        <v>3</v>
      </c>
      <c r="F6" s="686"/>
      <c r="G6" s="686"/>
      <c r="H6" s="687"/>
      <c r="I6" s="460"/>
      <c r="J6" s="461"/>
      <c r="K6" s="416"/>
      <c r="L6" s="618" t="s">
        <v>4</v>
      </c>
      <c r="M6" s="686"/>
      <c r="N6" s="686"/>
      <c r="O6" s="687"/>
      <c r="P6" s="460"/>
      <c r="Q6" s="461"/>
    </row>
    <row r="7" spans="1:17" x14ac:dyDescent="0.25">
      <c r="A7" s="606"/>
      <c r="B7" s="699" t="s">
        <v>265</v>
      </c>
      <c r="C7" s="701" t="s">
        <v>44</v>
      </c>
      <c r="D7" s="703" t="s">
        <v>45</v>
      </c>
      <c r="E7" s="688" t="s">
        <v>265</v>
      </c>
      <c r="F7" s="710"/>
      <c r="G7" s="692" t="s">
        <v>44</v>
      </c>
      <c r="H7" s="693"/>
      <c r="I7" s="711" t="s">
        <v>45</v>
      </c>
      <c r="J7" s="695"/>
      <c r="K7" s="417"/>
      <c r="L7" s="688" t="s">
        <v>265</v>
      </c>
      <c r="M7" s="710"/>
      <c r="N7" s="692" t="s">
        <v>44</v>
      </c>
      <c r="O7" s="693"/>
      <c r="P7" s="711" t="s">
        <v>45</v>
      </c>
      <c r="Q7" s="695"/>
    </row>
    <row r="8" spans="1:17" ht="45.75" customHeight="1" thickBot="1" x14ac:dyDescent="0.3">
      <c r="A8" s="606"/>
      <c r="B8" s="700"/>
      <c r="C8" s="702"/>
      <c r="D8" s="704"/>
      <c r="E8" s="358" t="s">
        <v>256</v>
      </c>
      <c r="F8" s="360" t="s">
        <v>139</v>
      </c>
      <c r="G8" s="418" t="s">
        <v>256</v>
      </c>
      <c r="H8" s="357" t="s">
        <v>139</v>
      </c>
      <c r="I8" s="363" t="s">
        <v>256</v>
      </c>
      <c r="J8" s="366" t="s">
        <v>139</v>
      </c>
      <c r="K8" s="419"/>
      <c r="L8" s="358" t="s">
        <v>256</v>
      </c>
      <c r="M8" s="360" t="s">
        <v>141</v>
      </c>
      <c r="N8" s="418" t="s">
        <v>256</v>
      </c>
      <c r="O8" s="357" t="s">
        <v>141</v>
      </c>
      <c r="P8" s="363" t="s">
        <v>256</v>
      </c>
      <c r="Q8" s="366" t="s">
        <v>141</v>
      </c>
    </row>
    <row r="9" spans="1:17" x14ac:dyDescent="0.25">
      <c r="A9" s="238" t="s">
        <v>353</v>
      </c>
      <c r="B9" s="63">
        <v>10189808</v>
      </c>
      <c r="C9" s="240">
        <v>2563260</v>
      </c>
      <c r="D9" s="420">
        <v>1500</v>
      </c>
      <c r="E9" s="322">
        <v>11093841</v>
      </c>
      <c r="F9" s="155">
        <f t="shared" ref="F9:F16" si="0">IF($B9 &gt; 0, (E9-$B9)/$B9, "")</f>
        <v>8.8719336026743589E-2</v>
      </c>
      <c r="G9" s="322">
        <v>2529151</v>
      </c>
      <c r="H9" s="155">
        <f t="shared" ref="H9:H16" si="1">IF($C9 &gt;0, (G9-$C9)/$C9, "")</f>
        <v>-1.3306882641636042E-2</v>
      </c>
      <c r="I9" s="66">
        <v>48246</v>
      </c>
      <c r="J9" s="155">
        <f t="shared" ref="J9:J16" si="2">IF($D9 &gt;0, (I9-$D9)/$D9, "")</f>
        <v>31.164000000000001</v>
      </c>
      <c r="K9" s="15"/>
      <c r="L9" s="322">
        <v>11090302</v>
      </c>
      <c r="M9" s="155">
        <f t="shared" ref="M9:M16" si="3">IF($B9 &gt; 0, (L9-$B9)/$B9, "")</f>
        <v>8.8372028207008416E-2</v>
      </c>
      <c r="N9" s="322">
        <v>2529151</v>
      </c>
      <c r="O9" s="155">
        <f t="shared" ref="O9:O16" si="4">IF($C9 &gt;0, (N9-$C9)/$C9, "")</f>
        <v>-1.3306882641636042E-2</v>
      </c>
      <c r="P9" s="66">
        <v>1500</v>
      </c>
      <c r="Q9" s="155">
        <f t="shared" ref="Q9:Q16" si="5">IF($D9 &gt;0, (P9-$D9)/$D9, "")</f>
        <v>0</v>
      </c>
    </row>
    <row r="10" spans="1:17" x14ac:dyDescent="0.25">
      <c r="A10" s="241" t="s">
        <v>354</v>
      </c>
      <c r="B10" s="63">
        <v>31943315</v>
      </c>
      <c r="C10" s="240">
        <v>0</v>
      </c>
      <c r="D10" s="420">
        <v>6477263</v>
      </c>
      <c r="E10" s="66">
        <v>33265615</v>
      </c>
      <c r="F10" s="155">
        <f t="shared" si="0"/>
        <v>4.1395202720819674E-2</v>
      </c>
      <c r="G10" s="66">
        <v>0</v>
      </c>
      <c r="H10" s="155" t="str">
        <f t="shared" si="1"/>
        <v/>
      </c>
      <c r="I10" s="66">
        <v>6567244</v>
      </c>
      <c r="J10" s="155">
        <f t="shared" si="2"/>
        <v>1.3891824370880108E-2</v>
      </c>
      <c r="K10" s="19"/>
      <c r="L10" s="66">
        <v>33265615</v>
      </c>
      <c r="M10" s="155">
        <f t="shared" si="3"/>
        <v>4.1395202720819674E-2</v>
      </c>
      <c r="N10" s="66">
        <v>0</v>
      </c>
      <c r="O10" s="155" t="str">
        <f t="shared" si="4"/>
        <v/>
      </c>
      <c r="P10" s="66">
        <v>6628196</v>
      </c>
      <c r="Q10" s="155">
        <f t="shared" si="5"/>
        <v>2.330197183594367E-2</v>
      </c>
    </row>
    <row r="11" spans="1:17" x14ac:dyDescent="0.25">
      <c r="A11" s="241" t="s">
        <v>71</v>
      </c>
      <c r="B11" s="63">
        <v>6984406</v>
      </c>
      <c r="C11" s="240">
        <v>0</v>
      </c>
      <c r="D11" s="420">
        <v>0</v>
      </c>
      <c r="E11" s="66">
        <v>7121222</v>
      </c>
      <c r="F11" s="155">
        <f t="shared" si="0"/>
        <v>1.9588781064560107E-2</v>
      </c>
      <c r="G11" s="66">
        <v>0</v>
      </c>
      <c r="H11" s="155" t="str">
        <f t="shared" si="1"/>
        <v/>
      </c>
      <c r="I11" s="66">
        <v>0</v>
      </c>
      <c r="J11" s="155" t="str">
        <f t="shared" si="2"/>
        <v/>
      </c>
      <c r="K11" s="19"/>
      <c r="L11" s="66">
        <v>7189746</v>
      </c>
      <c r="M11" s="155">
        <f t="shared" si="3"/>
        <v>2.9399780024242577E-2</v>
      </c>
      <c r="N11" s="66">
        <v>0</v>
      </c>
      <c r="O11" s="155" t="str">
        <f t="shared" si="4"/>
        <v/>
      </c>
      <c r="P11" s="66">
        <v>0</v>
      </c>
      <c r="Q11" s="155" t="str">
        <f t="shared" si="5"/>
        <v/>
      </c>
    </row>
    <row r="12" spans="1:17" x14ac:dyDescent="0.25">
      <c r="A12" s="241" t="s">
        <v>72</v>
      </c>
      <c r="B12" s="63">
        <v>887200</v>
      </c>
      <c r="C12" s="240">
        <v>460245</v>
      </c>
      <c r="D12" s="420">
        <v>0</v>
      </c>
      <c r="E12" s="66">
        <v>951950</v>
      </c>
      <c r="F12" s="155">
        <f t="shared" si="0"/>
        <v>7.2982416591523894E-2</v>
      </c>
      <c r="G12" s="66">
        <v>446438</v>
      </c>
      <c r="H12" s="155">
        <f t="shared" si="1"/>
        <v>-2.9999239535464808E-2</v>
      </c>
      <c r="I12" s="66">
        <v>0</v>
      </c>
      <c r="J12" s="155" t="str">
        <f t="shared" si="2"/>
        <v/>
      </c>
      <c r="K12" s="19"/>
      <c r="L12" s="66">
        <v>951950</v>
      </c>
      <c r="M12" s="155">
        <f t="shared" si="3"/>
        <v>7.2982416591523894E-2</v>
      </c>
      <c r="N12" s="66">
        <v>446438</v>
      </c>
      <c r="O12" s="155">
        <f t="shared" si="4"/>
        <v>-2.9999239535464808E-2</v>
      </c>
      <c r="P12" s="66">
        <v>0</v>
      </c>
      <c r="Q12" s="155" t="str">
        <f t="shared" si="5"/>
        <v/>
      </c>
    </row>
    <row r="13" spans="1:17" x14ac:dyDescent="0.25">
      <c r="A13" s="241" t="s">
        <v>73</v>
      </c>
      <c r="B13" s="63">
        <v>760978</v>
      </c>
      <c r="C13" s="240">
        <v>0</v>
      </c>
      <c r="D13" s="420">
        <v>848329</v>
      </c>
      <c r="E13" s="66">
        <v>807328</v>
      </c>
      <c r="F13" s="155">
        <f t="shared" si="0"/>
        <v>6.0908462531111283E-2</v>
      </c>
      <c r="G13" s="66">
        <v>0</v>
      </c>
      <c r="H13" s="155" t="str">
        <f t="shared" si="1"/>
        <v/>
      </c>
      <c r="I13" s="66">
        <v>814301</v>
      </c>
      <c r="J13" s="155">
        <f t="shared" si="2"/>
        <v>-4.0111796248860999E-2</v>
      </c>
      <c r="K13" s="19"/>
      <c r="L13" s="66">
        <v>807328</v>
      </c>
      <c r="M13" s="155">
        <f t="shared" si="3"/>
        <v>6.0908462531111283E-2</v>
      </c>
      <c r="N13" s="66">
        <v>0</v>
      </c>
      <c r="O13" s="155" t="str">
        <f t="shared" si="4"/>
        <v/>
      </c>
      <c r="P13" s="66">
        <v>829255</v>
      </c>
      <c r="Q13" s="155">
        <f t="shared" si="5"/>
        <v>-2.2484201294544922E-2</v>
      </c>
    </row>
    <row r="14" spans="1:17" x14ac:dyDescent="0.25">
      <c r="A14" s="241" t="s">
        <v>74</v>
      </c>
      <c r="B14" s="63">
        <v>1474650</v>
      </c>
      <c r="C14" s="240">
        <v>0</v>
      </c>
      <c r="D14" s="420">
        <v>0</v>
      </c>
      <c r="E14" s="66">
        <v>3158800</v>
      </c>
      <c r="F14" s="155">
        <f t="shared" si="0"/>
        <v>1.1420676092632149</v>
      </c>
      <c r="G14" s="66">
        <v>0</v>
      </c>
      <c r="H14" s="155" t="str">
        <f t="shared" si="1"/>
        <v/>
      </c>
      <c r="I14" s="66">
        <v>4600000</v>
      </c>
      <c r="J14" s="155" t="str">
        <f t="shared" si="2"/>
        <v/>
      </c>
      <c r="K14" s="19"/>
      <c r="L14" s="66">
        <v>3158800</v>
      </c>
      <c r="M14" s="155">
        <f t="shared" si="3"/>
        <v>1.1420676092632149</v>
      </c>
      <c r="N14" s="66">
        <v>0</v>
      </c>
      <c r="O14" s="155" t="str">
        <f t="shared" si="4"/>
        <v/>
      </c>
      <c r="P14" s="66">
        <v>4600000</v>
      </c>
      <c r="Q14" s="155" t="str">
        <f t="shared" si="5"/>
        <v/>
      </c>
    </row>
    <row r="15" spans="1:17" ht="15.75" customHeight="1" thickBot="1" x14ac:dyDescent="0.3">
      <c r="A15" s="241" t="s">
        <v>75</v>
      </c>
      <c r="B15" s="63">
        <v>5210561</v>
      </c>
      <c r="C15" s="240">
        <v>1823246</v>
      </c>
      <c r="D15" s="420">
        <v>0</v>
      </c>
      <c r="E15" s="66">
        <v>7668861</v>
      </c>
      <c r="F15" s="155">
        <f t="shared" si="0"/>
        <v>0.47179180898179679</v>
      </c>
      <c r="G15" s="66">
        <v>1768548</v>
      </c>
      <c r="H15" s="155">
        <f t="shared" si="1"/>
        <v>-3.0000340052850794E-2</v>
      </c>
      <c r="I15" s="66">
        <v>0</v>
      </c>
      <c r="J15" s="155" t="str">
        <f t="shared" si="2"/>
        <v/>
      </c>
      <c r="K15" s="19"/>
      <c r="L15" s="66">
        <v>7668861</v>
      </c>
      <c r="M15" s="155">
        <f t="shared" si="3"/>
        <v>0.47179180898179679</v>
      </c>
      <c r="N15" s="66">
        <v>1768548</v>
      </c>
      <c r="O15" s="155">
        <f t="shared" si="4"/>
        <v>-3.0000340052850794E-2</v>
      </c>
      <c r="P15" s="66">
        <v>0</v>
      </c>
      <c r="Q15" s="155" t="str">
        <f t="shared" si="5"/>
        <v/>
      </c>
    </row>
    <row r="16" spans="1:17" ht="15.75" customHeight="1" thickTop="1" x14ac:dyDescent="0.25">
      <c r="A16" s="242" t="s">
        <v>355</v>
      </c>
      <c r="B16" s="243">
        <f>SUM(B9:B15)</f>
        <v>57450918</v>
      </c>
      <c r="C16" s="248">
        <f>SUM(C9:C15)</f>
        <v>4846751</v>
      </c>
      <c r="D16" s="421">
        <f>SUM(D9:D15)</f>
        <v>7327092</v>
      </c>
      <c r="E16" s="244">
        <f>SUM(E9:E15)</f>
        <v>64067617</v>
      </c>
      <c r="F16" s="329">
        <f t="shared" si="0"/>
        <v>0.11517133633965605</v>
      </c>
      <c r="G16" s="244">
        <f>SUM(G9:G15)</f>
        <v>4744137</v>
      </c>
      <c r="H16" s="329">
        <f t="shared" si="1"/>
        <v>-2.1171708635331174E-2</v>
      </c>
      <c r="I16" s="244">
        <f>SUM(I9:I15)</f>
        <v>12029791</v>
      </c>
      <c r="J16" s="329">
        <f t="shared" si="2"/>
        <v>0.64182338641305448</v>
      </c>
      <c r="K16" s="19"/>
      <c r="L16" s="244">
        <f>SUM(L9:L15)</f>
        <v>64132602</v>
      </c>
      <c r="M16" s="329">
        <f t="shared" si="3"/>
        <v>0.11630247579333719</v>
      </c>
      <c r="N16" s="244">
        <f>SUM(N9:N15)</f>
        <v>4744137</v>
      </c>
      <c r="O16" s="329">
        <f t="shared" si="4"/>
        <v>-2.1171708635331174E-2</v>
      </c>
      <c r="P16" s="244">
        <f>SUM(P9:P15)</f>
        <v>12058951</v>
      </c>
      <c r="Q16" s="329">
        <f t="shared" si="5"/>
        <v>0.64580313717911553</v>
      </c>
    </row>
    <row r="17" spans="1:17" x14ac:dyDescent="0.25">
      <c r="A17" s="249"/>
      <c r="B17" s="250"/>
      <c r="C17" s="255"/>
      <c r="D17" s="422"/>
      <c r="E17" s="251"/>
      <c r="F17" s="276"/>
      <c r="G17" s="251"/>
      <c r="H17" s="276"/>
      <c r="I17" s="251"/>
      <c r="J17" s="276"/>
      <c r="K17" s="19"/>
      <c r="L17" s="251"/>
      <c r="M17" s="276"/>
      <c r="N17" s="251"/>
      <c r="O17" s="276"/>
      <c r="P17" s="251"/>
      <c r="Q17" s="276"/>
    </row>
    <row r="18" spans="1:17" x14ac:dyDescent="0.25">
      <c r="A18" s="241" t="s">
        <v>77</v>
      </c>
      <c r="B18" s="63">
        <v>4999000</v>
      </c>
      <c r="C18" s="240">
        <v>0</v>
      </c>
      <c r="D18" s="420">
        <v>0</v>
      </c>
      <c r="E18" s="66">
        <v>5098000</v>
      </c>
      <c r="F18" s="155">
        <f t="shared" ref="F18:F23" si="6">IF($B18 &gt; 0, (E18-$B18)/$B18, "")</f>
        <v>1.9803960792158432E-2</v>
      </c>
      <c r="G18" s="66">
        <v>0</v>
      </c>
      <c r="H18" s="155" t="str">
        <f t="shared" ref="H18:H23" si="7">IF($C18 &gt;0, (G18-$C18)/$C18, "")</f>
        <v/>
      </c>
      <c r="I18" s="66">
        <v>0</v>
      </c>
      <c r="J18" s="155" t="str">
        <f t="shared" ref="J18:J23" si="8">IF($D18 &gt;0, (I18-$D18)/$D18, "")</f>
        <v/>
      </c>
      <c r="K18" s="19"/>
      <c r="L18" s="66">
        <v>5202000</v>
      </c>
      <c r="M18" s="155">
        <f t="shared" ref="M18:M23" si="9">IF($B18 &gt; 0, (L18-$B18)/$B18, "")</f>
        <v>4.0608121624324867E-2</v>
      </c>
      <c r="N18" s="66">
        <v>0</v>
      </c>
      <c r="O18" s="155" t="str">
        <f t="shared" ref="O18:O23" si="10">IF($C18 &gt;0, (N18-$C18)/$C18, "")</f>
        <v/>
      </c>
      <c r="P18" s="66">
        <v>0</v>
      </c>
      <c r="Q18" s="155" t="str">
        <f t="shared" ref="Q18:Q23" si="11">IF($D18 &gt;0, (P18-$D18)/$D18, "")</f>
        <v/>
      </c>
    </row>
    <row r="19" spans="1:17" x14ac:dyDescent="0.25">
      <c r="A19" s="241" t="s">
        <v>356</v>
      </c>
      <c r="B19" s="63">
        <v>1909998</v>
      </c>
      <c r="C19" s="240">
        <v>0</v>
      </c>
      <c r="D19" s="420">
        <v>0</v>
      </c>
      <c r="E19" s="66">
        <v>1852698</v>
      </c>
      <c r="F19" s="155">
        <f t="shared" si="6"/>
        <v>-3.0000031413645458E-2</v>
      </c>
      <c r="G19" s="66">
        <v>0</v>
      </c>
      <c r="H19" s="155" t="str">
        <f t="shared" si="7"/>
        <v/>
      </c>
      <c r="I19" s="66">
        <v>0</v>
      </c>
      <c r="J19" s="155" t="str">
        <f t="shared" si="8"/>
        <v/>
      </c>
      <c r="K19" s="19"/>
      <c r="L19" s="66">
        <v>1852698</v>
      </c>
      <c r="M19" s="155">
        <f t="shared" si="9"/>
        <v>-3.0000031413645458E-2</v>
      </c>
      <c r="N19" s="66">
        <v>0</v>
      </c>
      <c r="O19" s="155" t="str">
        <f t="shared" si="10"/>
        <v/>
      </c>
      <c r="P19" s="66">
        <v>0</v>
      </c>
      <c r="Q19" s="155" t="str">
        <f t="shared" si="11"/>
        <v/>
      </c>
    </row>
    <row r="20" spans="1:17" x14ac:dyDescent="0.25">
      <c r="A20" s="241" t="s">
        <v>79</v>
      </c>
      <c r="B20" s="63">
        <v>311211259</v>
      </c>
      <c r="C20" s="240">
        <v>0</v>
      </c>
      <c r="D20" s="420">
        <v>0</v>
      </c>
      <c r="E20" s="66">
        <v>364546684</v>
      </c>
      <c r="F20" s="155">
        <f t="shared" si="6"/>
        <v>0.17138012670679115</v>
      </c>
      <c r="G20" s="66">
        <v>0</v>
      </c>
      <c r="H20" s="155" t="str">
        <f t="shared" si="7"/>
        <v/>
      </c>
      <c r="I20" s="66">
        <v>0</v>
      </c>
      <c r="J20" s="155" t="str">
        <f t="shared" si="8"/>
        <v/>
      </c>
      <c r="K20" s="19"/>
      <c r="L20" s="66">
        <v>350252108</v>
      </c>
      <c r="M20" s="155">
        <f t="shared" si="9"/>
        <v>0.12544806099062117</v>
      </c>
      <c r="N20" s="66">
        <v>0</v>
      </c>
      <c r="O20" s="155" t="str">
        <f t="shared" si="10"/>
        <v/>
      </c>
      <c r="P20" s="66">
        <v>0</v>
      </c>
      <c r="Q20" s="155" t="str">
        <f t="shared" si="11"/>
        <v/>
      </c>
    </row>
    <row r="21" spans="1:17" ht="15.75" customHeight="1" thickBot="1" x14ac:dyDescent="0.3">
      <c r="A21" s="241" t="s">
        <v>80</v>
      </c>
      <c r="B21" s="63">
        <v>4811054</v>
      </c>
      <c r="C21" s="240">
        <v>95000</v>
      </c>
      <c r="D21" s="420">
        <v>70000</v>
      </c>
      <c r="E21" s="66">
        <v>4830334</v>
      </c>
      <c r="F21" s="155">
        <f t="shared" si="6"/>
        <v>4.0074378712024435E-3</v>
      </c>
      <c r="G21" s="66">
        <v>92150</v>
      </c>
      <c r="H21" s="155">
        <f t="shared" si="7"/>
        <v>-0.03</v>
      </c>
      <c r="I21" s="66">
        <v>70000</v>
      </c>
      <c r="J21" s="155">
        <f t="shared" si="8"/>
        <v>0</v>
      </c>
      <c r="K21" s="19"/>
      <c r="L21" s="66">
        <v>4756774</v>
      </c>
      <c r="M21" s="155">
        <f t="shared" si="9"/>
        <v>-1.128235101913219E-2</v>
      </c>
      <c r="N21" s="66">
        <v>92150</v>
      </c>
      <c r="O21" s="155">
        <f t="shared" si="10"/>
        <v>-0.03</v>
      </c>
      <c r="P21" s="66">
        <v>70000</v>
      </c>
      <c r="Q21" s="155">
        <f t="shared" si="11"/>
        <v>0</v>
      </c>
    </row>
    <row r="22" spans="1:17" ht="16.5" customHeight="1" thickTop="1" thickBot="1" x14ac:dyDescent="0.3">
      <c r="A22" s="423" t="s">
        <v>357</v>
      </c>
      <c r="B22" s="424">
        <f>SUM(B18:B21)</f>
        <v>322931311</v>
      </c>
      <c r="C22" s="425">
        <f>SUM(C18:C21)</f>
        <v>95000</v>
      </c>
      <c r="D22" s="426">
        <f>SUM(D18:D21)</f>
        <v>70000</v>
      </c>
      <c r="E22" s="427">
        <f>SUM(E18:E21)</f>
        <v>376327716</v>
      </c>
      <c r="F22" s="160">
        <f t="shared" si="6"/>
        <v>0.16534911041809755</v>
      </c>
      <c r="G22" s="427">
        <f>SUM(G18:G21)</f>
        <v>92150</v>
      </c>
      <c r="H22" s="160">
        <f t="shared" si="7"/>
        <v>-0.03</v>
      </c>
      <c r="I22" s="427">
        <f>SUM(I18:I21)</f>
        <v>70000</v>
      </c>
      <c r="J22" s="428">
        <f t="shared" si="8"/>
        <v>0</v>
      </c>
      <c r="K22" s="19"/>
      <c r="L22" s="427">
        <f>SUM(L18:L21)</f>
        <v>362063580</v>
      </c>
      <c r="M22" s="160">
        <f t="shared" si="9"/>
        <v>0.12117830531459367</v>
      </c>
      <c r="N22" s="427">
        <f>SUM(N18:N21)</f>
        <v>92150</v>
      </c>
      <c r="O22" s="160">
        <f t="shared" si="10"/>
        <v>-0.03</v>
      </c>
      <c r="P22" s="427">
        <f>SUM(P18:P21)</f>
        <v>70000</v>
      </c>
      <c r="Q22" s="428">
        <f t="shared" si="11"/>
        <v>0</v>
      </c>
    </row>
    <row r="23" spans="1:17" ht="15.75" customHeight="1" thickBot="1" x14ac:dyDescent="0.3">
      <c r="A23" s="314" t="s">
        <v>47</v>
      </c>
      <c r="B23" s="259">
        <f>SUM(B16,B22)</f>
        <v>380382229</v>
      </c>
      <c r="C23" s="278">
        <f>SUM(C16,C22)</f>
        <v>4941751</v>
      </c>
      <c r="D23" s="429">
        <f>SUM(D16,D22)</f>
        <v>7397092</v>
      </c>
      <c r="E23" s="102">
        <f>SUM(E16,E22)</f>
        <v>440395333</v>
      </c>
      <c r="F23" s="279">
        <f t="shared" si="6"/>
        <v>0.15777052507886744</v>
      </c>
      <c r="G23" s="102">
        <f>SUM(G16,G22)</f>
        <v>4836287</v>
      </c>
      <c r="H23" s="279">
        <f t="shared" si="7"/>
        <v>-2.1341423313315462E-2</v>
      </c>
      <c r="I23" s="430">
        <f>SUM(I16,I22)</f>
        <v>12099791</v>
      </c>
      <c r="J23" s="262">
        <f t="shared" si="8"/>
        <v>0.63574969731348485</v>
      </c>
      <c r="K23" s="94"/>
      <c r="L23" s="102">
        <f>SUM(L16,L22)</f>
        <v>426196182</v>
      </c>
      <c r="M23" s="279">
        <f t="shared" si="9"/>
        <v>0.12044188583794223</v>
      </c>
      <c r="N23" s="102">
        <f>SUM(N16,N22)</f>
        <v>4836287</v>
      </c>
      <c r="O23" s="279">
        <f t="shared" si="10"/>
        <v>-2.1341423313315462E-2</v>
      </c>
      <c r="P23" s="430">
        <f>SUM(P16,P22)</f>
        <v>12128951</v>
      </c>
      <c r="Q23" s="262">
        <f t="shared" si="11"/>
        <v>0.63969178698872475</v>
      </c>
    </row>
  </sheetData>
  <mergeCells count="13">
    <mergeCell ref="A6:A8"/>
    <mergeCell ref="B7:B8"/>
    <mergeCell ref="C7:C8"/>
    <mergeCell ref="D7:D8"/>
    <mergeCell ref="B6:D6"/>
    <mergeCell ref="E6:J6"/>
    <mergeCell ref="L6:Q6"/>
    <mergeCell ref="E7:F7"/>
    <mergeCell ref="G7:H7"/>
    <mergeCell ref="I7:J7"/>
    <mergeCell ref="L7:M7"/>
    <mergeCell ref="N7:O7"/>
    <mergeCell ref="P7:Q7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29"/>
  <sheetViews>
    <sheetView zoomScale="80" zoomScaleNormal="80" workbookViewId="0"/>
  </sheetViews>
  <sheetFormatPr defaultRowHeight="15" x14ac:dyDescent="0.25"/>
  <cols>
    <col min="1" max="1" width="13.42578125" style="1" customWidth="1"/>
    <col min="2" max="2" width="14.7109375" style="1" customWidth="1"/>
    <col min="3" max="4" width="16.7109375" style="1" customWidth="1"/>
    <col min="5" max="8" width="14.7109375" style="1" customWidth="1"/>
    <col min="9" max="9" width="9.140625" style="1" customWidth="1"/>
    <col min="10" max="10" width="1.5703125" style="1" customWidth="1"/>
    <col min="11" max="11" width="14.7109375" style="1" customWidth="1"/>
  </cols>
  <sheetData>
    <row r="1" spans="1:12" ht="15.75" customHeight="1" x14ac:dyDescent="0.25">
      <c r="A1" s="12" t="s">
        <v>358</v>
      </c>
      <c r="B1"/>
      <c r="C1"/>
      <c r="D1"/>
      <c r="E1"/>
      <c r="F1"/>
      <c r="G1"/>
      <c r="H1"/>
      <c r="I1"/>
      <c r="J1"/>
      <c r="K1"/>
    </row>
    <row r="2" spans="1:12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</row>
    <row r="3" spans="1:12" ht="15.75" customHeight="1" x14ac:dyDescent="0.25">
      <c r="A3" s="13"/>
      <c r="B3"/>
      <c r="C3"/>
      <c r="D3"/>
      <c r="E3"/>
      <c r="F3"/>
      <c r="G3"/>
      <c r="H3"/>
      <c r="I3"/>
      <c r="J3"/>
      <c r="K3"/>
    </row>
    <row r="4" spans="1:12" x14ac:dyDescent="0.25">
      <c r="A4" s="14" t="s">
        <v>359</v>
      </c>
    </row>
    <row r="5" spans="1:12" ht="15.75" customHeight="1" thickBot="1" x14ac:dyDescent="0.3">
      <c r="A5"/>
      <c r="B5"/>
      <c r="C5"/>
      <c r="D5"/>
      <c r="E5"/>
      <c r="F5"/>
      <c r="G5"/>
      <c r="H5"/>
      <c r="I5"/>
      <c r="J5"/>
      <c r="K5"/>
    </row>
    <row r="6" spans="1:12" ht="15.75" customHeight="1" thickBot="1" x14ac:dyDescent="0.3">
      <c r="A6" s="458"/>
      <c r="B6" s="452" t="s">
        <v>347</v>
      </c>
      <c r="C6" s="650" t="s">
        <v>360</v>
      </c>
      <c r="D6" s="652" t="s">
        <v>361</v>
      </c>
      <c r="E6" s="716" t="s">
        <v>172</v>
      </c>
      <c r="F6" s="717"/>
      <c r="G6" s="718"/>
      <c r="H6" s="618" t="s">
        <v>3</v>
      </c>
      <c r="I6" s="461"/>
      <c r="J6" s="15"/>
      <c r="K6" s="618" t="s">
        <v>4</v>
      </c>
      <c r="L6" s="461"/>
    </row>
    <row r="7" spans="1:12" ht="21.75" customHeight="1" x14ac:dyDescent="0.25">
      <c r="A7" s="606"/>
      <c r="B7" s="457"/>
      <c r="C7" s="712"/>
      <c r="D7" s="713"/>
      <c r="E7" s="431" t="s">
        <v>362</v>
      </c>
      <c r="F7" s="432" t="s">
        <v>363</v>
      </c>
      <c r="G7" s="719" t="s">
        <v>256</v>
      </c>
      <c r="H7" s="714" t="s">
        <v>256</v>
      </c>
      <c r="I7" s="604" t="s">
        <v>139</v>
      </c>
      <c r="J7" s="19"/>
      <c r="K7" s="714" t="s">
        <v>256</v>
      </c>
      <c r="L7" s="604" t="s">
        <v>141</v>
      </c>
    </row>
    <row r="8" spans="1:12" ht="27.75" customHeight="1" thickBot="1" x14ac:dyDescent="0.3">
      <c r="A8" s="459"/>
      <c r="B8" s="453"/>
      <c r="C8" s="651"/>
      <c r="D8" s="653"/>
      <c r="E8" s="433">
        <v>5.0000000000000001E-3</v>
      </c>
      <c r="F8" s="434">
        <v>5.0000000000000001E-3</v>
      </c>
      <c r="G8" s="720"/>
      <c r="H8" s="715"/>
      <c r="I8" s="605"/>
      <c r="J8" s="19"/>
      <c r="K8" s="715"/>
      <c r="L8" s="605"/>
    </row>
    <row r="9" spans="1:12" x14ac:dyDescent="0.25">
      <c r="A9" s="241" t="s">
        <v>50</v>
      </c>
      <c r="B9" s="63">
        <v>5488881</v>
      </c>
      <c r="C9" s="66">
        <v>2142988395</v>
      </c>
      <c r="D9" s="240">
        <v>269132700</v>
      </c>
      <c r="E9" s="66">
        <f t="shared" ref="E9:F15" si="0">ROUND(E$8*C9 / 2, 0) * 2</f>
        <v>10714942</v>
      </c>
      <c r="F9" s="154">
        <f t="shared" si="0"/>
        <v>1345664</v>
      </c>
      <c r="G9" s="420">
        <f t="shared" ref="G9:G15" si="1">SUM(E9,F9)</f>
        <v>12060606</v>
      </c>
      <c r="H9" s="66">
        <f t="shared" ref="H9:H15" si="2">$G9/2</f>
        <v>6030303</v>
      </c>
      <c r="I9" s="155">
        <f t="shared" ref="I9:I16" si="3">IF($B9 &gt; 0, (H9-$B9)/$B9, "")</f>
        <v>9.8639777397250911E-2</v>
      </c>
      <c r="J9" s="19"/>
      <c r="K9" s="66">
        <f t="shared" ref="K9:K15" si="4">$G9/2</f>
        <v>6030303</v>
      </c>
      <c r="L9" s="155">
        <f t="shared" ref="L9:L16" si="5">IF($B9 &gt; 0, (K9-$B9)/$B9, "")</f>
        <v>9.8639777397250911E-2</v>
      </c>
    </row>
    <row r="10" spans="1:12" x14ac:dyDescent="0.25">
      <c r="A10" s="241" t="s">
        <v>55</v>
      </c>
      <c r="B10" s="63">
        <v>183349</v>
      </c>
      <c r="C10" s="66">
        <v>69405348</v>
      </c>
      <c r="D10" s="240">
        <v>8224257</v>
      </c>
      <c r="E10" s="66">
        <f t="shared" si="0"/>
        <v>347026</v>
      </c>
      <c r="F10" s="154">
        <f t="shared" si="0"/>
        <v>41122</v>
      </c>
      <c r="G10" s="420">
        <f t="shared" si="1"/>
        <v>388148</v>
      </c>
      <c r="H10" s="66">
        <f t="shared" si="2"/>
        <v>194074</v>
      </c>
      <c r="I10" s="155">
        <f t="shared" si="3"/>
        <v>5.849500133624945E-2</v>
      </c>
      <c r="J10" s="19"/>
      <c r="K10" s="66">
        <f t="shared" si="4"/>
        <v>194074</v>
      </c>
      <c r="L10" s="155">
        <f t="shared" si="5"/>
        <v>5.849500133624945E-2</v>
      </c>
    </row>
    <row r="11" spans="1:12" x14ac:dyDescent="0.25">
      <c r="A11" s="241" t="s">
        <v>56</v>
      </c>
      <c r="B11" s="63">
        <v>241865</v>
      </c>
      <c r="C11" s="66">
        <v>96157651</v>
      </c>
      <c r="D11" s="240">
        <v>6212980</v>
      </c>
      <c r="E11" s="66">
        <f t="shared" si="0"/>
        <v>480788</v>
      </c>
      <c r="F11" s="154">
        <f t="shared" si="0"/>
        <v>31064</v>
      </c>
      <c r="G11" s="420">
        <f t="shared" si="1"/>
        <v>511852</v>
      </c>
      <c r="H11" s="66">
        <f t="shared" si="2"/>
        <v>255926</v>
      </c>
      <c r="I11" s="155">
        <f t="shared" si="3"/>
        <v>5.8135736878010463E-2</v>
      </c>
      <c r="J11" s="19"/>
      <c r="K11" s="66">
        <f t="shared" si="4"/>
        <v>255926</v>
      </c>
      <c r="L11" s="155">
        <f t="shared" si="5"/>
        <v>5.8135736878010463E-2</v>
      </c>
    </row>
    <row r="12" spans="1:12" x14ac:dyDescent="0.25">
      <c r="A12" s="241" t="s">
        <v>57</v>
      </c>
      <c r="B12" s="63">
        <v>465054</v>
      </c>
      <c r="C12" s="66">
        <v>154400406</v>
      </c>
      <c r="D12" s="240">
        <v>12261808</v>
      </c>
      <c r="E12" s="66">
        <f t="shared" si="0"/>
        <v>772002</v>
      </c>
      <c r="F12" s="154">
        <f t="shared" si="0"/>
        <v>61310</v>
      </c>
      <c r="G12" s="420">
        <f t="shared" si="1"/>
        <v>833312</v>
      </c>
      <c r="H12" s="66">
        <f t="shared" si="2"/>
        <v>416656</v>
      </c>
      <c r="I12" s="155">
        <f t="shared" si="3"/>
        <v>-0.10406963492411633</v>
      </c>
      <c r="J12" s="19"/>
      <c r="K12" s="66">
        <f t="shared" si="4"/>
        <v>416656</v>
      </c>
      <c r="L12" s="155">
        <f t="shared" si="5"/>
        <v>-0.10406963492411633</v>
      </c>
    </row>
    <row r="13" spans="1:12" x14ac:dyDescent="0.25">
      <c r="A13" s="241" t="s">
        <v>58</v>
      </c>
      <c r="B13" s="63">
        <v>4169769</v>
      </c>
      <c r="C13" s="66">
        <v>1726457780</v>
      </c>
      <c r="D13" s="240">
        <v>65481617</v>
      </c>
      <c r="E13" s="66">
        <f t="shared" si="0"/>
        <v>8632288</v>
      </c>
      <c r="F13" s="154">
        <f t="shared" si="0"/>
        <v>327408</v>
      </c>
      <c r="G13" s="420">
        <f t="shared" si="1"/>
        <v>8959696</v>
      </c>
      <c r="H13" s="66">
        <f t="shared" si="2"/>
        <v>4479848</v>
      </c>
      <c r="I13" s="155">
        <f t="shared" si="3"/>
        <v>7.4363591844056595E-2</v>
      </c>
      <c r="J13" s="19"/>
      <c r="K13" s="66">
        <f t="shared" si="4"/>
        <v>4479848</v>
      </c>
      <c r="L13" s="155">
        <f t="shared" si="5"/>
        <v>7.4363591844056595E-2</v>
      </c>
    </row>
    <row r="14" spans="1:12" x14ac:dyDescent="0.25">
      <c r="A14" s="241" t="s">
        <v>59</v>
      </c>
      <c r="B14" s="63">
        <v>472949</v>
      </c>
      <c r="C14" s="66">
        <v>189647285</v>
      </c>
      <c r="D14" s="240">
        <v>11480697</v>
      </c>
      <c r="E14" s="66">
        <f t="shared" si="0"/>
        <v>948236</v>
      </c>
      <c r="F14" s="154">
        <f t="shared" si="0"/>
        <v>57404</v>
      </c>
      <c r="G14" s="420">
        <f t="shared" si="1"/>
        <v>1005640</v>
      </c>
      <c r="H14" s="66">
        <f t="shared" si="2"/>
        <v>502820</v>
      </c>
      <c r="I14" s="155">
        <f t="shared" si="3"/>
        <v>6.3159029831969193E-2</v>
      </c>
      <c r="J14" s="19"/>
      <c r="K14" s="66">
        <f t="shared" si="4"/>
        <v>502820</v>
      </c>
      <c r="L14" s="155">
        <f t="shared" si="5"/>
        <v>6.3159029831969193E-2</v>
      </c>
    </row>
    <row r="15" spans="1:12" ht="15.75" customHeight="1" thickBot="1" x14ac:dyDescent="0.3">
      <c r="A15" s="241" t="s">
        <v>60</v>
      </c>
      <c r="B15" s="63">
        <v>434432</v>
      </c>
      <c r="C15" s="66">
        <v>167557595</v>
      </c>
      <c r="D15" s="240">
        <v>18053547</v>
      </c>
      <c r="E15" s="66">
        <f t="shared" si="0"/>
        <v>837788</v>
      </c>
      <c r="F15" s="154">
        <f t="shared" si="0"/>
        <v>90268</v>
      </c>
      <c r="G15" s="420">
        <f t="shared" si="1"/>
        <v>928056</v>
      </c>
      <c r="H15" s="66">
        <f t="shared" si="2"/>
        <v>464028</v>
      </c>
      <c r="I15" s="155">
        <f t="shared" si="3"/>
        <v>6.8125736593989392E-2</v>
      </c>
      <c r="J15" s="19"/>
      <c r="K15" s="66">
        <f t="shared" si="4"/>
        <v>464028</v>
      </c>
      <c r="L15" s="155">
        <f t="shared" si="5"/>
        <v>6.8125736593989392E-2</v>
      </c>
    </row>
    <row r="16" spans="1:12" ht="15.75" customHeight="1" thickTop="1" x14ac:dyDescent="0.25">
      <c r="A16" s="242" t="s">
        <v>131</v>
      </c>
      <c r="B16" s="243">
        <f t="shared" ref="B16:H16" si="6">SUM(B9:B15)</f>
        <v>11456299</v>
      </c>
      <c r="C16" s="244">
        <f t="shared" si="6"/>
        <v>4546614460</v>
      </c>
      <c r="D16" s="248">
        <f t="shared" si="6"/>
        <v>390847606</v>
      </c>
      <c r="E16" s="244">
        <f t="shared" si="6"/>
        <v>22733070</v>
      </c>
      <c r="F16" s="245">
        <f t="shared" si="6"/>
        <v>1954240</v>
      </c>
      <c r="G16" s="421">
        <f t="shared" si="6"/>
        <v>24687310</v>
      </c>
      <c r="H16" s="244">
        <f t="shared" si="6"/>
        <v>12343655</v>
      </c>
      <c r="I16" s="329">
        <f t="shared" si="3"/>
        <v>7.7455729812917762E-2</v>
      </c>
      <c r="J16" s="19"/>
      <c r="K16" s="244">
        <f>SUM(K9:K15)</f>
        <v>12343655</v>
      </c>
      <c r="L16" s="329">
        <f t="shared" si="5"/>
        <v>7.7455729812917762E-2</v>
      </c>
    </row>
    <row r="17" spans="1:12" x14ac:dyDescent="0.25">
      <c r="A17" s="249"/>
      <c r="B17" s="250"/>
      <c r="C17" s="251"/>
      <c r="D17" s="255"/>
      <c r="E17" s="251"/>
      <c r="F17" s="252"/>
      <c r="G17" s="422"/>
      <c r="H17" s="251"/>
      <c r="I17" s="276"/>
      <c r="J17" s="19"/>
      <c r="K17" s="251"/>
      <c r="L17" s="276"/>
    </row>
    <row r="18" spans="1:12" x14ac:dyDescent="0.25">
      <c r="A18" s="241" t="s">
        <v>65</v>
      </c>
      <c r="B18" s="63">
        <v>7508667</v>
      </c>
      <c r="C18" s="66">
        <v>2932126615</v>
      </c>
      <c r="D18" s="240">
        <v>512754366</v>
      </c>
      <c r="E18" s="66">
        <f t="shared" ref="E18:F21" si="7">ROUND(E$8*C18 / 2, 0) * 2</f>
        <v>14660634</v>
      </c>
      <c r="F18" s="154">
        <f t="shared" si="7"/>
        <v>2563772</v>
      </c>
      <c r="G18" s="420">
        <f>SUM(E18,F18)</f>
        <v>17224406</v>
      </c>
      <c r="H18" s="66">
        <f>$G18/2</f>
        <v>8612203</v>
      </c>
      <c r="I18" s="155">
        <f>IF($B18 &gt; 0, (H18-$B18)/$B18, "")</f>
        <v>0.14696829676958639</v>
      </c>
      <c r="J18" s="19"/>
      <c r="K18" s="66">
        <f>$G18/2</f>
        <v>8612203</v>
      </c>
      <c r="L18" s="155">
        <f>IF($B18 &gt; 0, (K18-$B18)/$B18, "")</f>
        <v>0.14696829676958639</v>
      </c>
    </row>
    <row r="19" spans="1:12" x14ac:dyDescent="0.25">
      <c r="A19" s="241" t="s">
        <v>66</v>
      </c>
      <c r="B19" s="63">
        <v>651894</v>
      </c>
      <c r="C19" s="66">
        <v>248652270</v>
      </c>
      <c r="D19" s="240">
        <v>39461543</v>
      </c>
      <c r="E19" s="66">
        <f t="shared" si="7"/>
        <v>1243262</v>
      </c>
      <c r="F19" s="154">
        <f t="shared" si="7"/>
        <v>197308</v>
      </c>
      <c r="G19" s="420">
        <f>SUM(E19,F19)</f>
        <v>1440570</v>
      </c>
      <c r="H19" s="66">
        <f>$G19/2</f>
        <v>720285</v>
      </c>
      <c r="I19" s="155">
        <f>IF($B19 &gt; 0, (H19-$B19)/$B19, "")</f>
        <v>0.10491122789901426</v>
      </c>
      <c r="J19" s="19"/>
      <c r="K19" s="66">
        <f>$G19/2</f>
        <v>720285</v>
      </c>
      <c r="L19" s="155">
        <f>IF($B19 &gt; 0, (K19-$B19)/$B19, "")</f>
        <v>0.10491122789901426</v>
      </c>
    </row>
    <row r="20" spans="1:12" x14ac:dyDescent="0.25">
      <c r="A20" s="241" t="s">
        <v>67</v>
      </c>
      <c r="B20" s="63">
        <v>237587</v>
      </c>
      <c r="C20" s="66">
        <v>92164330</v>
      </c>
      <c r="D20" s="240">
        <v>8500127</v>
      </c>
      <c r="E20" s="66">
        <f t="shared" si="7"/>
        <v>460822</v>
      </c>
      <c r="F20" s="154">
        <f t="shared" si="7"/>
        <v>42500</v>
      </c>
      <c r="G20" s="420">
        <f>SUM(E20,F20)</f>
        <v>503322</v>
      </c>
      <c r="H20" s="66">
        <f>$G20/2</f>
        <v>251661</v>
      </c>
      <c r="I20" s="155">
        <f>IF($B20 &gt; 0, (H20-$B20)/$B20, "")</f>
        <v>5.9237247829216244E-2</v>
      </c>
      <c r="J20" s="19"/>
      <c r="K20" s="66">
        <f>$G20/2</f>
        <v>251661</v>
      </c>
      <c r="L20" s="155">
        <f>IF($B20 &gt; 0, (K20-$B20)/$B20, "")</f>
        <v>5.9237247829216244E-2</v>
      </c>
    </row>
    <row r="21" spans="1:12" ht="15.75" customHeight="1" thickBot="1" x14ac:dyDescent="0.3">
      <c r="A21" s="241" t="s">
        <v>68</v>
      </c>
      <c r="B21" s="63">
        <v>866826</v>
      </c>
      <c r="C21" s="66">
        <v>359741864</v>
      </c>
      <c r="D21" s="240">
        <v>33574226</v>
      </c>
      <c r="E21" s="66">
        <f t="shared" si="7"/>
        <v>1798710</v>
      </c>
      <c r="F21" s="154">
        <f t="shared" si="7"/>
        <v>167872</v>
      </c>
      <c r="G21" s="420">
        <f>SUM(E21,F21)</f>
        <v>1966582</v>
      </c>
      <c r="H21" s="66">
        <f>$G21/2</f>
        <v>983291</v>
      </c>
      <c r="I21" s="155">
        <f>IF($B21 &gt; 0, (H21-$B21)/$B21, "")</f>
        <v>0.13435799110778865</v>
      </c>
      <c r="J21" s="19"/>
      <c r="K21" s="66">
        <f>$G21/2</f>
        <v>983291</v>
      </c>
      <c r="L21" s="155">
        <f>IF($B21 &gt; 0, (K21-$B21)/$B21, "")</f>
        <v>0.13435799110778865</v>
      </c>
    </row>
    <row r="22" spans="1:12" ht="15.75" customHeight="1" thickTop="1" x14ac:dyDescent="0.25">
      <c r="A22" s="242" t="s">
        <v>132</v>
      </c>
      <c r="B22" s="243">
        <f t="shared" ref="B22:H22" si="8">SUM(B18:B21)</f>
        <v>9264974</v>
      </c>
      <c r="C22" s="244">
        <f t="shared" si="8"/>
        <v>3632685079</v>
      </c>
      <c r="D22" s="248">
        <f t="shared" si="8"/>
        <v>594290262</v>
      </c>
      <c r="E22" s="244">
        <f t="shared" si="8"/>
        <v>18163428</v>
      </c>
      <c r="F22" s="245">
        <f t="shared" si="8"/>
        <v>2971452</v>
      </c>
      <c r="G22" s="421">
        <f t="shared" si="8"/>
        <v>21134880</v>
      </c>
      <c r="H22" s="244">
        <f t="shared" si="8"/>
        <v>10567440</v>
      </c>
      <c r="I22" s="329">
        <f>IF($B22 &gt; 0, (H22-$B22)/$B22, "")</f>
        <v>0.14057956341809486</v>
      </c>
      <c r="J22" s="19"/>
      <c r="K22" s="244">
        <f>SUM(K18:K21)</f>
        <v>10567440</v>
      </c>
      <c r="L22" s="329">
        <f>IF($B22 &gt; 0, (K22-$B22)/$B22, "")</f>
        <v>0.14057956341809486</v>
      </c>
    </row>
    <row r="23" spans="1:12" x14ac:dyDescent="0.25">
      <c r="A23" s="249"/>
      <c r="B23" s="250"/>
      <c r="C23" s="251"/>
      <c r="D23" s="255"/>
      <c r="E23" s="251"/>
      <c r="F23" s="252"/>
      <c r="G23" s="422"/>
      <c r="H23" s="251"/>
      <c r="I23" s="276"/>
      <c r="J23" s="19"/>
      <c r="K23" s="251"/>
      <c r="L23" s="276"/>
    </row>
    <row r="24" spans="1:12" x14ac:dyDescent="0.25">
      <c r="A24" s="241" t="s">
        <v>71</v>
      </c>
      <c r="B24" s="63">
        <v>2379378</v>
      </c>
      <c r="C24" s="66">
        <v>829436051</v>
      </c>
      <c r="D24" s="240">
        <v>229561246</v>
      </c>
      <c r="E24" s="66">
        <f t="shared" ref="E24:F28" si="9">ROUND(E$8*C24 / 2, 0) * 2</f>
        <v>4147180</v>
      </c>
      <c r="F24" s="154">
        <f t="shared" si="9"/>
        <v>1147806</v>
      </c>
      <c r="G24" s="420">
        <f>SUM(E24,F24)</f>
        <v>5294986</v>
      </c>
      <c r="H24" s="66">
        <f>$G24/2</f>
        <v>2647493</v>
      </c>
      <c r="I24" s="155">
        <f t="shared" ref="I24:I29" si="10">IF($B24 &gt; 0, (H24-$B24)/$B24, "")</f>
        <v>0.11268281038153669</v>
      </c>
      <c r="J24" s="19"/>
      <c r="K24" s="66">
        <f>$G24/2</f>
        <v>2647493</v>
      </c>
      <c r="L24" s="155">
        <f t="shared" ref="L24:L29" si="11">IF($B24 &gt; 0, (K24-$B24)/$B24, "")</f>
        <v>0.11268281038153669</v>
      </c>
    </row>
    <row r="25" spans="1:12" x14ac:dyDescent="0.25">
      <c r="A25" s="241" t="s">
        <v>72</v>
      </c>
      <c r="B25" s="63">
        <v>1362885</v>
      </c>
      <c r="C25" s="66">
        <v>466534139</v>
      </c>
      <c r="D25" s="240">
        <v>86698636</v>
      </c>
      <c r="E25" s="66">
        <f t="shared" si="9"/>
        <v>2332670</v>
      </c>
      <c r="F25" s="154">
        <f t="shared" si="9"/>
        <v>433494</v>
      </c>
      <c r="G25" s="420">
        <f>SUM(E25,F25)</f>
        <v>2766164</v>
      </c>
      <c r="H25" s="66">
        <f>$G25/2</f>
        <v>1383082</v>
      </c>
      <c r="I25" s="155">
        <f t="shared" si="10"/>
        <v>1.4819298766953926E-2</v>
      </c>
      <c r="J25" s="19"/>
      <c r="K25" s="66">
        <f>$G25/2</f>
        <v>1383082</v>
      </c>
      <c r="L25" s="155">
        <f t="shared" si="11"/>
        <v>1.4819298766953926E-2</v>
      </c>
    </row>
    <row r="26" spans="1:12" x14ac:dyDescent="0.25">
      <c r="A26" s="241" t="s">
        <v>73</v>
      </c>
      <c r="B26" s="63">
        <v>683963</v>
      </c>
      <c r="C26" s="66">
        <v>313521310</v>
      </c>
      <c r="D26" s="240">
        <v>46265983</v>
      </c>
      <c r="E26" s="66">
        <f t="shared" si="9"/>
        <v>1567606</v>
      </c>
      <c r="F26" s="154">
        <f t="shared" si="9"/>
        <v>231330</v>
      </c>
      <c r="G26" s="420">
        <f>SUM(E26,F26)</f>
        <v>1798936</v>
      </c>
      <c r="H26" s="66">
        <f>$G26/2</f>
        <v>899468</v>
      </c>
      <c r="I26" s="155">
        <f t="shared" si="10"/>
        <v>0.31508283342812404</v>
      </c>
      <c r="J26" s="19"/>
      <c r="K26" s="66">
        <f>$G26/2</f>
        <v>899468</v>
      </c>
      <c r="L26" s="155">
        <f t="shared" si="11"/>
        <v>0.31508283342812404</v>
      </c>
    </row>
    <row r="27" spans="1:12" x14ac:dyDescent="0.25">
      <c r="A27" s="241" t="s">
        <v>74</v>
      </c>
      <c r="B27" s="63">
        <v>815105</v>
      </c>
      <c r="C27" s="66">
        <v>325743961</v>
      </c>
      <c r="D27" s="240">
        <v>27274609</v>
      </c>
      <c r="E27" s="66">
        <f t="shared" si="9"/>
        <v>1628720</v>
      </c>
      <c r="F27" s="154">
        <f t="shared" si="9"/>
        <v>136374</v>
      </c>
      <c r="G27" s="420">
        <f>SUM(E27,F27)</f>
        <v>1765094</v>
      </c>
      <c r="H27" s="66">
        <f>$G27/2</f>
        <v>882547</v>
      </c>
      <c r="I27" s="155">
        <f t="shared" si="10"/>
        <v>8.2740260457241699E-2</v>
      </c>
      <c r="J27" s="19"/>
      <c r="K27" s="66">
        <f>$G27/2</f>
        <v>882547</v>
      </c>
      <c r="L27" s="155">
        <f t="shared" si="11"/>
        <v>8.2740260457241699E-2</v>
      </c>
    </row>
    <row r="28" spans="1:12" ht="15.75" customHeight="1" thickBot="1" x14ac:dyDescent="0.3">
      <c r="A28" s="241" t="s">
        <v>75</v>
      </c>
      <c r="B28" s="63">
        <v>2530344</v>
      </c>
      <c r="C28" s="66">
        <v>1143296875</v>
      </c>
      <c r="D28" s="240">
        <v>75582238</v>
      </c>
      <c r="E28" s="66">
        <f t="shared" si="9"/>
        <v>5716484</v>
      </c>
      <c r="F28" s="154">
        <f t="shared" si="9"/>
        <v>377912</v>
      </c>
      <c r="G28" s="420">
        <f>SUM(E28,F28)</f>
        <v>6094396</v>
      </c>
      <c r="H28" s="66">
        <f>$G28/2</f>
        <v>3047198</v>
      </c>
      <c r="I28" s="155">
        <f t="shared" si="10"/>
        <v>0.20426234535699495</v>
      </c>
      <c r="J28" s="19"/>
      <c r="K28" s="66">
        <f>$G28/2</f>
        <v>3047198</v>
      </c>
      <c r="L28" s="155">
        <f t="shared" si="11"/>
        <v>0.20426234535699495</v>
      </c>
    </row>
    <row r="29" spans="1:12" ht="15.75" customHeight="1" thickBot="1" x14ac:dyDescent="0.3">
      <c r="A29" s="314" t="s">
        <v>47</v>
      </c>
      <c r="B29" s="259">
        <f t="shared" ref="B29:H29" si="12">SUM(B16,B22,B24:B28)</f>
        <v>28492948</v>
      </c>
      <c r="C29" s="102">
        <f t="shared" si="12"/>
        <v>11257831875</v>
      </c>
      <c r="D29" s="278">
        <f t="shared" si="12"/>
        <v>1450520580</v>
      </c>
      <c r="E29" s="102">
        <f t="shared" si="12"/>
        <v>56289158</v>
      </c>
      <c r="F29" s="260">
        <f t="shared" si="12"/>
        <v>7252608</v>
      </c>
      <c r="G29" s="429">
        <f t="shared" si="12"/>
        <v>63541766</v>
      </c>
      <c r="H29" s="102">
        <f t="shared" si="12"/>
        <v>31770883</v>
      </c>
      <c r="I29" s="279">
        <f t="shared" si="10"/>
        <v>0.11504372941683676</v>
      </c>
      <c r="J29" s="71"/>
      <c r="K29" s="102">
        <f>SUM(K16,K22,K24:K28)</f>
        <v>31770883</v>
      </c>
      <c r="L29" s="279">
        <f t="shared" si="11"/>
        <v>0.11504372941683676</v>
      </c>
    </row>
  </sheetData>
  <mergeCells count="12">
    <mergeCell ref="C6:C8"/>
    <mergeCell ref="D6:D8"/>
    <mergeCell ref="A6:A8"/>
    <mergeCell ref="K6:L6"/>
    <mergeCell ref="K7:K8"/>
    <mergeCell ref="L7:L8"/>
    <mergeCell ref="H6:I6"/>
    <mergeCell ref="H7:H8"/>
    <mergeCell ref="I7:I8"/>
    <mergeCell ref="B6:B8"/>
    <mergeCell ref="E6:G6"/>
    <mergeCell ref="G7:G8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9"/>
  <sheetViews>
    <sheetView tabSelected="1" zoomScale="80" zoomScaleNormal="80" workbookViewId="0">
      <selection activeCell="A8" sqref="A8"/>
    </sheetView>
  </sheetViews>
  <sheetFormatPr defaultRowHeight="15" x14ac:dyDescent="0.25"/>
  <cols>
    <col min="1" max="1" width="36.42578125" style="1" customWidth="1"/>
    <col min="2" max="5" width="15.7109375" style="1" customWidth="1"/>
    <col min="6" max="6" width="1.5703125" style="1" customWidth="1"/>
    <col min="7" max="9" width="15.7109375" style="1" customWidth="1"/>
  </cols>
  <sheetData>
    <row r="1" spans="1:9" ht="15.75" customHeight="1" x14ac:dyDescent="0.25">
      <c r="A1" s="12" t="s">
        <v>30</v>
      </c>
      <c r="B1"/>
      <c r="C1"/>
      <c r="D1"/>
      <c r="E1"/>
      <c r="F1"/>
      <c r="G1"/>
      <c r="H1"/>
      <c r="I1"/>
    </row>
    <row r="2" spans="1:9" ht="15.75" customHeight="1" x14ac:dyDescent="0.25">
      <c r="A2" s="13" t="s">
        <v>31</v>
      </c>
      <c r="B2"/>
      <c r="C2"/>
      <c r="D2"/>
      <c r="E2"/>
      <c r="F2"/>
      <c r="G2"/>
      <c r="H2"/>
      <c r="I2"/>
    </row>
    <row r="3" spans="1:9" ht="15.75" customHeight="1" x14ac:dyDescent="0.25">
      <c r="A3" s="13"/>
      <c r="B3"/>
      <c r="C3"/>
      <c r="D3"/>
      <c r="E3"/>
      <c r="F3"/>
      <c r="G3"/>
      <c r="H3"/>
      <c r="I3"/>
    </row>
    <row r="4" spans="1:9" x14ac:dyDescent="0.25">
      <c r="A4" s="14" t="s">
        <v>32</v>
      </c>
    </row>
    <row r="5" spans="1:9" ht="15.75" customHeight="1" thickBot="1" x14ac:dyDescent="0.3">
      <c r="A5" s="14"/>
      <c r="B5"/>
      <c r="C5"/>
      <c r="D5"/>
      <c r="E5"/>
      <c r="F5"/>
      <c r="G5"/>
      <c r="H5"/>
      <c r="I5"/>
    </row>
    <row r="6" spans="1:9" ht="15.75" customHeight="1" thickBot="1" x14ac:dyDescent="0.3">
      <c r="A6" s="450"/>
      <c r="B6" s="452" t="s">
        <v>33</v>
      </c>
      <c r="C6" s="454" t="s">
        <v>3</v>
      </c>
      <c r="D6" s="455"/>
      <c r="E6" s="456"/>
      <c r="F6" s="15"/>
      <c r="G6" s="454" t="s">
        <v>4</v>
      </c>
      <c r="H6" s="455"/>
      <c r="I6" s="456"/>
    </row>
    <row r="7" spans="1:9" ht="30.75" customHeight="1" thickBot="1" x14ac:dyDescent="0.3">
      <c r="A7" s="451"/>
      <c r="B7" s="453"/>
      <c r="C7" s="16" t="s">
        <v>34</v>
      </c>
      <c r="D7" s="17" t="s">
        <v>35</v>
      </c>
      <c r="E7" s="18" t="s">
        <v>36</v>
      </c>
      <c r="F7" s="19"/>
      <c r="G7" s="16" t="s">
        <v>34</v>
      </c>
      <c r="H7" s="17" t="s">
        <v>35</v>
      </c>
      <c r="I7" s="18" t="s">
        <v>36</v>
      </c>
    </row>
    <row r="8" spans="1:9" ht="20.100000000000001" customHeight="1" x14ac:dyDescent="0.25">
      <c r="A8" s="20" t="s">
        <v>37</v>
      </c>
      <c r="B8" s="21">
        <v>1272257834</v>
      </c>
      <c r="C8" s="22">
        <v>1294116204.6673901</v>
      </c>
      <c r="D8" s="23">
        <f t="shared" ref="D8:D13" si="0">C8-$B8</f>
        <v>21858370.667390108</v>
      </c>
      <c r="E8" s="24">
        <f t="shared" ref="E8:E14" si="1">IF($B8&gt;0,D8/$B8, "")</f>
        <v>1.7180771132426061E-2</v>
      </c>
      <c r="F8" s="25"/>
      <c r="G8" s="22">
        <v>1317135572.3054299</v>
      </c>
      <c r="H8" s="23">
        <f t="shared" ref="H8:H13" si="2">G8-$B8</f>
        <v>44877738.305429935</v>
      </c>
      <c r="I8" s="24">
        <f t="shared" ref="I8:I14" si="3">IF($B8&gt;0,H8/$B8, "")</f>
        <v>3.5274090759051233E-2</v>
      </c>
    </row>
    <row r="9" spans="1:9" ht="20.100000000000001" customHeight="1" x14ac:dyDescent="0.25">
      <c r="A9" s="26" t="s">
        <v>38</v>
      </c>
      <c r="B9" s="21">
        <v>154822109</v>
      </c>
      <c r="C9" s="22">
        <v>142490802</v>
      </c>
      <c r="D9" s="23">
        <f t="shared" si="0"/>
        <v>-12331307</v>
      </c>
      <c r="E9" s="24">
        <f t="shared" si="1"/>
        <v>-7.9648230344155815E-2</v>
      </c>
      <c r="F9" s="25"/>
      <c r="G9" s="22">
        <v>163979047</v>
      </c>
      <c r="H9" s="23">
        <f t="shared" si="2"/>
        <v>9156938</v>
      </c>
      <c r="I9" s="24">
        <f t="shared" si="3"/>
        <v>5.9144899001472719E-2</v>
      </c>
    </row>
    <row r="10" spans="1:9" ht="20.100000000000001" customHeight="1" x14ac:dyDescent="0.25">
      <c r="A10" s="26" t="s">
        <v>39</v>
      </c>
      <c r="B10" s="21">
        <v>28492948</v>
      </c>
      <c r="C10" s="22">
        <v>31770883</v>
      </c>
      <c r="D10" s="23">
        <f t="shared" si="0"/>
        <v>3277935</v>
      </c>
      <c r="E10" s="24">
        <f t="shared" si="1"/>
        <v>0.11504372941683676</v>
      </c>
      <c r="F10" s="25"/>
      <c r="G10" s="22">
        <v>31770883</v>
      </c>
      <c r="H10" s="23">
        <f t="shared" si="2"/>
        <v>3277935</v>
      </c>
      <c r="I10" s="24">
        <f t="shared" si="3"/>
        <v>0.11504372941683676</v>
      </c>
    </row>
    <row r="11" spans="1:9" ht="20.100000000000001" customHeight="1" x14ac:dyDescent="0.25">
      <c r="A11" s="26" t="s">
        <v>40</v>
      </c>
      <c r="B11" s="21">
        <v>57450918</v>
      </c>
      <c r="C11" s="22">
        <v>64067617</v>
      </c>
      <c r="D11" s="23">
        <f t="shared" si="0"/>
        <v>6616699</v>
      </c>
      <c r="E11" s="24">
        <f t="shared" si="1"/>
        <v>0.11517133633965605</v>
      </c>
      <c r="F11" s="25"/>
      <c r="G11" s="22">
        <v>64132602</v>
      </c>
      <c r="H11" s="23">
        <f t="shared" si="2"/>
        <v>6681684</v>
      </c>
      <c r="I11" s="24">
        <f t="shared" si="3"/>
        <v>0.11630247579333719</v>
      </c>
    </row>
    <row r="12" spans="1:9" ht="20.100000000000001" customHeight="1" x14ac:dyDescent="0.25">
      <c r="A12" s="26" t="s">
        <v>41</v>
      </c>
      <c r="B12" s="21">
        <v>311211259</v>
      </c>
      <c r="C12" s="22">
        <v>364546684</v>
      </c>
      <c r="D12" s="23">
        <f t="shared" si="0"/>
        <v>53335425</v>
      </c>
      <c r="E12" s="24">
        <f t="shared" si="1"/>
        <v>0.17138012670679115</v>
      </c>
      <c r="F12" s="25"/>
      <c r="G12" s="22">
        <v>350252108</v>
      </c>
      <c r="H12" s="23">
        <f t="shared" si="2"/>
        <v>39040849</v>
      </c>
      <c r="I12" s="24">
        <f t="shared" si="3"/>
        <v>0.12544806099062117</v>
      </c>
    </row>
    <row r="13" spans="1:9" ht="20.100000000000001" customHeight="1" thickBot="1" x14ac:dyDescent="0.3">
      <c r="A13" s="26" t="s">
        <v>42</v>
      </c>
      <c r="B13" s="21">
        <v>11720052</v>
      </c>
      <c r="C13" s="22">
        <v>11781032</v>
      </c>
      <c r="D13" s="23">
        <f t="shared" si="0"/>
        <v>60980</v>
      </c>
      <c r="E13" s="24">
        <f t="shared" si="1"/>
        <v>5.203048587156439E-3</v>
      </c>
      <c r="F13" s="25"/>
      <c r="G13" s="22">
        <v>11811472</v>
      </c>
      <c r="H13" s="23">
        <f t="shared" si="2"/>
        <v>91420</v>
      </c>
      <c r="I13" s="24">
        <f t="shared" si="3"/>
        <v>7.8003066880590636E-3</v>
      </c>
    </row>
    <row r="14" spans="1:9" ht="20.100000000000001" customHeight="1" thickTop="1" x14ac:dyDescent="0.25">
      <c r="A14" s="27" t="s">
        <v>43</v>
      </c>
      <c r="B14" s="28">
        <f>SUM(B8:B13)</f>
        <v>1835955120</v>
      </c>
      <c r="C14" s="29">
        <f>SUM(C8:C13)</f>
        <v>1908773222.6673901</v>
      </c>
      <c r="D14" s="30">
        <f>SUM(D8:D13)</f>
        <v>72818102.667390108</v>
      </c>
      <c r="E14" s="31">
        <f t="shared" si="1"/>
        <v>3.9662245484187057E-2</v>
      </c>
      <c r="F14" s="32"/>
      <c r="G14" s="29">
        <f>SUM(G8:G13)</f>
        <v>1939081684.3054299</v>
      </c>
      <c r="H14" s="30">
        <f>SUM(H8:H13)</f>
        <v>103126564.30542994</v>
      </c>
      <c r="I14" s="31">
        <f t="shared" si="3"/>
        <v>5.6170525729098399E-2</v>
      </c>
    </row>
    <row r="15" spans="1:9" ht="15" customHeight="1" x14ac:dyDescent="0.25">
      <c r="A15" s="33"/>
      <c r="B15" s="25"/>
      <c r="C15" s="34"/>
      <c r="D15" s="35"/>
      <c r="E15" s="36"/>
      <c r="F15" s="25"/>
      <c r="G15" s="34"/>
      <c r="H15" s="35"/>
      <c r="I15" s="36"/>
    </row>
    <row r="16" spans="1:9" ht="20.100000000000001" customHeight="1" x14ac:dyDescent="0.25">
      <c r="A16" s="26" t="s">
        <v>44</v>
      </c>
      <c r="B16" s="21">
        <v>4941751</v>
      </c>
      <c r="C16" s="22">
        <v>4836287</v>
      </c>
      <c r="D16" s="23">
        <f>C16-$B16</f>
        <v>-105464</v>
      </c>
      <c r="E16" s="24">
        <f>IF($B16&gt;0,D16/$B16, "")</f>
        <v>-2.1341423313315462E-2</v>
      </c>
      <c r="F16" s="25"/>
      <c r="G16" s="22">
        <v>4836287</v>
      </c>
      <c r="H16" s="23">
        <f>G16-$B16</f>
        <v>-105464</v>
      </c>
      <c r="I16" s="24">
        <f>IF($B16&gt;0,H16/$B16, "")</f>
        <v>-2.1341423313315462E-2</v>
      </c>
    </row>
    <row r="17" spans="1:9" ht="20.100000000000001" customHeight="1" thickBot="1" x14ac:dyDescent="0.3">
      <c r="A17" s="26" t="s">
        <v>45</v>
      </c>
      <c r="B17" s="21">
        <v>7397092</v>
      </c>
      <c r="C17" s="22">
        <v>12099791</v>
      </c>
      <c r="D17" s="23">
        <f>C17-$B17</f>
        <v>4702699</v>
      </c>
      <c r="E17" s="24">
        <f>IF($B17&gt;0,D17/$B17, "")</f>
        <v>0.63574969731348485</v>
      </c>
      <c r="F17" s="25"/>
      <c r="G17" s="22">
        <v>12128951</v>
      </c>
      <c r="H17" s="23">
        <f>G17-$B17</f>
        <v>4731859</v>
      </c>
      <c r="I17" s="24">
        <f>IF($B17&gt;0,H17/$B17, "")</f>
        <v>0.63969178698872475</v>
      </c>
    </row>
    <row r="18" spans="1:9" ht="20.100000000000001" customHeight="1" thickTop="1" thickBot="1" x14ac:dyDescent="0.3">
      <c r="A18" s="37" t="s">
        <v>46</v>
      </c>
      <c r="B18" s="38">
        <f>SUM(B16:B17)</f>
        <v>12338843</v>
      </c>
      <c r="C18" s="39">
        <f>SUM(C16:C17)</f>
        <v>16936078</v>
      </c>
      <c r="D18" s="40">
        <f>SUM(D16:D17)</f>
        <v>4597235</v>
      </c>
      <c r="E18" s="41">
        <f>IF($B18&gt;0,D18/$B18, "")</f>
        <v>0.37258234017565506</v>
      </c>
      <c r="F18" s="42"/>
      <c r="G18" s="39">
        <f>SUM(G16:G17)</f>
        <v>16965238</v>
      </c>
      <c r="H18" s="40">
        <f>SUM(H16:H17)</f>
        <v>4626395</v>
      </c>
      <c r="I18" s="41">
        <f>IF($B18&gt;0,H18/$B18, "")</f>
        <v>0.37494560875764443</v>
      </c>
    </row>
    <row r="19" spans="1:9" ht="20.100000000000001" customHeight="1" thickBot="1" x14ac:dyDescent="0.3">
      <c r="A19" s="43" t="s">
        <v>47</v>
      </c>
      <c r="B19" s="44">
        <f>SUM(B14,B18)</f>
        <v>1848293963</v>
      </c>
      <c r="C19" s="45">
        <f>SUM(C14,C18)</f>
        <v>1925709300.6673901</v>
      </c>
      <c r="D19" s="46">
        <f>SUM(D14,D18)</f>
        <v>77415337.667390108</v>
      </c>
      <c r="E19" s="47">
        <f>IF($B19&gt;0,D19/$B19, "")</f>
        <v>4.1884753841718907E-2</v>
      </c>
      <c r="F19" s="48"/>
      <c r="G19" s="45">
        <f>SUM(G14,G18)</f>
        <v>1956046922.3054299</v>
      </c>
      <c r="H19" s="46">
        <f>SUM(H14,H18)</f>
        <v>107752959.30542994</v>
      </c>
      <c r="I19" s="47">
        <f>IF($B19&gt;0,H19/$B19, "")</f>
        <v>5.8298604801226596E-2</v>
      </c>
    </row>
  </sheetData>
  <mergeCells count="4">
    <mergeCell ref="A6:A7"/>
    <mergeCell ref="B6:B7"/>
    <mergeCell ref="C6:E6"/>
    <mergeCell ref="G6:I6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28"/>
  <sheetViews>
    <sheetView zoomScale="80" zoomScaleNormal="80" workbookViewId="0">
      <pane xSplit="1" ySplit="7" topLeftCell="B8" activePane="bottomRight" state="frozenSplit"/>
      <selection activeCell="B1" sqref="B1 B1"/>
      <selection pane="topRight"/>
      <selection pane="bottomLeft"/>
      <selection pane="bottomRight" activeCell="B6" sqref="B6:B7"/>
    </sheetView>
  </sheetViews>
  <sheetFormatPr defaultRowHeight="15" x14ac:dyDescent="0.25"/>
  <cols>
    <col min="1" max="1" width="36.42578125" style="1" customWidth="1"/>
    <col min="2" max="5" width="15.7109375" style="1" customWidth="1"/>
    <col min="6" max="6" width="1.5703125" style="1" customWidth="1"/>
    <col min="7" max="9" width="15.7109375" style="1" customWidth="1"/>
  </cols>
  <sheetData>
    <row r="1" spans="1:9" ht="15.75" customHeight="1" x14ac:dyDescent="0.25">
      <c r="A1" s="12" t="s">
        <v>48</v>
      </c>
      <c r="C1"/>
      <c r="D1"/>
      <c r="E1"/>
      <c r="F1"/>
      <c r="G1"/>
      <c r="H1"/>
      <c r="I1"/>
    </row>
    <row r="2" spans="1:9" ht="15.75" customHeight="1" x14ac:dyDescent="0.25">
      <c r="A2" s="13" t="s">
        <v>31</v>
      </c>
      <c r="B2"/>
      <c r="C2"/>
      <c r="D2"/>
      <c r="E2"/>
      <c r="F2"/>
      <c r="G2"/>
      <c r="H2"/>
      <c r="I2"/>
    </row>
    <row r="3" spans="1:9" ht="15.75" customHeight="1" x14ac:dyDescent="0.25">
      <c r="A3" s="13"/>
      <c r="B3"/>
      <c r="C3"/>
      <c r="D3"/>
      <c r="E3"/>
      <c r="F3"/>
      <c r="G3"/>
      <c r="H3"/>
      <c r="I3"/>
    </row>
    <row r="4" spans="1:9" x14ac:dyDescent="0.25">
      <c r="A4" s="14" t="s">
        <v>49</v>
      </c>
    </row>
    <row r="5" spans="1:9" ht="15.75" customHeight="1" thickBot="1" x14ac:dyDescent="0.3">
      <c r="A5"/>
      <c r="B5"/>
      <c r="C5"/>
      <c r="D5"/>
      <c r="E5"/>
      <c r="F5"/>
      <c r="G5"/>
      <c r="H5"/>
      <c r="I5"/>
    </row>
    <row r="6" spans="1:9" ht="15.75" customHeight="1" thickBot="1" x14ac:dyDescent="0.3">
      <c r="A6" s="458"/>
      <c r="B6" s="452" t="s">
        <v>33</v>
      </c>
      <c r="C6" s="460" t="s">
        <v>3</v>
      </c>
      <c r="D6" s="460"/>
      <c r="E6" s="461"/>
      <c r="F6" s="15"/>
      <c r="G6" s="455" t="s">
        <v>4</v>
      </c>
      <c r="H6" s="455"/>
      <c r="I6" s="456"/>
    </row>
    <row r="7" spans="1:9" ht="30.75" customHeight="1" thickBot="1" x14ac:dyDescent="0.3">
      <c r="A7" s="459"/>
      <c r="B7" s="457"/>
      <c r="C7" s="49" t="s">
        <v>34</v>
      </c>
      <c r="D7" s="50" t="s">
        <v>35</v>
      </c>
      <c r="E7" s="51" t="s">
        <v>36</v>
      </c>
      <c r="F7" s="19"/>
      <c r="G7" s="52" t="s">
        <v>34</v>
      </c>
      <c r="H7" s="53" t="s">
        <v>35</v>
      </c>
      <c r="I7" s="54" t="s">
        <v>36</v>
      </c>
    </row>
    <row r="8" spans="1:9" x14ac:dyDescent="0.25">
      <c r="A8" s="55" t="s">
        <v>50</v>
      </c>
      <c r="B8" s="56">
        <f>SUM(B9:B12)</f>
        <v>207964658</v>
      </c>
      <c r="C8" s="57">
        <f>SUM(C9:C12)</f>
        <v>212842085</v>
      </c>
      <c r="D8" s="58">
        <f t="shared" ref="D8:D39" si="0">C8-$B8</f>
        <v>4877427</v>
      </c>
      <c r="E8" s="59">
        <f t="shared" ref="E8:E39" si="1">IF($B8&gt;0,D8/$B8, "")</f>
        <v>2.3453153275687835E-2</v>
      </c>
      <c r="F8" s="60"/>
      <c r="G8" s="61">
        <f>SUM(G9:G12)</f>
        <v>222146251</v>
      </c>
      <c r="H8" s="58">
        <f t="shared" ref="H8:H39" si="2">G8-$B8</f>
        <v>14181593</v>
      </c>
      <c r="I8" s="59">
        <f t="shared" ref="I8:I39" si="3">IF($B8&gt;0,H8/$B8, "")</f>
        <v>6.8192322370467393E-2</v>
      </c>
    </row>
    <row r="9" spans="1:9" x14ac:dyDescent="0.25">
      <c r="A9" s="62" t="s">
        <v>51</v>
      </c>
      <c r="B9" s="63">
        <v>184795242</v>
      </c>
      <c r="C9" s="64">
        <v>191241291</v>
      </c>
      <c r="D9" s="23">
        <f t="shared" si="0"/>
        <v>6446049</v>
      </c>
      <c r="E9" s="65">
        <f t="shared" si="1"/>
        <v>3.4882115633691479E-2</v>
      </c>
      <c r="F9" s="19"/>
      <c r="G9" s="66">
        <v>196272455</v>
      </c>
      <c r="H9" s="23">
        <f t="shared" si="2"/>
        <v>11477213</v>
      </c>
      <c r="I9" s="65">
        <f t="shared" si="3"/>
        <v>6.2107730024780615E-2</v>
      </c>
    </row>
    <row r="10" spans="1:9" x14ac:dyDescent="0.25">
      <c r="A10" s="62" t="s">
        <v>52</v>
      </c>
      <c r="B10" s="63">
        <v>17680535</v>
      </c>
      <c r="C10" s="64">
        <v>15570491</v>
      </c>
      <c r="D10" s="23">
        <f t="shared" si="0"/>
        <v>-2110044</v>
      </c>
      <c r="E10" s="65">
        <f t="shared" si="1"/>
        <v>-0.11934276875671467</v>
      </c>
      <c r="F10" s="19"/>
      <c r="G10" s="66">
        <v>19843493</v>
      </c>
      <c r="H10" s="23">
        <f t="shared" si="2"/>
        <v>2162958</v>
      </c>
      <c r="I10" s="24">
        <f t="shared" si="3"/>
        <v>0.12233555149773466</v>
      </c>
    </row>
    <row r="11" spans="1:9" x14ac:dyDescent="0.25">
      <c r="A11" s="62" t="s">
        <v>53</v>
      </c>
      <c r="B11" s="63">
        <v>5488881</v>
      </c>
      <c r="C11" s="64">
        <v>6030303</v>
      </c>
      <c r="D11" s="23">
        <f t="shared" si="0"/>
        <v>541422</v>
      </c>
      <c r="E11" s="65">
        <f t="shared" si="1"/>
        <v>9.8639777397250911E-2</v>
      </c>
      <c r="F11" s="19"/>
      <c r="G11" s="66">
        <v>6030303</v>
      </c>
      <c r="H11" s="23">
        <f t="shared" si="2"/>
        <v>541422</v>
      </c>
      <c r="I11" s="65">
        <f t="shared" si="3"/>
        <v>9.8639777397250911E-2</v>
      </c>
    </row>
    <row r="12" spans="1:9" ht="15.75" customHeight="1" thickBot="1" x14ac:dyDescent="0.3">
      <c r="A12" s="67" t="s">
        <v>54</v>
      </c>
      <c r="B12" s="68">
        <v>0</v>
      </c>
      <c r="C12" s="69">
        <v>0</v>
      </c>
      <c r="D12" s="70">
        <f t="shared" si="0"/>
        <v>0</v>
      </c>
      <c r="E12" s="24" t="str">
        <f t="shared" si="1"/>
        <v/>
      </c>
      <c r="F12" s="71"/>
      <c r="G12" s="72">
        <v>0</v>
      </c>
      <c r="H12" s="23">
        <f t="shared" si="2"/>
        <v>0</v>
      </c>
      <c r="I12" s="24" t="str">
        <f t="shared" si="3"/>
        <v/>
      </c>
    </row>
    <row r="13" spans="1:9" x14ac:dyDescent="0.25">
      <c r="A13" s="55" t="s">
        <v>55</v>
      </c>
      <c r="B13" s="56">
        <f>SUM(B14:B17)</f>
        <v>10418248</v>
      </c>
      <c r="C13" s="57">
        <f>SUM(C14:C17)</f>
        <v>11268308</v>
      </c>
      <c r="D13" s="58">
        <f t="shared" si="0"/>
        <v>850060</v>
      </c>
      <c r="E13" s="59">
        <f t="shared" si="1"/>
        <v>8.1593373473159786E-2</v>
      </c>
      <c r="F13" s="60"/>
      <c r="G13" s="61">
        <f>SUM(G14:G17)</f>
        <v>11790338</v>
      </c>
      <c r="H13" s="58">
        <f t="shared" si="2"/>
        <v>1372090</v>
      </c>
      <c r="I13" s="59">
        <f t="shared" si="3"/>
        <v>0.13170064678821239</v>
      </c>
    </row>
    <row r="14" spans="1:9" x14ac:dyDescent="0.25">
      <c r="A14" s="62" t="s">
        <v>51</v>
      </c>
      <c r="B14" s="63">
        <v>8988877</v>
      </c>
      <c r="C14" s="64">
        <v>9845463</v>
      </c>
      <c r="D14" s="23">
        <f t="shared" si="0"/>
        <v>856586</v>
      </c>
      <c r="E14" s="65">
        <f t="shared" si="1"/>
        <v>9.5293995011835178E-2</v>
      </c>
      <c r="F14" s="19"/>
      <c r="G14" s="66">
        <v>10370335</v>
      </c>
      <c r="H14" s="23">
        <f t="shared" si="2"/>
        <v>1381458</v>
      </c>
      <c r="I14" s="65">
        <f t="shared" si="3"/>
        <v>0.15368527125246012</v>
      </c>
    </row>
    <row r="15" spans="1:9" x14ac:dyDescent="0.25">
      <c r="A15" s="62" t="s">
        <v>52</v>
      </c>
      <c r="B15" s="63">
        <v>1246022</v>
      </c>
      <c r="C15" s="64">
        <v>1228771</v>
      </c>
      <c r="D15" s="23">
        <f t="shared" si="0"/>
        <v>-17251</v>
      </c>
      <c r="E15" s="65">
        <f t="shared" si="1"/>
        <v>-1.3844859882088759E-2</v>
      </c>
      <c r="F15" s="19"/>
      <c r="G15" s="66">
        <v>1225929</v>
      </c>
      <c r="H15" s="23">
        <f t="shared" si="2"/>
        <v>-20093</v>
      </c>
      <c r="I15" s="24">
        <f t="shared" si="3"/>
        <v>-1.6125718486511474E-2</v>
      </c>
    </row>
    <row r="16" spans="1:9" x14ac:dyDescent="0.25">
      <c r="A16" s="62" t="s">
        <v>53</v>
      </c>
      <c r="B16" s="63">
        <v>183349</v>
      </c>
      <c r="C16" s="64">
        <v>194074</v>
      </c>
      <c r="D16" s="23">
        <f t="shared" si="0"/>
        <v>10725</v>
      </c>
      <c r="E16" s="65">
        <f t="shared" si="1"/>
        <v>5.849500133624945E-2</v>
      </c>
      <c r="F16" s="19"/>
      <c r="G16" s="66">
        <v>194074</v>
      </c>
      <c r="H16" s="23">
        <f t="shared" si="2"/>
        <v>10725</v>
      </c>
      <c r="I16" s="65">
        <f t="shared" si="3"/>
        <v>5.849500133624945E-2</v>
      </c>
    </row>
    <row r="17" spans="1:9" ht="15.75" customHeight="1" thickBot="1" x14ac:dyDescent="0.3">
      <c r="A17" s="67" t="s">
        <v>54</v>
      </c>
      <c r="B17" s="68">
        <v>0</v>
      </c>
      <c r="C17" s="69">
        <v>0</v>
      </c>
      <c r="D17" s="70">
        <f t="shared" si="0"/>
        <v>0</v>
      </c>
      <c r="E17" s="24" t="str">
        <f t="shared" si="1"/>
        <v/>
      </c>
      <c r="F17" s="71"/>
      <c r="G17" s="72">
        <v>0</v>
      </c>
      <c r="H17" s="23">
        <f t="shared" si="2"/>
        <v>0</v>
      </c>
      <c r="I17" s="24" t="str">
        <f t="shared" si="3"/>
        <v/>
      </c>
    </row>
    <row r="18" spans="1:9" x14ac:dyDescent="0.25">
      <c r="A18" s="55" t="s">
        <v>56</v>
      </c>
      <c r="B18" s="56">
        <f>SUM(B19:B22)</f>
        <v>13884444</v>
      </c>
      <c r="C18" s="57">
        <f>SUM(C19:C22)</f>
        <v>14193869</v>
      </c>
      <c r="D18" s="58">
        <f t="shared" si="0"/>
        <v>309425</v>
      </c>
      <c r="E18" s="59">
        <f t="shared" si="1"/>
        <v>2.2285732147430605E-2</v>
      </c>
      <c r="F18" s="60"/>
      <c r="G18" s="61">
        <f>SUM(G19:G22)</f>
        <v>14469038</v>
      </c>
      <c r="H18" s="58">
        <f t="shared" si="2"/>
        <v>584594</v>
      </c>
      <c r="I18" s="59">
        <f t="shared" si="3"/>
        <v>4.210424270500137E-2</v>
      </c>
    </row>
    <row r="19" spans="1:9" x14ac:dyDescent="0.25">
      <c r="A19" s="62" t="s">
        <v>51</v>
      </c>
      <c r="B19" s="63">
        <v>12064986</v>
      </c>
      <c r="C19" s="64">
        <v>12387796</v>
      </c>
      <c r="D19" s="23">
        <f t="shared" si="0"/>
        <v>322810</v>
      </c>
      <c r="E19" s="65">
        <f t="shared" si="1"/>
        <v>2.6755936558898619E-2</v>
      </c>
      <c r="F19" s="19"/>
      <c r="G19" s="66">
        <v>12665739</v>
      </c>
      <c r="H19" s="23">
        <f t="shared" si="2"/>
        <v>600753</v>
      </c>
      <c r="I19" s="65">
        <f t="shared" si="3"/>
        <v>4.9793095491366506E-2</v>
      </c>
    </row>
    <row r="20" spans="1:9" x14ac:dyDescent="0.25">
      <c r="A20" s="62" t="s">
        <v>52</v>
      </c>
      <c r="B20" s="63">
        <v>1577593</v>
      </c>
      <c r="C20" s="64">
        <v>1550147</v>
      </c>
      <c r="D20" s="23">
        <f t="shared" si="0"/>
        <v>-27446</v>
      </c>
      <c r="E20" s="65">
        <f t="shared" si="1"/>
        <v>-1.7397389567524704E-2</v>
      </c>
      <c r="F20" s="19"/>
      <c r="G20" s="66">
        <v>1547373</v>
      </c>
      <c r="H20" s="23">
        <f t="shared" si="2"/>
        <v>-30220</v>
      </c>
      <c r="I20" s="24">
        <f t="shared" si="3"/>
        <v>-1.9155764509604187E-2</v>
      </c>
    </row>
    <row r="21" spans="1:9" x14ac:dyDescent="0.25">
      <c r="A21" s="62" t="s">
        <v>53</v>
      </c>
      <c r="B21" s="63">
        <v>241865</v>
      </c>
      <c r="C21" s="64">
        <v>255926</v>
      </c>
      <c r="D21" s="23">
        <f t="shared" si="0"/>
        <v>14061</v>
      </c>
      <c r="E21" s="65">
        <f t="shared" si="1"/>
        <v>5.8135736878010463E-2</v>
      </c>
      <c r="F21" s="19"/>
      <c r="G21" s="66">
        <v>255926</v>
      </c>
      <c r="H21" s="23">
        <f t="shared" si="2"/>
        <v>14061</v>
      </c>
      <c r="I21" s="65">
        <f t="shared" si="3"/>
        <v>5.8135736878010463E-2</v>
      </c>
    </row>
    <row r="22" spans="1:9" ht="15.75" customHeight="1" thickBot="1" x14ac:dyDescent="0.3">
      <c r="A22" s="67" t="s">
        <v>54</v>
      </c>
      <c r="B22" s="68">
        <v>0</v>
      </c>
      <c r="C22" s="69">
        <v>0</v>
      </c>
      <c r="D22" s="70">
        <f t="shared" si="0"/>
        <v>0</v>
      </c>
      <c r="E22" s="24" t="str">
        <f t="shared" si="1"/>
        <v/>
      </c>
      <c r="F22" s="71"/>
      <c r="G22" s="72">
        <v>0</v>
      </c>
      <c r="H22" s="23">
        <f t="shared" si="2"/>
        <v>0</v>
      </c>
      <c r="I22" s="24" t="str">
        <f t="shared" si="3"/>
        <v/>
      </c>
    </row>
    <row r="23" spans="1:9" x14ac:dyDescent="0.25">
      <c r="A23" s="55" t="s">
        <v>57</v>
      </c>
      <c r="B23" s="56">
        <f>SUM(B24:B27)</f>
        <v>24219491</v>
      </c>
      <c r="C23" s="57">
        <f>SUM(C24:C27)</f>
        <v>20734009</v>
      </c>
      <c r="D23" s="58">
        <f t="shared" si="0"/>
        <v>-3485482</v>
      </c>
      <c r="E23" s="59">
        <f t="shared" si="1"/>
        <v>-0.14391227297055911</v>
      </c>
      <c r="F23" s="60"/>
      <c r="G23" s="61">
        <f>SUM(G24:G27)</f>
        <v>21111226</v>
      </c>
      <c r="H23" s="58">
        <f t="shared" si="2"/>
        <v>-3108265</v>
      </c>
      <c r="I23" s="59">
        <f t="shared" si="3"/>
        <v>-0.12833733789037929</v>
      </c>
    </row>
    <row r="24" spans="1:9" x14ac:dyDescent="0.25">
      <c r="A24" s="62" t="s">
        <v>51</v>
      </c>
      <c r="B24" s="63">
        <v>16720237</v>
      </c>
      <c r="C24" s="64">
        <v>17156825</v>
      </c>
      <c r="D24" s="23">
        <f t="shared" si="0"/>
        <v>436588</v>
      </c>
      <c r="E24" s="65">
        <f t="shared" si="1"/>
        <v>2.6111352368988549E-2</v>
      </c>
      <c r="F24" s="19"/>
      <c r="G24" s="66">
        <v>17536438</v>
      </c>
      <c r="H24" s="23">
        <f t="shared" si="2"/>
        <v>816201</v>
      </c>
      <c r="I24" s="65">
        <f t="shared" si="3"/>
        <v>4.8815157344958685E-2</v>
      </c>
    </row>
    <row r="25" spans="1:9" x14ac:dyDescent="0.25">
      <c r="A25" s="62" t="s">
        <v>52</v>
      </c>
      <c r="B25" s="63">
        <v>7034200</v>
      </c>
      <c r="C25" s="64">
        <v>3160528</v>
      </c>
      <c r="D25" s="23">
        <f t="shared" si="0"/>
        <v>-3873672</v>
      </c>
      <c r="E25" s="65">
        <f t="shared" si="1"/>
        <v>-0.55069119444997294</v>
      </c>
      <c r="F25" s="19"/>
      <c r="G25" s="66">
        <v>3158132</v>
      </c>
      <c r="H25" s="23">
        <f t="shared" si="2"/>
        <v>-3876068</v>
      </c>
      <c r="I25" s="24">
        <f t="shared" si="3"/>
        <v>-0.55103181598476014</v>
      </c>
    </row>
    <row r="26" spans="1:9" x14ac:dyDescent="0.25">
      <c r="A26" s="62" t="s">
        <v>53</v>
      </c>
      <c r="B26" s="63">
        <v>465054</v>
      </c>
      <c r="C26" s="64">
        <v>416656</v>
      </c>
      <c r="D26" s="23">
        <f t="shared" si="0"/>
        <v>-48398</v>
      </c>
      <c r="E26" s="65">
        <f t="shared" si="1"/>
        <v>-0.10406963492411633</v>
      </c>
      <c r="F26" s="19"/>
      <c r="G26" s="66">
        <v>416656</v>
      </c>
      <c r="H26" s="23">
        <f t="shared" si="2"/>
        <v>-48398</v>
      </c>
      <c r="I26" s="65">
        <f t="shared" si="3"/>
        <v>-0.10406963492411633</v>
      </c>
    </row>
    <row r="27" spans="1:9" ht="15.75" customHeight="1" thickBot="1" x14ac:dyDescent="0.3">
      <c r="A27" s="67" t="s">
        <v>54</v>
      </c>
      <c r="B27" s="68">
        <v>0</v>
      </c>
      <c r="C27" s="69">
        <v>0</v>
      </c>
      <c r="D27" s="70">
        <f t="shared" si="0"/>
        <v>0</v>
      </c>
      <c r="E27" s="24" t="str">
        <f t="shared" si="1"/>
        <v/>
      </c>
      <c r="F27" s="71"/>
      <c r="G27" s="72">
        <v>0</v>
      </c>
      <c r="H27" s="23">
        <f t="shared" si="2"/>
        <v>0</v>
      </c>
      <c r="I27" s="24" t="str">
        <f t="shared" si="3"/>
        <v/>
      </c>
    </row>
    <row r="28" spans="1:9" x14ac:dyDescent="0.25">
      <c r="A28" s="55" t="s">
        <v>58</v>
      </c>
      <c r="B28" s="56">
        <f>SUM(B29:B32)</f>
        <v>115661624</v>
      </c>
      <c r="C28" s="57">
        <f>SUM(C29:C32)</f>
        <v>109136039</v>
      </c>
      <c r="D28" s="58">
        <f t="shared" si="0"/>
        <v>-6525585</v>
      </c>
      <c r="E28" s="59">
        <f t="shared" si="1"/>
        <v>-5.6419621083653469E-2</v>
      </c>
      <c r="F28" s="60"/>
      <c r="G28" s="61">
        <f>SUM(G29:G32)</f>
        <v>112041097</v>
      </c>
      <c r="H28" s="58">
        <f t="shared" si="2"/>
        <v>-3620527</v>
      </c>
      <c r="I28" s="59">
        <f t="shared" si="3"/>
        <v>-3.1302750858832828E-2</v>
      </c>
    </row>
    <row r="29" spans="1:9" x14ac:dyDescent="0.25">
      <c r="A29" s="62" t="s">
        <v>51</v>
      </c>
      <c r="B29" s="63">
        <v>95960976</v>
      </c>
      <c r="C29" s="64">
        <v>99868166</v>
      </c>
      <c r="D29" s="23">
        <f t="shared" si="0"/>
        <v>3907190</v>
      </c>
      <c r="E29" s="65">
        <f t="shared" si="1"/>
        <v>4.0716447069066908E-2</v>
      </c>
      <c r="F29" s="19"/>
      <c r="G29" s="66">
        <v>102769696</v>
      </c>
      <c r="H29" s="23">
        <f t="shared" si="2"/>
        <v>6808720</v>
      </c>
      <c r="I29" s="65">
        <f t="shared" si="3"/>
        <v>7.0953009064851524E-2</v>
      </c>
    </row>
    <row r="30" spans="1:9" x14ac:dyDescent="0.25">
      <c r="A30" s="62" t="s">
        <v>52</v>
      </c>
      <c r="B30" s="63">
        <v>15530879</v>
      </c>
      <c r="C30" s="64">
        <v>4788025</v>
      </c>
      <c r="D30" s="23">
        <f t="shared" si="0"/>
        <v>-10742854</v>
      </c>
      <c r="E30" s="65">
        <f t="shared" si="1"/>
        <v>-0.6917093359622466</v>
      </c>
      <c r="F30" s="19"/>
      <c r="G30" s="66">
        <v>4791553</v>
      </c>
      <c r="H30" s="23">
        <f t="shared" si="2"/>
        <v>-10739326</v>
      </c>
      <c r="I30" s="24">
        <f t="shared" si="3"/>
        <v>-0.69148217560641612</v>
      </c>
    </row>
    <row r="31" spans="1:9" x14ac:dyDescent="0.25">
      <c r="A31" s="62" t="s">
        <v>53</v>
      </c>
      <c r="B31" s="63">
        <v>4169769</v>
      </c>
      <c r="C31" s="64">
        <v>4479848</v>
      </c>
      <c r="D31" s="23">
        <f t="shared" si="0"/>
        <v>310079</v>
      </c>
      <c r="E31" s="65">
        <f t="shared" si="1"/>
        <v>7.4363591844056595E-2</v>
      </c>
      <c r="F31" s="19"/>
      <c r="G31" s="66">
        <v>4479848</v>
      </c>
      <c r="H31" s="23">
        <f t="shared" si="2"/>
        <v>310079</v>
      </c>
      <c r="I31" s="65">
        <f t="shared" si="3"/>
        <v>7.4363591844056595E-2</v>
      </c>
    </row>
    <row r="32" spans="1:9" ht="15.75" customHeight="1" thickBot="1" x14ac:dyDescent="0.3">
      <c r="A32" s="67" t="s">
        <v>54</v>
      </c>
      <c r="B32" s="68">
        <v>0</v>
      </c>
      <c r="C32" s="69">
        <v>0</v>
      </c>
      <c r="D32" s="70">
        <f t="shared" si="0"/>
        <v>0</v>
      </c>
      <c r="E32" s="24" t="str">
        <f t="shared" si="1"/>
        <v/>
      </c>
      <c r="F32" s="71"/>
      <c r="G32" s="72">
        <v>0</v>
      </c>
      <c r="H32" s="23">
        <f t="shared" si="2"/>
        <v>0</v>
      </c>
      <c r="I32" s="24" t="str">
        <f t="shared" si="3"/>
        <v/>
      </c>
    </row>
    <row r="33" spans="1:9" x14ac:dyDescent="0.25">
      <c r="A33" s="55" t="s">
        <v>59</v>
      </c>
      <c r="B33" s="56">
        <f>SUM(B34:B37)</f>
        <v>26591044</v>
      </c>
      <c r="C33" s="57">
        <f>SUM(C34:C37)</f>
        <v>26930263</v>
      </c>
      <c r="D33" s="58">
        <f t="shared" si="0"/>
        <v>339219</v>
      </c>
      <c r="E33" s="59">
        <f t="shared" si="1"/>
        <v>1.2756889124022359E-2</v>
      </c>
      <c r="F33" s="60"/>
      <c r="G33" s="61">
        <f>SUM(G34:G37)</f>
        <v>27314425</v>
      </c>
      <c r="H33" s="58">
        <f t="shared" si="2"/>
        <v>723381</v>
      </c>
      <c r="I33" s="59">
        <f t="shared" si="3"/>
        <v>2.7203933775597527E-2</v>
      </c>
    </row>
    <row r="34" spans="1:9" x14ac:dyDescent="0.25">
      <c r="A34" s="62" t="s">
        <v>51</v>
      </c>
      <c r="B34" s="63">
        <v>22254859</v>
      </c>
      <c r="C34" s="64">
        <v>22610386</v>
      </c>
      <c r="D34" s="23">
        <f t="shared" si="0"/>
        <v>355527</v>
      </c>
      <c r="E34" s="65">
        <f t="shared" si="1"/>
        <v>1.5975252865003547E-2</v>
      </c>
      <c r="F34" s="19"/>
      <c r="G34" s="66">
        <v>22999338</v>
      </c>
      <c r="H34" s="23">
        <f t="shared" si="2"/>
        <v>744479</v>
      </c>
      <c r="I34" s="65">
        <f t="shared" si="3"/>
        <v>3.3452424928866097E-2</v>
      </c>
    </row>
    <row r="35" spans="1:9" x14ac:dyDescent="0.25">
      <c r="A35" s="62" t="s">
        <v>52</v>
      </c>
      <c r="B35" s="63">
        <v>3863236</v>
      </c>
      <c r="C35" s="64">
        <v>3817057</v>
      </c>
      <c r="D35" s="23">
        <f t="shared" si="0"/>
        <v>-46179</v>
      </c>
      <c r="E35" s="65">
        <f t="shared" si="1"/>
        <v>-1.1953450423427407E-2</v>
      </c>
      <c r="F35" s="19"/>
      <c r="G35" s="66">
        <v>3812267</v>
      </c>
      <c r="H35" s="23">
        <f t="shared" si="2"/>
        <v>-50969</v>
      </c>
      <c r="I35" s="24">
        <f t="shared" si="3"/>
        <v>-1.3193343611417992E-2</v>
      </c>
    </row>
    <row r="36" spans="1:9" x14ac:dyDescent="0.25">
      <c r="A36" s="62" t="s">
        <v>53</v>
      </c>
      <c r="B36" s="63">
        <v>472949</v>
      </c>
      <c r="C36" s="64">
        <v>502820</v>
      </c>
      <c r="D36" s="23">
        <f t="shared" si="0"/>
        <v>29871</v>
      </c>
      <c r="E36" s="65">
        <f t="shared" si="1"/>
        <v>6.3159029831969193E-2</v>
      </c>
      <c r="F36" s="19"/>
      <c r="G36" s="66">
        <v>502820</v>
      </c>
      <c r="H36" s="23">
        <f t="shared" si="2"/>
        <v>29871</v>
      </c>
      <c r="I36" s="65">
        <f t="shared" si="3"/>
        <v>6.3159029831969193E-2</v>
      </c>
    </row>
    <row r="37" spans="1:9" ht="15.75" customHeight="1" thickBot="1" x14ac:dyDescent="0.3">
      <c r="A37" s="67" t="s">
        <v>54</v>
      </c>
      <c r="B37" s="68">
        <v>0</v>
      </c>
      <c r="C37" s="69">
        <v>0</v>
      </c>
      <c r="D37" s="70">
        <f t="shared" si="0"/>
        <v>0</v>
      </c>
      <c r="E37" s="24" t="str">
        <f t="shared" si="1"/>
        <v/>
      </c>
      <c r="F37" s="71"/>
      <c r="G37" s="72">
        <v>0</v>
      </c>
      <c r="H37" s="23">
        <f t="shared" si="2"/>
        <v>0</v>
      </c>
      <c r="I37" s="24" t="str">
        <f t="shared" si="3"/>
        <v/>
      </c>
    </row>
    <row r="38" spans="1:9" x14ac:dyDescent="0.25">
      <c r="A38" s="55" t="s">
        <v>60</v>
      </c>
      <c r="B38" s="56">
        <f>SUM(B39:B42)</f>
        <v>22019008</v>
      </c>
      <c r="C38" s="57">
        <f>SUM(C39:C42)</f>
        <v>22122478</v>
      </c>
      <c r="D38" s="58">
        <f t="shared" si="0"/>
        <v>103470</v>
      </c>
      <c r="E38" s="59">
        <f t="shared" si="1"/>
        <v>4.6991217769665194E-3</v>
      </c>
      <c r="F38" s="60"/>
      <c r="G38" s="61">
        <f>SUM(G39:G42)</f>
        <v>22350181</v>
      </c>
      <c r="H38" s="58">
        <f t="shared" si="2"/>
        <v>331173</v>
      </c>
      <c r="I38" s="59">
        <f t="shared" si="3"/>
        <v>1.5040323342450305E-2</v>
      </c>
    </row>
    <row r="39" spans="1:9" x14ac:dyDescent="0.25">
      <c r="A39" s="62" t="s">
        <v>51</v>
      </c>
      <c r="B39" s="63">
        <v>19093240</v>
      </c>
      <c r="C39" s="64">
        <v>19196736</v>
      </c>
      <c r="D39" s="23">
        <f t="shared" si="0"/>
        <v>103496</v>
      </c>
      <c r="E39" s="65">
        <f t="shared" si="1"/>
        <v>5.4205572233942487E-3</v>
      </c>
      <c r="F39" s="19"/>
      <c r="G39" s="66">
        <v>19426484</v>
      </c>
      <c r="H39" s="23">
        <f t="shared" si="2"/>
        <v>333244</v>
      </c>
      <c r="I39" s="65">
        <f t="shared" si="3"/>
        <v>1.7453507105132497E-2</v>
      </c>
    </row>
    <row r="40" spans="1:9" x14ac:dyDescent="0.25">
      <c r="A40" s="62" t="s">
        <v>52</v>
      </c>
      <c r="B40" s="63">
        <v>2491336</v>
      </c>
      <c r="C40" s="64">
        <v>2461714</v>
      </c>
      <c r="D40" s="23">
        <f t="shared" ref="D40:D56" si="4">C40-$B40</f>
        <v>-29622</v>
      </c>
      <c r="E40" s="65">
        <f t="shared" ref="E40:E56" si="5">IF($B40&gt;0,D40/$B40, "")</f>
        <v>-1.189000600481027E-2</v>
      </c>
      <c r="F40" s="19"/>
      <c r="G40" s="66">
        <v>2459669</v>
      </c>
      <c r="H40" s="23">
        <f t="shared" ref="H40:H56" si="6">G40-$B40</f>
        <v>-31667</v>
      </c>
      <c r="I40" s="24">
        <f t="shared" ref="I40:I56" si="7">IF($B40&gt;0,H40/$B40, "")</f>
        <v>-1.271085072427003E-2</v>
      </c>
    </row>
    <row r="41" spans="1:9" x14ac:dyDescent="0.25">
      <c r="A41" s="62" t="s">
        <v>53</v>
      </c>
      <c r="B41" s="63">
        <v>434432</v>
      </c>
      <c r="C41" s="64">
        <v>464028</v>
      </c>
      <c r="D41" s="23">
        <f t="shared" si="4"/>
        <v>29596</v>
      </c>
      <c r="E41" s="65">
        <f t="shared" si="5"/>
        <v>6.8125736593989392E-2</v>
      </c>
      <c r="F41" s="19"/>
      <c r="G41" s="66">
        <v>464028</v>
      </c>
      <c r="H41" s="23">
        <f t="shared" si="6"/>
        <v>29596</v>
      </c>
      <c r="I41" s="65">
        <f t="shared" si="7"/>
        <v>6.8125736593989392E-2</v>
      </c>
    </row>
    <row r="42" spans="1:9" ht="15.75" customHeight="1" thickBot="1" x14ac:dyDescent="0.3">
      <c r="A42" s="67" t="s">
        <v>54</v>
      </c>
      <c r="B42" s="68">
        <v>0</v>
      </c>
      <c r="C42" s="69">
        <v>0</v>
      </c>
      <c r="D42" s="70">
        <f t="shared" si="4"/>
        <v>0</v>
      </c>
      <c r="E42" s="24" t="str">
        <f t="shared" si="5"/>
        <v/>
      </c>
      <c r="F42" s="71"/>
      <c r="G42" s="72">
        <v>0</v>
      </c>
      <c r="H42" s="23">
        <f t="shared" si="6"/>
        <v>0</v>
      </c>
      <c r="I42" s="24" t="str">
        <f t="shared" si="7"/>
        <v/>
      </c>
    </row>
    <row r="43" spans="1:9" x14ac:dyDescent="0.25">
      <c r="A43" s="55" t="s">
        <v>61</v>
      </c>
      <c r="B43" s="56">
        <f>SUM(B44:B47)</f>
        <v>129400900</v>
      </c>
      <c r="C43" s="57">
        <f>SUM(C44:C47)</f>
        <v>128443711.66738699</v>
      </c>
      <c r="D43" s="58">
        <f t="shared" si="4"/>
        <v>-957188.33261300623</v>
      </c>
      <c r="E43" s="59">
        <f t="shared" si="5"/>
        <v>-7.3970763156439119E-3</v>
      </c>
      <c r="F43" s="60"/>
      <c r="G43" s="61">
        <f>SUM(G44:G47)</f>
        <v>133388327.305426</v>
      </c>
      <c r="H43" s="58">
        <f t="shared" si="6"/>
        <v>3987427.3054260015</v>
      </c>
      <c r="I43" s="59">
        <f t="shared" si="7"/>
        <v>3.0814525288664928E-2</v>
      </c>
    </row>
    <row r="44" spans="1:9" x14ac:dyDescent="0.25">
      <c r="A44" s="62" t="s">
        <v>51</v>
      </c>
      <c r="B44" s="63">
        <v>112414221</v>
      </c>
      <c r="C44" s="64">
        <v>114555374.66738699</v>
      </c>
      <c r="D44" s="23">
        <f t="shared" si="4"/>
        <v>2141153.6673869938</v>
      </c>
      <c r="E44" s="65">
        <f t="shared" si="5"/>
        <v>1.9046999999999946E-2</v>
      </c>
      <c r="F44" s="19"/>
      <c r="G44" s="66">
        <v>116697877.305426</v>
      </c>
      <c r="H44" s="23">
        <f t="shared" si="6"/>
        <v>4283656.3054260015</v>
      </c>
      <c r="I44" s="65">
        <f t="shared" si="7"/>
        <v>3.8106000000000015E-2</v>
      </c>
    </row>
    <row r="45" spans="1:9" x14ac:dyDescent="0.25">
      <c r="A45" s="62" t="s">
        <v>52</v>
      </c>
      <c r="B45" s="63">
        <v>3486679</v>
      </c>
      <c r="C45" s="64">
        <v>13888337</v>
      </c>
      <c r="D45" s="23">
        <f t="shared" si="4"/>
        <v>10401658</v>
      </c>
      <c r="E45" s="65">
        <f t="shared" si="5"/>
        <v>2.9832565601823395</v>
      </c>
      <c r="F45" s="19"/>
      <c r="G45" s="66">
        <v>16690450</v>
      </c>
      <c r="H45" s="23">
        <f t="shared" si="6"/>
        <v>13203771</v>
      </c>
      <c r="I45" s="24">
        <f t="shared" si="7"/>
        <v>3.7869190137663948</v>
      </c>
    </row>
    <row r="46" spans="1:9" x14ac:dyDescent="0.25">
      <c r="A46" s="62" t="s">
        <v>53</v>
      </c>
      <c r="B46" s="63">
        <v>0</v>
      </c>
      <c r="C46" s="64">
        <v>0</v>
      </c>
      <c r="D46" s="23">
        <f t="shared" si="4"/>
        <v>0</v>
      </c>
      <c r="E46" s="65" t="str">
        <f t="shared" si="5"/>
        <v/>
      </c>
      <c r="F46" s="19"/>
      <c r="G46" s="66">
        <v>0</v>
      </c>
      <c r="H46" s="23">
        <f t="shared" si="6"/>
        <v>0</v>
      </c>
      <c r="I46" s="65" t="str">
        <f t="shared" si="7"/>
        <v/>
      </c>
    </row>
    <row r="47" spans="1:9" ht="15.75" customHeight="1" thickBot="1" x14ac:dyDescent="0.3">
      <c r="A47" s="67" t="s">
        <v>54</v>
      </c>
      <c r="B47" s="68">
        <v>13500000</v>
      </c>
      <c r="C47" s="69">
        <v>0</v>
      </c>
      <c r="D47" s="70">
        <f t="shared" si="4"/>
        <v>-13500000</v>
      </c>
      <c r="E47" s="24">
        <f t="shared" si="5"/>
        <v>-1</v>
      </c>
      <c r="F47" s="71"/>
      <c r="G47" s="72">
        <v>0</v>
      </c>
      <c r="H47" s="23">
        <f t="shared" si="6"/>
        <v>-13500000</v>
      </c>
      <c r="I47" s="24">
        <f t="shared" si="7"/>
        <v>-1</v>
      </c>
    </row>
    <row r="48" spans="1:9" x14ac:dyDescent="0.25">
      <c r="A48" s="55" t="s">
        <v>62</v>
      </c>
      <c r="B48" s="56">
        <f>SUM(B49:B50)</f>
        <v>14500000</v>
      </c>
      <c r="C48" s="57">
        <f>SUM(C49:C50)</f>
        <v>0</v>
      </c>
      <c r="D48" s="58">
        <f t="shared" si="4"/>
        <v>-14500000</v>
      </c>
      <c r="E48" s="59">
        <f t="shared" si="5"/>
        <v>-1</v>
      </c>
      <c r="F48" s="60"/>
      <c r="G48" s="61">
        <f>SUM(G49:G50)</f>
        <v>0</v>
      </c>
      <c r="H48" s="58">
        <f t="shared" si="6"/>
        <v>-14500000</v>
      </c>
      <c r="I48" s="59">
        <f t="shared" si="7"/>
        <v>-1</v>
      </c>
    </row>
    <row r="49" spans="1:9" x14ac:dyDescent="0.25">
      <c r="A49" s="62" t="s">
        <v>52</v>
      </c>
      <c r="B49" s="63">
        <v>0</v>
      </c>
      <c r="C49" s="64">
        <v>0</v>
      </c>
      <c r="D49" s="23">
        <f t="shared" si="4"/>
        <v>0</v>
      </c>
      <c r="E49" s="65" t="str">
        <f t="shared" si="5"/>
        <v/>
      </c>
      <c r="F49" s="19"/>
      <c r="G49" s="66">
        <v>0</v>
      </c>
      <c r="H49" s="23">
        <f t="shared" si="6"/>
        <v>0</v>
      </c>
      <c r="I49" s="24" t="str">
        <f t="shared" si="7"/>
        <v/>
      </c>
    </row>
    <row r="50" spans="1:9" ht="15.75" customHeight="1" thickBot="1" x14ac:dyDescent="0.3">
      <c r="A50" s="62" t="s">
        <v>54</v>
      </c>
      <c r="B50" s="63">
        <v>14500000</v>
      </c>
      <c r="C50" s="64">
        <v>0</v>
      </c>
      <c r="D50" s="23">
        <f t="shared" si="4"/>
        <v>-14500000</v>
      </c>
      <c r="E50" s="65">
        <f t="shared" si="5"/>
        <v>-1</v>
      </c>
      <c r="F50" s="19"/>
      <c r="G50" s="66">
        <v>0</v>
      </c>
      <c r="H50" s="23">
        <f t="shared" si="6"/>
        <v>-14500000</v>
      </c>
      <c r="I50" s="65">
        <f t="shared" si="7"/>
        <v>-1</v>
      </c>
    </row>
    <row r="51" spans="1:9" ht="15.75" customHeight="1" thickTop="1" x14ac:dyDescent="0.25">
      <c r="A51" s="73" t="s">
        <v>63</v>
      </c>
      <c r="B51" s="74">
        <f>SUM(B52:B56)</f>
        <v>574849225</v>
      </c>
      <c r="C51" s="75">
        <f>SUM(C52:C56)</f>
        <v>556764603.66738701</v>
      </c>
      <c r="D51" s="76">
        <f t="shared" si="4"/>
        <v>-18084621.332612991</v>
      </c>
      <c r="E51" s="77">
        <f t="shared" si="5"/>
        <v>-3.1459764658485871E-2</v>
      </c>
      <c r="F51" s="32"/>
      <c r="G51" s="78">
        <f>SUM(G52:G56)</f>
        <v>575701185.305426</v>
      </c>
      <c r="H51" s="76">
        <f t="shared" si="6"/>
        <v>851960.30542600155</v>
      </c>
      <c r="I51" s="77">
        <f t="shared" si="7"/>
        <v>1.4820587179638306E-3</v>
      </c>
    </row>
    <row r="52" spans="1:9" x14ac:dyDescent="0.25">
      <c r="A52" s="79" t="s">
        <v>51</v>
      </c>
      <c r="B52" s="80">
        <f>SUM(B9,B14,B19,B24,B29,B34,B39,B44)</f>
        <v>472292638</v>
      </c>
      <c r="C52" s="81">
        <f>SUM(C9,C14,C19,C24,C29,C34,C39,C44)</f>
        <v>486862037.66738701</v>
      </c>
      <c r="D52" s="82">
        <f t="shared" si="4"/>
        <v>14569399.667387009</v>
      </c>
      <c r="E52" s="83">
        <f t="shared" si="5"/>
        <v>3.0848246394615638E-2</v>
      </c>
      <c r="F52" s="19"/>
      <c r="G52" s="84">
        <f>SUM(G9,G14,G19,G24,G29,G34,G39,G44)</f>
        <v>498738362.305426</v>
      </c>
      <c r="H52" s="82">
        <f t="shared" si="6"/>
        <v>26445724.305426002</v>
      </c>
      <c r="I52" s="83">
        <f t="shared" si="7"/>
        <v>5.5994360651935464E-2</v>
      </c>
    </row>
    <row r="53" spans="1:9" x14ac:dyDescent="0.25">
      <c r="A53" s="79" t="s">
        <v>52</v>
      </c>
      <c r="B53" s="80">
        <f>SUM(B10,B15,B20,B25,B30,B35,B40,B45,B49)</f>
        <v>52910480</v>
      </c>
      <c r="C53" s="81">
        <f>SUM(C10,C15,C20,C25,C30,C35,C40,C45,C49)</f>
        <v>46465070</v>
      </c>
      <c r="D53" s="82">
        <f t="shared" si="4"/>
        <v>-6445410</v>
      </c>
      <c r="E53" s="83">
        <f t="shared" si="5"/>
        <v>-0.12181726569103134</v>
      </c>
      <c r="F53" s="19"/>
      <c r="G53" s="84">
        <f>SUM(G10,G15,G20,G25,G30,G35,G40,G45,G49)</f>
        <v>53528866</v>
      </c>
      <c r="H53" s="82">
        <f t="shared" si="6"/>
        <v>618386</v>
      </c>
      <c r="I53" s="85">
        <f t="shared" si="7"/>
        <v>1.1687401059298649E-2</v>
      </c>
    </row>
    <row r="54" spans="1:9" x14ac:dyDescent="0.25">
      <c r="A54" s="79" t="s">
        <v>53</v>
      </c>
      <c r="B54" s="80">
        <f>SUM(B11,B16,B21,B26,B31,B36,B41,B46)</f>
        <v>11456299</v>
      </c>
      <c r="C54" s="81">
        <f>SUM(C11,C16,C21,C26,C31,C36,C41,C46)</f>
        <v>12343655</v>
      </c>
      <c r="D54" s="82">
        <f t="shared" si="4"/>
        <v>887356</v>
      </c>
      <c r="E54" s="83">
        <f t="shared" si="5"/>
        <v>7.7455729812917762E-2</v>
      </c>
      <c r="F54" s="19"/>
      <c r="G54" s="84">
        <f>SUM(G11,G16,G21,G26,G31,G36,G41,G46)</f>
        <v>12343655</v>
      </c>
      <c r="H54" s="82">
        <f t="shared" si="6"/>
        <v>887356</v>
      </c>
      <c r="I54" s="83">
        <f t="shared" si="7"/>
        <v>7.7455729812917762E-2</v>
      </c>
    </row>
    <row r="55" spans="1:9" x14ac:dyDescent="0.25">
      <c r="A55" s="79" t="s">
        <v>64</v>
      </c>
      <c r="B55" s="80">
        <v>10189808</v>
      </c>
      <c r="C55" s="81">
        <v>11093841</v>
      </c>
      <c r="D55" s="82">
        <f t="shared" si="4"/>
        <v>904033</v>
      </c>
      <c r="E55" s="83">
        <f t="shared" si="5"/>
        <v>8.8719336026743589E-2</v>
      </c>
      <c r="F55" s="19"/>
      <c r="G55" s="84">
        <v>11090302</v>
      </c>
      <c r="H55" s="82">
        <f t="shared" si="6"/>
        <v>900494</v>
      </c>
      <c r="I55" s="85">
        <f t="shared" si="7"/>
        <v>8.8372028207008416E-2</v>
      </c>
    </row>
    <row r="56" spans="1:9" ht="15.75" customHeight="1" thickBot="1" x14ac:dyDescent="0.3">
      <c r="A56" s="86" t="s">
        <v>54</v>
      </c>
      <c r="B56" s="87">
        <f>SUM(B12,B17,B22,B27,B32,B37,B42,B47,B50)</f>
        <v>28000000</v>
      </c>
      <c r="C56" s="88">
        <f>SUM(C12,C17,C22,C27,C32,C37,C42,C47,C50)</f>
        <v>0</v>
      </c>
      <c r="D56" s="89">
        <f t="shared" si="4"/>
        <v>-28000000</v>
      </c>
      <c r="E56" s="90">
        <f t="shared" si="5"/>
        <v>-1</v>
      </c>
      <c r="F56" s="71"/>
      <c r="G56" s="88">
        <f>SUM(G12,G17,G22,G27,G32,G37,G42,G47,G50)</f>
        <v>0</v>
      </c>
      <c r="H56" s="91">
        <f t="shared" si="6"/>
        <v>-28000000</v>
      </c>
      <c r="I56" s="92">
        <f t="shared" si="7"/>
        <v>-1</v>
      </c>
    </row>
    <row r="57" spans="1:9" ht="15.75" customHeight="1" thickBot="1" x14ac:dyDescent="0.3">
      <c r="A57" s="93"/>
      <c r="B57" s="94"/>
      <c r="C57" s="95"/>
      <c r="D57" s="95"/>
      <c r="E57" s="95"/>
      <c r="F57" s="95"/>
      <c r="G57" s="95"/>
      <c r="H57" s="95"/>
      <c r="I57" s="96"/>
    </row>
    <row r="58" spans="1:9" x14ac:dyDescent="0.25">
      <c r="A58" s="55" t="s">
        <v>65</v>
      </c>
      <c r="B58" s="56">
        <f>SUM(B59:B62)</f>
        <v>298122895</v>
      </c>
      <c r="C58" s="57">
        <f>SUM(C59:C62)</f>
        <v>270370922</v>
      </c>
      <c r="D58" s="58">
        <f t="shared" ref="D58:D86" si="8">C58-$B58</f>
        <v>-27751973</v>
      </c>
      <c r="E58" s="59">
        <f t="shared" ref="E58:E86" si="9">IF($B58&gt;0,D58/$B58, "")</f>
        <v>-9.3089036318394797E-2</v>
      </c>
      <c r="F58" s="60"/>
      <c r="G58" s="61">
        <f>SUM(G59:G62)</f>
        <v>271998906</v>
      </c>
      <c r="H58" s="58">
        <f t="shared" ref="H58:H86" si="10">G58-$B58</f>
        <v>-26123989</v>
      </c>
      <c r="I58" s="59">
        <f t="shared" ref="I58:I86" si="11">IF($B58&gt;0,H58/$B58, "")</f>
        <v>-8.7628254783987655E-2</v>
      </c>
    </row>
    <row r="59" spans="1:9" x14ac:dyDescent="0.25">
      <c r="A59" s="62" t="s">
        <v>51</v>
      </c>
      <c r="B59" s="63">
        <v>244792248</v>
      </c>
      <c r="C59" s="64">
        <v>240943965</v>
      </c>
      <c r="D59" s="23">
        <f t="shared" si="8"/>
        <v>-3848283</v>
      </c>
      <c r="E59" s="65">
        <f t="shared" si="9"/>
        <v>-1.5720608113374571E-2</v>
      </c>
      <c r="F59" s="19"/>
      <c r="G59" s="66">
        <v>241219741</v>
      </c>
      <c r="H59" s="23">
        <f t="shared" si="10"/>
        <v>-3572507</v>
      </c>
      <c r="I59" s="65">
        <f t="shared" si="11"/>
        <v>-1.4594036490894108E-2</v>
      </c>
    </row>
    <row r="60" spans="1:9" x14ac:dyDescent="0.25">
      <c r="A60" s="62" t="s">
        <v>52</v>
      </c>
      <c r="B60" s="63">
        <v>20821980</v>
      </c>
      <c r="C60" s="64">
        <v>20814754</v>
      </c>
      <c r="D60" s="23">
        <f t="shared" si="8"/>
        <v>-7226</v>
      </c>
      <c r="E60" s="65">
        <f t="shared" si="9"/>
        <v>-3.4703712134965072E-4</v>
      </c>
      <c r="F60" s="19"/>
      <c r="G60" s="66">
        <v>22166962</v>
      </c>
      <c r="H60" s="23">
        <f t="shared" si="10"/>
        <v>1344982</v>
      </c>
      <c r="I60" s="24">
        <f t="shared" si="11"/>
        <v>6.4594337330071402E-2</v>
      </c>
    </row>
    <row r="61" spans="1:9" x14ac:dyDescent="0.25">
      <c r="A61" s="62" t="s">
        <v>53</v>
      </c>
      <c r="B61" s="63">
        <v>7508667</v>
      </c>
      <c r="C61" s="64">
        <v>8612203</v>
      </c>
      <c r="D61" s="23">
        <f t="shared" si="8"/>
        <v>1103536</v>
      </c>
      <c r="E61" s="65">
        <f t="shared" si="9"/>
        <v>0.14696829676958639</v>
      </c>
      <c r="F61" s="19"/>
      <c r="G61" s="66">
        <v>8612203</v>
      </c>
      <c r="H61" s="23">
        <f t="shared" si="10"/>
        <v>1103536</v>
      </c>
      <c r="I61" s="65">
        <f t="shared" si="11"/>
        <v>0.14696829676958639</v>
      </c>
    </row>
    <row r="62" spans="1:9" ht="15.75" customHeight="1" thickBot="1" x14ac:dyDescent="0.3">
      <c r="A62" s="67" t="s">
        <v>54</v>
      </c>
      <c r="B62" s="68">
        <v>25000000</v>
      </c>
      <c r="C62" s="69">
        <v>0</v>
      </c>
      <c r="D62" s="70">
        <f t="shared" si="8"/>
        <v>-25000000</v>
      </c>
      <c r="E62" s="24">
        <f t="shared" si="9"/>
        <v>-1</v>
      </c>
      <c r="F62" s="71"/>
      <c r="G62" s="72">
        <v>0</v>
      </c>
      <c r="H62" s="23">
        <f t="shared" si="10"/>
        <v>-25000000</v>
      </c>
      <c r="I62" s="24">
        <f t="shared" si="11"/>
        <v>-1</v>
      </c>
    </row>
    <row r="63" spans="1:9" x14ac:dyDescent="0.25">
      <c r="A63" s="55" t="s">
        <v>66</v>
      </c>
      <c r="B63" s="56">
        <f>SUM(B64:B67)</f>
        <v>29973740</v>
      </c>
      <c r="C63" s="57">
        <f>SUM(C64:C67)</f>
        <v>31400721</v>
      </c>
      <c r="D63" s="58">
        <f t="shared" si="8"/>
        <v>1426981</v>
      </c>
      <c r="E63" s="59">
        <f t="shared" si="9"/>
        <v>4.7607705945270758E-2</v>
      </c>
      <c r="F63" s="60"/>
      <c r="G63" s="61">
        <f>SUM(G64:G67)</f>
        <v>30836620</v>
      </c>
      <c r="H63" s="58">
        <f t="shared" si="10"/>
        <v>862880</v>
      </c>
      <c r="I63" s="59">
        <f t="shared" si="11"/>
        <v>2.8787865645061309E-2</v>
      </c>
    </row>
    <row r="64" spans="1:9" x14ac:dyDescent="0.25">
      <c r="A64" s="62" t="s">
        <v>51</v>
      </c>
      <c r="B64" s="63">
        <v>27843362</v>
      </c>
      <c r="C64" s="64">
        <v>28002665</v>
      </c>
      <c r="D64" s="23">
        <f t="shared" si="8"/>
        <v>159303</v>
      </c>
      <c r="E64" s="65">
        <f t="shared" si="9"/>
        <v>5.7213995924773739E-3</v>
      </c>
      <c r="F64" s="19"/>
      <c r="G64" s="66">
        <v>28341970</v>
      </c>
      <c r="H64" s="23">
        <f t="shared" si="10"/>
        <v>498608</v>
      </c>
      <c r="I64" s="65">
        <f t="shared" si="11"/>
        <v>1.7907607565494425E-2</v>
      </c>
    </row>
    <row r="65" spans="1:9" x14ac:dyDescent="0.25">
      <c r="A65" s="62" t="s">
        <v>52</v>
      </c>
      <c r="B65" s="63">
        <v>1478484</v>
      </c>
      <c r="C65" s="64">
        <v>1477771</v>
      </c>
      <c r="D65" s="23">
        <f t="shared" si="8"/>
        <v>-713</v>
      </c>
      <c r="E65" s="65">
        <f t="shared" si="9"/>
        <v>-4.8225073791802956E-4</v>
      </c>
      <c r="F65" s="19"/>
      <c r="G65" s="66">
        <v>574365</v>
      </c>
      <c r="H65" s="23">
        <f t="shared" si="10"/>
        <v>-904119</v>
      </c>
      <c r="I65" s="24">
        <f t="shared" si="11"/>
        <v>-0.61151760857743476</v>
      </c>
    </row>
    <row r="66" spans="1:9" x14ac:dyDescent="0.25">
      <c r="A66" s="62" t="s">
        <v>53</v>
      </c>
      <c r="B66" s="63">
        <v>651894</v>
      </c>
      <c r="C66" s="64">
        <v>720285</v>
      </c>
      <c r="D66" s="23">
        <f t="shared" si="8"/>
        <v>68391</v>
      </c>
      <c r="E66" s="65">
        <f t="shared" si="9"/>
        <v>0.10491122789901426</v>
      </c>
      <c r="F66" s="19"/>
      <c r="G66" s="66">
        <v>720285</v>
      </c>
      <c r="H66" s="23">
        <f t="shared" si="10"/>
        <v>68391</v>
      </c>
      <c r="I66" s="65">
        <f t="shared" si="11"/>
        <v>0.10491122789901426</v>
      </c>
    </row>
    <row r="67" spans="1:9" ht="15.75" customHeight="1" thickBot="1" x14ac:dyDescent="0.3">
      <c r="A67" s="67" t="s">
        <v>54</v>
      </c>
      <c r="B67" s="68">
        <v>0</v>
      </c>
      <c r="C67" s="69">
        <v>1200000</v>
      </c>
      <c r="D67" s="70">
        <f t="shared" si="8"/>
        <v>1200000</v>
      </c>
      <c r="E67" s="24" t="str">
        <f t="shared" si="9"/>
        <v/>
      </c>
      <c r="F67" s="71"/>
      <c r="G67" s="72">
        <v>1200000</v>
      </c>
      <c r="H67" s="23">
        <f t="shared" si="10"/>
        <v>1200000</v>
      </c>
      <c r="I67" s="24" t="str">
        <f t="shared" si="11"/>
        <v/>
      </c>
    </row>
    <row r="68" spans="1:9" x14ac:dyDescent="0.25">
      <c r="A68" s="55" t="s">
        <v>67</v>
      </c>
      <c r="B68" s="56">
        <f>SUM(B69:B72)</f>
        <v>15716113</v>
      </c>
      <c r="C68" s="57">
        <f>SUM(C69:C72)</f>
        <v>15466264</v>
      </c>
      <c r="D68" s="58">
        <f t="shared" si="8"/>
        <v>-249849</v>
      </c>
      <c r="E68" s="59">
        <f t="shared" si="9"/>
        <v>-1.5897633212487081E-2</v>
      </c>
      <c r="F68" s="60"/>
      <c r="G68" s="61">
        <f>SUM(G69:G72)</f>
        <v>15680452</v>
      </c>
      <c r="H68" s="58">
        <f t="shared" si="10"/>
        <v>-35661</v>
      </c>
      <c r="I68" s="59">
        <f t="shared" si="11"/>
        <v>-2.2690725117591099E-3</v>
      </c>
    </row>
    <row r="69" spans="1:9" x14ac:dyDescent="0.25">
      <c r="A69" s="62" t="s">
        <v>51</v>
      </c>
      <c r="B69" s="63">
        <v>13453989</v>
      </c>
      <c r="C69" s="64">
        <v>13635296</v>
      </c>
      <c r="D69" s="23">
        <f t="shared" si="8"/>
        <v>181307</v>
      </c>
      <c r="E69" s="65">
        <f t="shared" si="9"/>
        <v>1.347607761534516E-2</v>
      </c>
      <c r="F69" s="19"/>
      <c r="G69" s="66">
        <v>13853109</v>
      </c>
      <c r="H69" s="23">
        <f t="shared" si="10"/>
        <v>399120</v>
      </c>
      <c r="I69" s="65">
        <f t="shared" si="11"/>
        <v>2.9665551235399403E-2</v>
      </c>
    </row>
    <row r="70" spans="1:9" x14ac:dyDescent="0.25">
      <c r="A70" s="62" t="s">
        <v>52</v>
      </c>
      <c r="B70" s="63">
        <v>2024537</v>
      </c>
      <c r="C70" s="64">
        <v>1579307</v>
      </c>
      <c r="D70" s="23">
        <f t="shared" si="8"/>
        <v>-445230</v>
      </c>
      <c r="E70" s="65">
        <f t="shared" si="9"/>
        <v>-0.21991694891226982</v>
      </c>
      <c r="F70" s="19"/>
      <c r="G70" s="66">
        <v>1575682</v>
      </c>
      <c r="H70" s="23">
        <f t="shared" si="10"/>
        <v>-448855</v>
      </c>
      <c r="I70" s="24">
        <f t="shared" si="11"/>
        <v>-0.22170748176002711</v>
      </c>
    </row>
    <row r="71" spans="1:9" x14ac:dyDescent="0.25">
      <c r="A71" s="62" t="s">
        <v>53</v>
      </c>
      <c r="B71" s="63">
        <v>237587</v>
      </c>
      <c r="C71" s="64">
        <v>251661</v>
      </c>
      <c r="D71" s="23">
        <f t="shared" si="8"/>
        <v>14074</v>
      </c>
      <c r="E71" s="65">
        <f t="shared" si="9"/>
        <v>5.9237247829216244E-2</v>
      </c>
      <c r="F71" s="19"/>
      <c r="G71" s="66">
        <v>251661</v>
      </c>
      <c r="H71" s="23">
        <f t="shared" si="10"/>
        <v>14074</v>
      </c>
      <c r="I71" s="65">
        <f t="shared" si="11"/>
        <v>5.9237247829216244E-2</v>
      </c>
    </row>
    <row r="72" spans="1:9" ht="15.75" customHeight="1" thickBot="1" x14ac:dyDescent="0.3">
      <c r="A72" s="67" t="s">
        <v>54</v>
      </c>
      <c r="B72" s="68">
        <v>0</v>
      </c>
      <c r="C72" s="69">
        <v>0</v>
      </c>
      <c r="D72" s="70">
        <f t="shared" si="8"/>
        <v>0</v>
      </c>
      <c r="E72" s="24" t="str">
        <f t="shared" si="9"/>
        <v/>
      </c>
      <c r="F72" s="71"/>
      <c r="G72" s="72">
        <v>0</v>
      </c>
      <c r="H72" s="23">
        <f t="shared" si="10"/>
        <v>0</v>
      </c>
      <c r="I72" s="24" t="str">
        <f t="shared" si="11"/>
        <v/>
      </c>
    </row>
    <row r="73" spans="1:9" x14ac:dyDescent="0.25">
      <c r="A73" s="55" t="s">
        <v>68</v>
      </c>
      <c r="B73" s="56">
        <f>SUM(B74:B77)</f>
        <v>57873015</v>
      </c>
      <c r="C73" s="57">
        <f>SUM(C74:C77)</f>
        <v>47552127</v>
      </c>
      <c r="D73" s="58">
        <f t="shared" si="8"/>
        <v>-10320888</v>
      </c>
      <c r="E73" s="59">
        <f t="shared" si="9"/>
        <v>-0.17833679479114747</v>
      </c>
      <c r="F73" s="60"/>
      <c r="G73" s="61">
        <f>SUM(G74:G77)</f>
        <v>46996607</v>
      </c>
      <c r="H73" s="58">
        <f t="shared" si="10"/>
        <v>-10876408</v>
      </c>
      <c r="I73" s="59">
        <f t="shared" si="11"/>
        <v>-0.18793574172695168</v>
      </c>
    </row>
    <row r="74" spans="1:9" x14ac:dyDescent="0.25">
      <c r="A74" s="62" t="s">
        <v>51</v>
      </c>
      <c r="B74" s="63">
        <v>41018966</v>
      </c>
      <c r="C74" s="64">
        <v>41258236</v>
      </c>
      <c r="D74" s="23">
        <f t="shared" si="8"/>
        <v>239270</v>
      </c>
      <c r="E74" s="65">
        <f t="shared" si="9"/>
        <v>5.8331553262459127E-3</v>
      </c>
      <c r="F74" s="19"/>
      <c r="G74" s="66">
        <v>41760469</v>
      </c>
      <c r="H74" s="23">
        <f t="shared" si="10"/>
        <v>741503</v>
      </c>
      <c r="I74" s="65">
        <f t="shared" si="11"/>
        <v>1.8077076833189799E-2</v>
      </c>
    </row>
    <row r="75" spans="1:9" x14ac:dyDescent="0.25">
      <c r="A75" s="62" t="s">
        <v>52</v>
      </c>
      <c r="B75" s="63">
        <v>5312223</v>
      </c>
      <c r="C75" s="64">
        <v>5310600</v>
      </c>
      <c r="D75" s="23">
        <f t="shared" si="8"/>
        <v>-1623</v>
      </c>
      <c r="E75" s="65">
        <f t="shared" si="9"/>
        <v>-3.0552181261968861E-4</v>
      </c>
      <c r="F75" s="19"/>
      <c r="G75" s="66">
        <v>4252847</v>
      </c>
      <c r="H75" s="23">
        <f t="shared" si="10"/>
        <v>-1059376</v>
      </c>
      <c r="I75" s="24">
        <f t="shared" si="11"/>
        <v>-0.19942235105717512</v>
      </c>
    </row>
    <row r="76" spans="1:9" x14ac:dyDescent="0.25">
      <c r="A76" s="62" t="s">
        <v>53</v>
      </c>
      <c r="B76" s="63">
        <v>866826</v>
      </c>
      <c r="C76" s="64">
        <v>983291</v>
      </c>
      <c r="D76" s="23">
        <f t="shared" si="8"/>
        <v>116465</v>
      </c>
      <c r="E76" s="65">
        <f t="shared" si="9"/>
        <v>0.13435799110778865</v>
      </c>
      <c r="F76" s="19"/>
      <c r="G76" s="66">
        <v>983291</v>
      </c>
      <c r="H76" s="23">
        <f t="shared" si="10"/>
        <v>116465</v>
      </c>
      <c r="I76" s="65">
        <f t="shared" si="11"/>
        <v>0.13435799110778865</v>
      </c>
    </row>
    <row r="77" spans="1:9" ht="15.75" customHeight="1" thickBot="1" x14ac:dyDescent="0.3">
      <c r="A77" s="67" t="s">
        <v>54</v>
      </c>
      <c r="B77" s="68">
        <v>10675000</v>
      </c>
      <c r="C77" s="69">
        <v>0</v>
      </c>
      <c r="D77" s="70">
        <f t="shared" si="8"/>
        <v>-10675000</v>
      </c>
      <c r="E77" s="24">
        <f t="shared" si="9"/>
        <v>-1</v>
      </c>
      <c r="F77" s="71"/>
      <c r="G77" s="72">
        <v>0</v>
      </c>
      <c r="H77" s="23">
        <f t="shared" si="10"/>
        <v>-10675000</v>
      </c>
      <c r="I77" s="24">
        <f t="shared" si="11"/>
        <v>-1</v>
      </c>
    </row>
    <row r="78" spans="1:9" x14ac:dyDescent="0.25">
      <c r="A78" s="55" t="s">
        <v>69</v>
      </c>
      <c r="B78" s="56">
        <f>SUM(B79:B80)</f>
        <v>0</v>
      </c>
      <c r="C78" s="57">
        <f>SUM(C79:C80)</f>
        <v>0</v>
      </c>
      <c r="D78" s="58">
        <f t="shared" si="8"/>
        <v>0</v>
      </c>
      <c r="E78" s="59" t="str">
        <f t="shared" si="9"/>
        <v/>
      </c>
      <c r="F78" s="60"/>
      <c r="G78" s="61">
        <f>SUM(G79:G80)</f>
        <v>0</v>
      </c>
      <c r="H78" s="58">
        <f t="shared" si="10"/>
        <v>0</v>
      </c>
      <c r="I78" s="59" t="str">
        <f t="shared" si="11"/>
        <v/>
      </c>
    </row>
    <row r="79" spans="1:9" x14ac:dyDescent="0.25">
      <c r="A79" s="62" t="s">
        <v>52</v>
      </c>
      <c r="B79" s="63">
        <v>0</v>
      </c>
      <c r="C79" s="64">
        <v>0</v>
      </c>
      <c r="D79" s="23">
        <f t="shared" si="8"/>
        <v>0</v>
      </c>
      <c r="E79" s="65" t="str">
        <f t="shared" si="9"/>
        <v/>
      </c>
      <c r="F79" s="19"/>
      <c r="G79" s="66">
        <v>0</v>
      </c>
      <c r="H79" s="23">
        <f t="shared" si="10"/>
        <v>0</v>
      </c>
      <c r="I79" s="24" t="str">
        <f t="shared" si="11"/>
        <v/>
      </c>
    </row>
    <row r="80" spans="1:9" ht="15.75" customHeight="1" thickBot="1" x14ac:dyDescent="0.3">
      <c r="A80" s="62" t="s">
        <v>54</v>
      </c>
      <c r="B80" s="63">
        <v>0</v>
      </c>
      <c r="C80" s="64">
        <v>0</v>
      </c>
      <c r="D80" s="23">
        <f t="shared" si="8"/>
        <v>0</v>
      </c>
      <c r="E80" s="65" t="str">
        <f t="shared" si="9"/>
        <v/>
      </c>
      <c r="F80" s="19"/>
      <c r="G80" s="66">
        <v>0</v>
      </c>
      <c r="H80" s="23">
        <f t="shared" si="10"/>
        <v>0</v>
      </c>
      <c r="I80" s="65" t="str">
        <f t="shared" si="11"/>
        <v/>
      </c>
    </row>
    <row r="81" spans="1:9" ht="15.75" customHeight="1" thickTop="1" x14ac:dyDescent="0.25">
      <c r="A81" s="73" t="s">
        <v>70</v>
      </c>
      <c r="B81" s="74">
        <f>SUM(B82:B86)</f>
        <v>433629078</v>
      </c>
      <c r="C81" s="75">
        <f>SUM(C82:C86)</f>
        <v>398055649</v>
      </c>
      <c r="D81" s="76">
        <f t="shared" si="8"/>
        <v>-35573429</v>
      </c>
      <c r="E81" s="77">
        <f t="shared" si="9"/>
        <v>-8.2036539532987687E-2</v>
      </c>
      <c r="F81" s="32"/>
      <c r="G81" s="78">
        <f>SUM(G82:G86)</f>
        <v>398778200</v>
      </c>
      <c r="H81" s="76">
        <f t="shared" si="10"/>
        <v>-34850878</v>
      </c>
      <c r="I81" s="77">
        <f t="shared" si="11"/>
        <v>-8.0370251369535697E-2</v>
      </c>
    </row>
    <row r="82" spans="1:9" x14ac:dyDescent="0.25">
      <c r="A82" s="79" t="s">
        <v>51</v>
      </c>
      <c r="B82" s="80">
        <f>SUM(B59,B64,B69,B74)</f>
        <v>327108565</v>
      </c>
      <c r="C82" s="81">
        <f>SUM(C59,C64,C69,C74)</f>
        <v>323840162</v>
      </c>
      <c r="D82" s="82">
        <f t="shared" si="8"/>
        <v>-3268403</v>
      </c>
      <c r="E82" s="83">
        <f t="shared" si="9"/>
        <v>-9.9917989001602567E-3</v>
      </c>
      <c r="F82" s="19"/>
      <c r="G82" s="84">
        <f>SUM(G59,G64,G69,G74)</f>
        <v>325175289</v>
      </c>
      <c r="H82" s="82">
        <f t="shared" si="10"/>
        <v>-1933276</v>
      </c>
      <c r="I82" s="83">
        <f t="shared" si="11"/>
        <v>-5.9101968179891594E-3</v>
      </c>
    </row>
    <row r="83" spans="1:9" x14ac:dyDescent="0.25">
      <c r="A83" s="79" t="s">
        <v>52</v>
      </c>
      <c r="B83" s="80">
        <f>SUM(B60,B65,B70,B75,B79)</f>
        <v>29637224</v>
      </c>
      <c r="C83" s="81">
        <f>SUM(C60,C65,C70,C75,C79)</f>
        <v>29182432</v>
      </c>
      <c r="D83" s="82">
        <f t="shared" si="8"/>
        <v>-454792</v>
      </c>
      <c r="E83" s="83">
        <f t="shared" si="9"/>
        <v>-1.5345296846965154E-2</v>
      </c>
      <c r="F83" s="19"/>
      <c r="G83" s="84">
        <f>SUM(G60,G65,G70,G75,G79)</f>
        <v>28569856</v>
      </c>
      <c r="H83" s="82">
        <f t="shared" si="10"/>
        <v>-1067368</v>
      </c>
      <c r="I83" s="85">
        <f t="shared" si="11"/>
        <v>-3.6014439139104258E-2</v>
      </c>
    </row>
    <row r="84" spans="1:9" x14ac:dyDescent="0.25">
      <c r="A84" s="79" t="s">
        <v>53</v>
      </c>
      <c r="B84" s="80">
        <f>SUM(B61,B66,B71,B76)</f>
        <v>9264974</v>
      </c>
      <c r="C84" s="81">
        <f>SUM(C61,C66,C71,C76)</f>
        <v>10567440</v>
      </c>
      <c r="D84" s="82">
        <f t="shared" si="8"/>
        <v>1302466</v>
      </c>
      <c r="E84" s="83">
        <f t="shared" si="9"/>
        <v>0.14057956341809486</v>
      </c>
      <c r="F84" s="19"/>
      <c r="G84" s="84">
        <f>SUM(G61,G66,G71,G76)</f>
        <v>10567440</v>
      </c>
      <c r="H84" s="82">
        <f t="shared" si="10"/>
        <v>1302466</v>
      </c>
      <c r="I84" s="83">
        <f t="shared" si="11"/>
        <v>0.14057956341809486</v>
      </c>
    </row>
    <row r="85" spans="1:9" x14ac:dyDescent="0.25">
      <c r="A85" s="79" t="s">
        <v>64</v>
      </c>
      <c r="B85" s="80">
        <v>31943315</v>
      </c>
      <c r="C85" s="81">
        <v>33265615</v>
      </c>
      <c r="D85" s="82">
        <f t="shared" si="8"/>
        <v>1322300</v>
      </c>
      <c r="E85" s="83">
        <f t="shared" si="9"/>
        <v>4.1395202720819674E-2</v>
      </c>
      <c r="F85" s="19"/>
      <c r="G85" s="84">
        <v>33265615</v>
      </c>
      <c r="H85" s="82">
        <f t="shared" si="10"/>
        <v>1322300</v>
      </c>
      <c r="I85" s="85">
        <f t="shared" si="11"/>
        <v>4.1395202720819674E-2</v>
      </c>
    </row>
    <row r="86" spans="1:9" ht="15.75" customHeight="1" thickBot="1" x14ac:dyDescent="0.3">
      <c r="A86" s="86" t="s">
        <v>54</v>
      </c>
      <c r="B86" s="87">
        <f>SUM(B62,B67,B72,B77,B80)</f>
        <v>35675000</v>
      </c>
      <c r="C86" s="97">
        <f>SUM(C62,C67,C72,C77,C80)</f>
        <v>1200000</v>
      </c>
      <c r="D86" s="91">
        <f t="shared" si="8"/>
        <v>-34475000</v>
      </c>
      <c r="E86" s="90">
        <f t="shared" si="9"/>
        <v>-0.9663629992992292</v>
      </c>
      <c r="F86" s="71"/>
      <c r="G86" s="88">
        <f>SUM(G62,G67,G72,G77,G80)</f>
        <v>1200000</v>
      </c>
      <c r="H86" s="91">
        <f t="shared" si="10"/>
        <v>-34475000</v>
      </c>
      <c r="I86" s="92">
        <f t="shared" si="11"/>
        <v>-0.9663629992992292</v>
      </c>
    </row>
    <row r="87" spans="1:9" ht="15.75" customHeight="1" thickBot="1" x14ac:dyDescent="0.3">
      <c r="A87" s="93"/>
      <c r="B87" s="94"/>
      <c r="C87" s="95"/>
      <c r="D87" s="95"/>
      <c r="E87" s="95"/>
      <c r="F87" s="95"/>
      <c r="G87" s="95"/>
      <c r="H87" s="95"/>
      <c r="I87" s="96"/>
    </row>
    <row r="88" spans="1:9" x14ac:dyDescent="0.25">
      <c r="A88" s="55" t="s">
        <v>71</v>
      </c>
      <c r="B88" s="56">
        <f>SUM(B89:B93)</f>
        <v>161228466</v>
      </c>
      <c r="C88" s="57">
        <f>SUM(C89:C93)</f>
        <v>146781540</v>
      </c>
      <c r="D88" s="58">
        <f t="shared" ref="D88:D93" si="12">C88-$B88</f>
        <v>-14446926</v>
      </c>
      <c r="E88" s="59">
        <f t="shared" ref="E88:E93" si="13">IF($B88&gt;0,D88/$B88, "")</f>
        <v>-8.9605305802512566E-2</v>
      </c>
      <c r="F88" s="60"/>
      <c r="G88" s="61">
        <f>SUM(G89:G93)</f>
        <v>153474652</v>
      </c>
      <c r="H88" s="58">
        <f t="shared" ref="H88:H93" si="14">G88-$B88</f>
        <v>-7753814</v>
      </c>
      <c r="I88" s="59">
        <f t="shared" ref="I88:I93" si="15">IF($B88&gt;0,H88/$B88, "")</f>
        <v>-4.8092090636153544E-2</v>
      </c>
    </row>
    <row r="89" spans="1:9" x14ac:dyDescent="0.25">
      <c r="A89" s="62" t="s">
        <v>51</v>
      </c>
      <c r="B89" s="63">
        <v>122060675</v>
      </c>
      <c r="C89" s="64">
        <v>124056194</v>
      </c>
      <c r="D89" s="23">
        <f t="shared" si="12"/>
        <v>1995519</v>
      </c>
      <c r="E89" s="65">
        <f t="shared" si="13"/>
        <v>1.6348582375117948E-2</v>
      </c>
      <c r="F89" s="19"/>
      <c r="G89" s="66">
        <v>126212331</v>
      </c>
      <c r="H89" s="23">
        <f t="shared" si="14"/>
        <v>4151656</v>
      </c>
      <c r="I89" s="65">
        <f t="shared" si="15"/>
        <v>3.4013051296005042E-2</v>
      </c>
    </row>
    <row r="90" spans="1:9" x14ac:dyDescent="0.25">
      <c r="A90" s="62" t="s">
        <v>52</v>
      </c>
      <c r="B90" s="63">
        <v>14804007</v>
      </c>
      <c r="C90" s="64">
        <v>12956631</v>
      </c>
      <c r="D90" s="23">
        <f t="shared" si="12"/>
        <v>-1847376</v>
      </c>
      <c r="E90" s="65">
        <f t="shared" si="13"/>
        <v>-0.12478891694660776</v>
      </c>
      <c r="F90" s="19"/>
      <c r="G90" s="66">
        <v>17425082</v>
      </c>
      <c r="H90" s="23">
        <f t="shared" si="14"/>
        <v>2621075</v>
      </c>
      <c r="I90" s="24">
        <f t="shared" si="15"/>
        <v>0.17705172660347973</v>
      </c>
    </row>
    <row r="91" spans="1:9" x14ac:dyDescent="0.25">
      <c r="A91" s="62" t="s">
        <v>53</v>
      </c>
      <c r="B91" s="63">
        <v>2379378</v>
      </c>
      <c r="C91" s="64">
        <v>2647493</v>
      </c>
      <c r="D91" s="23">
        <f t="shared" si="12"/>
        <v>268115</v>
      </c>
      <c r="E91" s="65">
        <f t="shared" si="13"/>
        <v>0.11268281038153669</v>
      </c>
      <c r="F91" s="19"/>
      <c r="G91" s="66">
        <v>2647493</v>
      </c>
      <c r="H91" s="23">
        <f t="shared" si="14"/>
        <v>268115</v>
      </c>
      <c r="I91" s="65">
        <f t="shared" si="15"/>
        <v>0.11268281038153669</v>
      </c>
    </row>
    <row r="92" spans="1:9" x14ac:dyDescent="0.25">
      <c r="A92" s="62" t="s">
        <v>64</v>
      </c>
      <c r="B92" s="63">
        <v>6984406</v>
      </c>
      <c r="C92" s="64">
        <v>7121222</v>
      </c>
      <c r="D92" s="23">
        <f t="shared" si="12"/>
        <v>136816</v>
      </c>
      <c r="E92" s="24">
        <f t="shared" si="13"/>
        <v>1.9588781064560107E-2</v>
      </c>
      <c r="F92" s="19"/>
      <c r="G92" s="66">
        <v>7189746</v>
      </c>
      <c r="H92" s="23">
        <f t="shared" si="14"/>
        <v>205340</v>
      </c>
      <c r="I92" s="24">
        <f t="shared" si="15"/>
        <v>2.9399780024242577E-2</v>
      </c>
    </row>
    <row r="93" spans="1:9" ht="15.75" customHeight="1" thickBot="1" x14ac:dyDescent="0.3">
      <c r="A93" s="67" t="s">
        <v>54</v>
      </c>
      <c r="B93" s="68">
        <v>15000000</v>
      </c>
      <c r="C93" s="69">
        <v>0</v>
      </c>
      <c r="D93" s="70">
        <f t="shared" si="12"/>
        <v>-15000000</v>
      </c>
      <c r="E93" s="98">
        <f t="shared" si="13"/>
        <v>-1</v>
      </c>
      <c r="F93" s="71"/>
      <c r="G93" s="72">
        <v>0</v>
      </c>
      <c r="H93" s="70">
        <f t="shared" si="14"/>
        <v>-15000000</v>
      </c>
      <c r="I93" s="98">
        <f t="shared" si="15"/>
        <v>-1</v>
      </c>
    </row>
    <row r="94" spans="1:9" ht="15.75" customHeight="1" thickBot="1" x14ac:dyDescent="0.3">
      <c r="A94" s="93"/>
      <c r="B94" s="94"/>
      <c r="C94" s="95"/>
      <c r="D94" s="95"/>
      <c r="E94" s="95"/>
      <c r="F94" s="95"/>
      <c r="G94" s="95"/>
      <c r="H94" s="95"/>
      <c r="I94" s="96"/>
    </row>
    <row r="95" spans="1:9" x14ac:dyDescent="0.25">
      <c r="A95" s="55" t="s">
        <v>72</v>
      </c>
      <c r="B95" s="56">
        <f>SUM(B96:B100)</f>
        <v>86091857</v>
      </c>
      <c r="C95" s="57">
        <f>SUM(C96:C100)</f>
        <v>75841717</v>
      </c>
      <c r="D95" s="58">
        <f t="shared" ref="D95:D100" si="16">C95-$B95</f>
        <v>-10250140</v>
      </c>
      <c r="E95" s="59">
        <f t="shared" ref="E95:E100" si="17">IF($B95&gt;0,D95/$B95, "")</f>
        <v>-0.11906050533908219</v>
      </c>
      <c r="F95" s="60"/>
      <c r="G95" s="61">
        <f>SUM(G96:G100)</f>
        <v>83204785</v>
      </c>
      <c r="H95" s="58">
        <f t="shared" ref="H95:H100" si="18">G95-$B95</f>
        <v>-2887072</v>
      </c>
      <c r="I95" s="59">
        <f t="shared" ref="I95:I100" si="19">IF($B95&gt;0,H95/$B95, "")</f>
        <v>-3.3534785990270835E-2</v>
      </c>
    </row>
    <row r="96" spans="1:9" x14ac:dyDescent="0.25">
      <c r="A96" s="62" t="s">
        <v>51</v>
      </c>
      <c r="B96" s="63">
        <v>67308231</v>
      </c>
      <c r="C96" s="64">
        <v>65798825</v>
      </c>
      <c r="D96" s="23">
        <f t="shared" si="16"/>
        <v>-1509406</v>
      </c>
      <c r="E96" s="65">
        <f t="shared" si="17"/>
        <v>-2.2425281092293154E-2</v>
      </c>
      <c r="F96" s="19"/>
      <c r="G96" s="66">
        <v>65641865</v>
      </c>
      <c r="H96" s="23">
        <f t="shared" si="18"/>
        <v>-1666366</v>
      </c>
      <c r="I96" s="65">
        <f t="shared" si="19"/>
        <v>-2.4757239571487177E-2</v>
      </c>
    </row>
    <row r="97" spans="1:9" x14ac:dyDescent="0.25">
      <c r="A97" s="62" t="s">
        <v>52</v>
      </c>
      <c r="B97" s="63">
        <v>8533541</v>
      </c>
      <c r="C97" s="64">
        <v>7707860</v>
      </c>
      <c r="D97" s="23">
        <f t="shared" si="16"/>
        <v>-825681</v>
      </c>
      <c r="E97" s="65">
        <f t="shared" si="17"/>
        <v>-9.6757137511848834E-2</v>
      </c>
      <c r="F97" s="19"/>
      <c r="G97" s="66">
        <v>15227888</v>
      </c>
      <c r="H97" s="23">
        <f t="shared" si="18"/>
        <v>6694347</v>
      </c>
      <c r="I97" s="24">
        <f t="shared" si="19"/>
        <v>0.78447469813527582</v>
      </c>
    </row>
    <row r="98" spans="1:9" x14ac:dyDescent="0.25">
      <c r="A98" s="62" t="s">
        <v>53</v>
      </c>
      <c r="B98" s="63">
        <v>1362885</v>
      </c>
      <c r="C98" s="64">
        <v>1383082</v>
      </c>
      <c r="D98" s="23">
        <f t="shared" si="16"/>
        <v>20197</v>
      </c>
      <c r="E98" s="65">
        <f t="shared" si="17"/>
        <v>1.4819298766953926E-2</v>
      </c>
      <c r="F98" s="19"/>
      <c r="G98" s="66">
        <v>1383082</v>
      </c>
      <c r="H98" s="23">
        <f t="shared" si="18"/>
        <v>20197</v>
      </c>
      <c r="I98" s="65">
        <f t="shared" si="19"/>
        <v>1.4819298766953926E-2</v>
      </c>
    </row>
    <row r="99" spans="1:9" x14ac:dyDescent="0.25">
      <c r="A99" s="62" t="s">
        <v>64</v>
      </c>
      <c r="B99" s="63">
        <v>887200</v>
      </c>
      <c r="C99" s="64">
        <v>951950</v>
      </c>
      <c r="D99" s="23">
        <f t="shared" si="16"/>
        <v>64750</v>
      </c>
      <c r="E99" s="24">
        <f t="shared" si="17"/>
        <v>7.2982416591523894E-2</v>
      </c>
      <c r="F99" s="19"/>
      <c r="G99" s="66">
        <v>951950</v>
      </c>
      <c r="H99" s="23">
        <f t="shared" si="18"/>
        <v>64750</v>
      </c>
      <c r="I99" s="24">
        <f t="shared" si="19"/>
        <v>7.2982416591523894E-2</v>
      </c>
    </row>
    <row r="100" spans="1:9" ht="15.75" customHeight="1" thickBot="1" x14ac:dyDescent="0.3">
      <c r="A100" s="67" t="s">
        <v>54</v>
      </c>
      <c r="B100" s="68">
        <v>8000000</v>
      </c>
      <c r="C100" s="69">
        <v>0</v>
      </c>
      <c r="D100" s="70">
        <f t="shared" si="16"/>
        <v>-8000000</v>
      </c>
      <c r="E100" s="98">
        <f t="shared" si="17"/>
        <v>-1</v>
      </c>
      <c r="F100" s="71"/>
      <c r="G100" s="72">
        <v>0</v>
      </c>
      <c r="H100" s="70">
        <f t="shared" si="18"/>
        <v>-8000000</v>
      </c>
      <c r="I100" s="98">
        <f t="shared" si="19"/>
        <v>-1</v>
      </c>
    </row>
    <row r="101" spans="1:9" ht="15.75" customHeight="1" thickBot="1" x14ac:dyDescent="0.3">
      <c r="A101" s="93"/>
      <c r="B101" s="94"/>
      <c r="C101" s="95"/>
      <c r="D101" s="95"/>
      <c r="E101" s="95"/>
      <c r="F101" s="95"/>
      <c r="G101" s="95"/>
      <c r="H101" s="95"/>
      <c r="I101" s="96"/>
    </row>
    <row r="102" spans="1:9" x14ac:dyDescent="0.25">
      <c r="A102" s="55" t="s">
        <v>73</v>
      </c>
      <c r="B102" s="56">
        <f>SUM(B103:B107)</f>
        <v>65329937</v>
      </c>
      <c r="C102" s="57">
        <f>SUM(C103:C107)</f>
        <v>56053284</v>
      </c>
      <c r="D102" s="58">
        <f t="shared" ref="D102:D107" si="20">C102-$B102</f>
        <v>-9276653</v>
      </c>
      <c r="E102" s="59">
        <f t="shared" ref="E102:E107" si="21">IF($B102&gt;0,D102/$B102, "")</f>
        <v>-0.14199696840362788</v>
      </c>
      <c r="F102" s="60"/>
      <c r="G102" s="61">
        <f>SUM(G103:G107)</f>
        <v>55570558</v>
      </c>
      <c r="H102" s="58">
        <f t="shared" ref="H102:H107" si="22">G102-$B102</f>
        <v>-9759379</v>
      </c>
      <c r="I102" s="59">
        <f t="shared" ref="I102:I107" si="23">IF($B102&gt;0,H102/$B102, "")</f>
        <v>-0.14938601578630023</v>
      </c>
    </row>
    <row r="103" spans="1:9" x14ac:dyDescent="0.25">
      <c r="A103" s="62" t="s">
        <v>51</v>
      </c>
      <c r="B103" s="63">
        <v>44146854</v>
      </c>
      <c r="C103" s="64">
        <v>44305131</v>
      </c>
      <c r="D103" s="23">
        <f t="shared" si="20"/>
        <v>158277</v>
      </c>
      <c r="E103" s="65">
        <f t="shared" si="21"/>
        <v>3.5852384860764939E-3</v>
      </c>
      <c r="F103" s="19"/>
      <c r="G103" s="66">
        <v>44794496</v>
      </c>
      <c r="H103" s="23">
        <f t="shared" si="22"/>
        <v>647642</v>
      </c>
      <c r="I103" s="65">
        <f t="shared" si="23"/>
        <v>1.4670173326507026E-2</v>
      </c>
    </row>
    <row r="104" spans="1:9" x14ac:dyDescent="0.25">
      <c r="A104" s="62" t="s">
        <v>52</v>
      </c>
      <c r="B104" s="63">
        <v>10738142</v>
      </c>
      <c r="C104" s="64">
        <v>10041357</v>
      </c>
      <c r="D104" s="23">
        <f t="shared" si="20"/>
        <v>-696785</v>
      </c>
      <c r="E104" s="65">
        <f t="shared" si="21"/>
        <v>-6.4888786160585327E-2</v>
      </c>
      <c r="F104" s="19"/>
      <c r="G104" s="66">
        <v>9069266</v>
      </c>
      <c r="H104" s="23">
        <f t="shared" si="22"/>
        <v>-1668876</v>
      </c>
      <c r="I104" s="24">
        <f t="shared" si="23"/>
        <v>-0.15541571344465366</v>
      </c>
    </row>
    <row r="105" spans="1:9" x14ac:dyDescent="0.25">
      <c r="A105" s="62" t="s">
        <v>53</v>
      </c>
      <c r="B105" s="63">
        <v>683963</v>
      </c>
      <c r="C105" s="64">
        <v>899468</v>
      </c>
      <c r="D105" s="23">
        <f t="shared" si="20"/>
        <v>215505</v>
      </c>
      <c r="E105" s="65">
        <f t="shared" si="21"/>
        <v>0.31508283342812404</v>
      </c>
      <c r="F105" s="19"/>
      <c r="G105" s="66">
        <v>899468</v>
      </c>
      <c r="H105" s="23">
        <f t="shared" si="22"/>
        <v>215505</v>
      </c>
      <c r="I105" s="65">
        <f t="shared" si="23"/>
        <v>0.31508283342812404</v>
      </c>
    </row>
    <row r="106" spans="1:9" x14ac:dyDescent="0.25">
      <c r="A106" s="62" t="s">
        <v>64</v>
      </c>
      <c r="B106" s="63">
        <v>760978</v>
      </c>
      <c r="C106" s="64">
        <v>807328</v>
      </c>
      <c r="D106" s="23">
        <f t="shared" si="20"/>
        <v>46350</v>
      </c>
      <c r="E106" s="24">
        <f t="shared" si="21"/>
        <v>6.0908462531111283E-2</v>
      </c>
      <c r="F106" s="19"/>
      <c r="G106" s="66">
        <v>807328</v>
      </c>
      <c r="H106" s="23">
        <f t="shared" si="22"/>
        <v>46350</v>
      </c>
      <c r="I106" s="24">
        <f t="shared" si="23"/>
        <v>6.0908462531111283E-2</v>
      </c>
    </row>
    <row r="107" spans="1:9" ht="15.75" customHeight="1" thickBot="1" x14ac:dyDescent="0.3">
      <c r="A107" s="67" t="s">
        <v>54</v>
      </c>
      <c r="B107" s="68">
        <v>9000000</v>
      </c>
      <c r="C107" s="69">
        <v>0</v>
      </c>
      <c r="D107" s="70">
        <f t="shared" si="20"/>
        <v>-9000000</v>
      </c>
      <c r="E107" s="98">
        <f t="shared" si="21"/>
        <v>-1</v>
      </c>
      <c r="F107" s="71"/>
      <c r="G107" s="72">
        <v>0</v>
      </c>
      <c r="H107" s="70">
        <f t="shared" si="22"/>
        <v>-9000000</v>
      </c>
      <c r="I107" s="98">
        <f t="shared" si="23"/>
        <v>-1</v>
      </c>
    </row>
    <row r="108" spans="1:9" ht="15.75" customHeight="1" thickBot="1" x14ac:dyDescent="0.3">
      <c r="A108" s="93"/>
      <c r="B108" s="94"/>
      <c r="C108" s="95"/>
      <c r="D108" s="95"/>
      <c r="E108" s="95"/>
      <c r="F108" s="95"/>
      <c r="G108" s="95"/>
      <c r="H108" s="95"/>
      <c r="I108" s="96"/>
    </row>
    <row r="109" spans="1:9" x14ac:dyDescent="0.25">
      <c r="A109" s="55" t="s">
        <v>74</v>
      </c>
      <c r="B109" s="56">
        <f>SUM(B110:B114)</f>
        <v>52105622</v>
      </c>
      <c r="C109" s="57">
        <f>SUM(C110:C114)</f>
        <v>48727395</v>
      </c>
      <c r="D109" s="58">
        <f t="shared" ref="D109:D114" si="24">C109-$B109</f>
        <v>-3378227</v>
      </c>
      <c r="E109" s="59">
        <f t="shared" ref="E109:E114" si="25">IF($B109&gt;0,D109/$B109, "")</f>
        <v>-6.4834213091247622E-2</v>
      </c>
      <c r="F109" s="60"/>
      <c r="G109" s="61">
        <f>SUM(G110:G114)</f>
        <v>50883442</v>
      </c>
      <c r="H109" s="58">
        <f t="shared" ref="H109:H114" si="26">G109-$B109</f>
        <v>-1222180</v>
      </c>
      <c r="I109" s="59">
        <f t="shared" ref="I109:I114" si="27">IF($B109&gt;0,H109/$B109, "")</f>
        <v>-2.3455818260839492E-2</v>
      </c>
    </row>
    <row r="110" spans="1:9" x14ac:dyDescent="0.25">
      <c r="A110" s="62" t="s">
        <v>51</v>
      </c>
      <c r="B110" s="63">
        <v>39026180</v>
      </c>
      <c r="C110" s="64">
        <v>39185980</v>
      </c>
      <c r="D110" s="23">
        <f t="shared" si="24"/>
        <v>159800</v>
      </c>
      <c r="E110" s="65">
        <f t="shared" si="25"/>
        <v>4.0946872074079498E-3</v>
      </c>
      <c r="F110" s="19"/>
      <c r="G110" s="66">
        <v>39628509</v>
      </c>
      <c r="H110" s="23">
        <f t="shared" si="26"/>
        <v>602329</v>
      </c>
      <c r="I110" s="65">
        <f t="shared" si="27"/>
        <v>1.5433972784423175E-2</v>
      </c>
    </row>
    <row r="111" spans="1:9" x14ac:dyDescent="0.25">
      <c r="A111" s="62" t="s">
        <v>52</v>
      </c>
      <c r="B111" s="63">
        <v>4789687</v>
      </c>
      <c r="C111" s="64">
        <v>4750068</v>
      </c>
      <c r="D111" s="23">
        <f t="shared" si="24"/>
        <v>-39619</v>
      </c>
      <c r="E111" s="65">
        <f t="shared" si="25"/>
        <v>-8.2717304909485732E-3</v>
      </c>
      <c r="F111" s="19"/>
      <c r="G111" s="66">
        <v>6463586</v>
      </c>
      <c r="H111" s="23">
        <f t="shared" si="26"/>
        <v>1673899</v>
      </c>
      <c r="I111" s="24">
        <f t="shared" si="27"/>
        <v>0.34947983031041485</v>
      </c>
    </row>
    <row r="112" spans="1:9" x14ac:dyDescent="0.25">
      <c r="A112" s="62" t="s">
        <v>53</v>
      </c>
      <c r="B112" s="63">
        <v>815105</v>
      </c>
      <c r="C112" s="64">
        <v>882547</v>
      </c>
      <c r="D112" s="23">
        <f t="shared" si="24"/>
        <v>67442</v>
      </c>
      <c r="E112" s="65">
        <f t="shared" si="25"/>
        <v>8.2740260457241699E-2</v>
      </c>
      <c r="F112" s="19"/>
      <c r="G112" s="66">
        <v>882547</v>
      </c>
      <c r="H112" s="23">
        <f t="shared" si="26"/>
        <v>67442</v>
      </c>
      <c r="I112" s="65">
        <f t="shared" si="27"/>
        <v>8.2740260457241699E-2</v>
      </c>
    </row>
    <row r="113" spans="1:9" x14ac:dyDescent="0.25">
      <c r="A113" s="62" t="s">
        <v>64</v>
      </c>
      <c r="B113" s="63">
        <v>1474650</v>
      </c>
      <c r="C113" s="64">
        <v>3158800</v>
      </c>
      <c r="D113" s="23">
        <f t="shared" si="24"/>
        <v>1684150</v>
      </c>
      <c r="E113" s="24">
        <f t="shared" si="25"/>
        <v>1.1420676092632149</v>
      </c>
      <c r="F113" s="19"/>
      <c r="G113" s="66">
        <v>3158800</v>
      </c>
      <c r="H113" s="23">
        <f t="shared" si="26"/>
        <v>1684150</v>
      </c>
      <c r="I113" s="24">
        <f t="shared" si="27"/>
        <v>1.1420676092632149</v>
      </c>
    </row>
    <row r="114" spans="1:9" ht="15.75" customHeight="1" thickBot="1" x14ac:dyDescent="0.3">
      <c r="A114" s="67" t="s">
        <v>54</v>
      </c>
      <c r="B114" s="68">
        <v>6000000</v>
      </c>
      <c r="C114" s="69">
        <v>750000</v>
      </c>
      <c r="D114" s="70">
        <f t="shared" si="24"/>
        <v>-5250000</v>
      </c>
      <c r="E114" s="98">
        <f t="shared" si="25"/>
        <v>-0.875</v>
      </c>
      <c r="F114" s="71"/>
      <c r="G114" s="72">
        <v>750000</v>
      </c>
      <c r="H114" s="70">
        <f t="shared" si="26"/>
        <v>-5250000</v>
      </c>
      <c r="I114" s="98">
        <f t="shared" si="27"/>
        <v>-0.875</v>
      </c>
    </row>
    <row r="115" spans="1:9" ht="15.75" customHeight="1" thickBot="1" x14ac:dyDescent="0.3">
      <c r="A115" s="93"/>
      <c r="B115" s="94"/>
      <c r="C115" s="95"/>
      <c r="D115" s="95"/>
      <c r="E115" s="95"/>
      <c r="F115" s="95"/>
      <c r="G115" s="95"/>
      <c r="H115" s="95"/>
      <c r="I115" s="96"/>
    </row>
    <row r="116" spans="1:9" x14ac:dyDescent="0.25">
      <c r="A116" s="55" t="s">
        <v>75</v>
      </c>
      <c r="B116" s="56">
        <f>SUM(B117:B121)</f>
        <v>247464624</v>
      </c>
      <c r="C116" s="57">
        <f>SUM(C117:C121)</f>
        <v>252171318</v>
      </c>
      <c r="D116" s="58">
        <f t="shared" ref="D116:D121" si="28">C116-$B116</f>
        <v>4706694</v>
      </c>
      <c r="E116" s="59">
        <f t="shared" ref="E116:E121" si="29">IF($B116&gt;0,D116/$B116, "")</f>
        <v>1.9019663998519645E-2</v>
      </c>
      <c r="F116" s="60"/>
      <c r="G116" s="61">
        <f>SUM(G117:G121)</f>
        <v>261355282</v>
      </c>
      <c r="H116" s="58">
        <f t="shared" ref="H116:H121" si="30">G116-$B116</f>
        <v>13890658</v>
      </c>
      <c r="I116" s="59">
        <f t="shared" ref="I116:I121" si="31">IF($B116&gt;0,H116/$B116, "")</f>
        <v>5.6131893825761538E-2</v>
      </c>
    </row>
    <row r="117" spans="1:9" x14ac:dyDescent="0.25">
      <c r="A117" s="62" t="s">
        <v>51</v>
      </c>
      <c r="B117" s="63">
        <v>200314691</v>
      </c>
      <c r="C117" s="64">
        <v>210067875</v>
      </c>
      <c r="D117" s="23">
        <f t="shared" si="28"/>
        <v>9753184</v>
      </c>
      <c r="E117" s="65">
        <f t="shared" si="29"/>
        <v>4.8689309562422456E-2</v>
      </c>
      <c r="F117" s="19"/>
      <c r="G117" s="66">
        <v>216944720</v>
      </c>
      <c r="H117" s="23">
        <f t="shared" si="30"/>
        <v>16630029</v>
      </c>
      <c r="I117" s="65">
        <f t="shared" si="31"/>
        <v>8.3019517525052614E-2</v>
      </c>
    </row>
    <row r="118" spans="1:9" x14ac:dyDescent="0.25">
      <c r="A118" s="62" t="s">
        <v>52</v>
      </c>
      <c r="B118" s="63">
        <v>33409028</v>
      </c>
      <c r="C118" s="64">
        <v>31387384</v>
      </c>
      <c r="D118" s="23">
        <f t="shared" si="28"/>
        <v>-2021644</v>
      </c>
      <c r="E118" s="65">
        <f t="shared" si="29"/>
        <v>-6.0511907140788412E-2</v>
      </c>
      <c r="F118" s="19"/>
      <c r="G118" s="66">
        <v>33694503</v>
      </c>
      <c r="H118" s="23">
        <f t="shared" si="30"/>
        <v>285475</v>
      </c>
      <c r="I118" s="24">
        <f t="shared" si="31"/>
        <v>8.5448460218597207E-3</v>
      </c>
    </row>
    <row r="119" spans="1:9" x14ac:dyDescent="0.25">
      <c r="A119" s="62" t="s">
        <v>53</v>
      </c>
      <c r="B119" s="63">
        <v>2530344</v>
      </c>
      <c r="C119" s="64">
        <v>3047198</v>
      </c>
      <c r="D119" s="23">
        <f t="shared" si="28"/>
        <v>516854</v>
      </c>
      <c r="E119" s="65">
        <f t="shared" si="29"/>
        <v>0.20426234535699495</v>
      </c>
      <c r="F119" s="19"/>
      <c r="G119" s="66">
        <v>3047198</v>
      </c>
      <c r="H119" s="23">
        <f t="shared" si="30"/>
        <v>516854</v>
      </c>
      <c r="I119" s="65">
        <f t="shared" si="31"/>
        <v>0.20426234535699495</v>
      </c>
    </row>
    <row r="120" spans="1:9" x14ac:dyDescent="0.25">
      <c r="A120" s="62" t="s">
        <v>64</v>
      </c>
      <c r="B120" s="63">
        <v>5210561</v>
      </c>
      <c r="C120" s="64">
        <v>7668861</v>
      </c>
      <c r="D120" s="23">
        <f t="shared" si="28"/>
        <v>2458300</v>
      </c>
      <c r="E120" s="24">
        <f t="shared" si="29"/>
        <v>0.47179180898179679</v>
      </c>
      <c r="F120" s="19"/>
      <c r="G120" s="66">
        <v>7668861</v>
      </c>
      <c r="H120" s="23">
        <f t="shared" si="30"/>
        <v>2458300</v>
      </c>
      <c r="I120" s="24">
        <f t="shared" si="31"/>
        <v>0.47179180898179679</v>
      </c>
    </row>
    <row r="121" spans="1:9" ht="15.75" customHeight="1" thickBot="1" x14ac:dyDescent="0.3">
      <c r="A121" s="67" t="s">
        <v>54</v>
      </c>
      <c r="B121" s="68">
        <v>6000000</v>
      </c>
      <c r="C121" s="69">
        <v>0</v>
      </c>
      <c r="D121" s="70">
        <f t="shared" si="28"/>
        <v>-6000000</v>
      </c>
      <c r="E121" s="98">
        <f t="shared" si="29"/>
        <v>-1</v>
      </c>
      <c r="F121" s="71"/>
      <c r="G121" s="72">
        <v>0</v>
      </c>
      <c r="H121" s="70">
        <f t="shared" si="30"/>
        <v>-6000000</v>
      </c>
      <c r="I121" s="98">
        <f t="shared" si="31"/>
        <v>-1</v>
      </c>
    </row>
    <row r="122" spans="1:9" ht="15.75" customHeight="1" thickBot="1" x14ac:dyDescent="0.3">
      <c r="A122" s="93"/>
      <c r="B122" s="94"/>
      <c r="C122" s="95"/>
      <c r="D122" s="95"/>
      <c r="E122" s="95"/>
      <c r="F122" s="95"/>
      <c r="G122" s="95"/>
      <c r="H122" s="95"/>
      <c r="I122" s="96"/>
    </row>
    <row r="123" spans="1:9" x14ac:dyDescent="0.25">
      <c r="A123" s="55" t="s">
        <v>76</v>
      </c>
      <c r="B123" s="56">
        <f>SUM(B124:B127)</f>
        <v>322931311</v>
      </c>
      <c r="C123" s="57">
        <f>SUM(C124:C127)</f>
        <v>376327716</v>
      </c>
      <c r="D123" s="58">
        <f t="shared" ref="D123:D128" si="32">C123-$B123</f>
        <v>53396405</v>
      </c>
      <c r="E123" s="59">
        <f t="shared" ref="E123:E128" si="33">IF($B123&gt;0,D123/$B123, "")</f>
        <v>0.16534911041809755</v>
      </c>
      <c r="F123" s="60"/>
      <c r="G123" s="61">
        <f>SUM(G124:G127)</f>
        <v>362063580</v>
      </c>
      <c r="H123" s="58">
        <f t="shared" ref="H123:H128" si="34">G123-$B123</f>
        <v>39132269</v>
      </c>
      <c r="I123" s="59">
        <f t="shared" ref="I123:I128" si="35">IF($B123&gt;0,H123/$B123, "")</f>
        <v>0.12117830531459367</v>
      </c>
    </row>
    <row r="124" spans="1:9" x14ac:dyDescent="0.25">
      <c r="A124" s="62" t="s">
        <v>77</v>
      </c>
      <c r="B124" s="63">
        <v>4999000</v>
      </c>
      <c r="C124" s="64">
        <v>5098000</v>
      </c>
      <c r="D124" s="23">
        <f t="shared" si="32"/>
        <v>99000</v>
      </c>
      <c r="E124" s="65">
        <f t="shared" si="33"/>
        <v>1.9803960792158432E-2</v>
      </c>
      <c r="F124" s="19"/>
      <c r="G124" s="66">
        <v>5202000</v>
      </c>
      <c r="H124" s="23">
        <f t="shared" si="34"/>
        <v>203000</v>
      </c>
      <c r="I124" s="65">
        <f t="shared" si="35"/>
        <v>4.0608121624324867E-2</v>
      </c>
    </row>
    <row r="125" spans="1:9" x14ac:dyDescent="0.25">
      <c r="A125" s="62" t="s">
        <v>78</v>
      </c>
      <c r="B125" s="63">
        <v>1909998</v>
      </c>
      <c r="C125" s="64">
        <v>1852698</v>
      </c>
      <c r="D125" s="23">
        <f t="shared" si="32"/>
        <v>-57300</v>
      </c>
      <c r="E125" s="65">
        <f t="shared" si="33"/>
        <v>-3.0000031413645458E-2</v>
      </c>
      <c r="F125" s="19"/>
      <c r="G125" s="66">
        <v>1852698</v>
      </c>
      <c r="H125" s="23">
        <f t="shared" si="34"/>
        <v>-57300</v>
      </c>
      <c r="I125" s="24">
        <f t="shared" si="35"/>
        <v>-3.0000031413645458E-2</v>
      </c>
    </row>
    <row r="126" spans="1:9" x14ac:dyDescent="0.25">
      <c r="A126" s="62" t="s">
        <v>79</v>
      </c>
      <c r="B126" s="63">
        <v>311211259</v>
      </c>
      <c r="C126" s="64">
        <v>364546684</v>
      </c>
      <c r="D126" s="23">
        <f t="shared" si="32"/>
        <v>53335425</v>
      </c>
      <c r="E126" s="65">
        <f t="shared" si="33"/>
        <v>0.17138012670679115</v>
      </c>
      <c r="F126" s="19"/>
      <c r="G126" s="66">
        <v>350252108</v>
      </c>
      <c r="H126" s="23">
        <f t="shared" si="34"/>
        <v>39040849</v>
      </c>
      <c r="I126" s="65">
        <f t="shared" si="35"/>
        <v>0.12544806099062117</v>
      </c>
    </row>
    <row r="127" spans="1:9" ht="15.75" customHeight="1" thickBot="1" x14ac:dyDescent="0.3">
      <c r="A127" s="67" t="s">
        <v>80</v>
      </c>
      <c r="B127" s="68">
        <v>4811054</v>
      </c>
      <c r="C127" s="69">
        <v>4830334</v>
      </c>
      <c r="D127" s="70">
        <f t="shared" si="32"/>
        <v>19280</v>
      </c>
      <c r="E127" s="99">
        <f t="shared" si="33"/>
        <v>4.0074378712024435E-3</v>
      </c>
      <c r="F127" s="71"/>
      <c r="G127" s="72">
        <v>4756774</v>
      </c>
      <c r="H127" s="70">
        <f t="shared" si="34"/>
        <v>-54280</v>
      </c>
      <c r="I127" s="99">
        <f t="shared" si="35"/>
        <v>-1.128235101913219E-2</v>
      </c>
    </row>
    <row r="128" spans="1:9" ht="15.75" customHeight="1" thickBot="1" x14ac:dyDescent="0.3">
      <c r="A128" s="100" t="s">
        <v>47</v>
      </c>
      <c r="B128" s="101">
        <f>SUM(B51,B81,B88,B95,B102,B109,B116,B123)</f>
        <v>1943630120</v>
      </c>
      <c r="C128" s="102">
        <f>SUM(C51,C81,C88,C95,C102,C109,C116,C123)</f>
        <v>1910723222.667387</v>
      </c>
      <c r="D128" s="103">
        <f t="shared" si="32"/>
        <v>-32906897.332612991</v>
      </c>
      <c r="E128" s="104">
        <f t="shared" si="33"/>
        <v>-1.6930637673289912E-2</v>
      </c>
      <c r="F128" s="105"/>
      <c r="G128" s="102">
        <f>SUM(G51,G81,G88,G95,G102,G109,G116,G123)</f>
        <v>1941031684.3054261</v>
      </c>
      <c r="H128" s="103">
        <f t="shared" si="34"/>
        <v>-2598435.6945738792</v>
      </c>
      <c r="I128" s="104">
        <f t="shared" si="35"/>
        <v>-1.3368982440825105E-3</v>
      </c>
    </row>
  </sheetData>
  <mergeCells count="4">
    <mergeCell ref="B6:B7"/>
    <mergeCell ref="G6:I6"/>
    <mergeCell ref="A6:A7"/>
    <mergeCell ref="C6:E6"/>
  </mergeCells>
  <pageMargins left="0.7" right="0.7" top="0.75" bottom="0.75" header="0.3" footer="0.3"/>
  <pageSetup scale="55" orientation="landscape" r:id="rId1"/>
  <headerFooter>
    <oddFooter>Page &amp;P</oddFooter>
  </headerFooter>
  <rowBreaks count="2" manualBreakCount="2">
    <brk id="57" max="1048576" man="1"/>
    <brk id="108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A1:AB31"/>
  <sheetViews>
    <sheetView zoomScale="80" zoomScaleNormal="80" workbookViewId="0">
      <pane xSplit="1" topLeftCell="B1" activePane="topRight" state="frozenSplit"/>
      <selection pane="topRight"/>
    </sheetView>
  </sheetViews>
  <sheetFormatPr defaultRowHeight="15" x14ac:dyDescent="0.25"/>
  <cols>
    <col min="1" max="1" width="11.28515625" style="1" customWidth="1"/>
    <col min="2" max="17" width="13.28515625" style="1" customWidth="1"/>
    <col min="18" max="27" width="8.7109375" style="1" customWidth="1"/>
    <col min="28" max="28" width="21" style="1" customWidth="1"/>
  </cols>
  <sheetData>
    <row r="1" spans="1:28" ht="15.75" customHeight="1" x14ac:dyDescent="0.25">
      <c r="A1" s="12" t="s">
        <v>81</v>
      </c>
      <c r="B1" s="12"/>
      <c r="C1" s="12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14" t="s">
        <v>82</v>
      </c>
    </row>
    <row r="5" spans="1:28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5.75" customHeight="1" x14ac:dyDescent="0.25">
      <c r="A6" s="462"/>
      <c r="B6" s="465" t="s">
        <v>83</v>
      </c>
      <c r="C6" s="466"/>
      <c r="D6" s="466"/>
      <c r="E6" s="466"/>
      <c r="F6" s="467"/>
      <c r="G6" s="468" t="s">
        <v>84</v>
      </c>
      <c r="H6" s="469"/>
      <c r="I6" s="470"/>
      <c r="J6" s="471" t="s">
        <v>85</v>
      </c>
      <c r="K6" s="472"/>
      <c r="L6" s="473"/>
      <c r="M6" s="474" t="s">
        <v>86</v>
      </c>
      <c r="N6" s="475"/>
      <c r="O6" s="475"/>
      <c r="P6" s="475"/>
      <c r="Q6" s="476"/>
      <c r="R6" s="502" t="s">
        <v>87</v>
      </c>
      <c r="S6" s="503"/>
      <c r="T6" s="503"/>
      <c r="U6" s="503"/>
      <c r="V6" s="503"/>
      <c r="W6" s="504"/>
      <c r="X6" s="489" t="s">
        <v>88</v>
      </c>
      <c r="Y6" s="489"/>
      <c r="Z6" s="489"/>
      <c r="AA6" s="489"/>
      <c r="AB6" s="106" t="s">
        <v>89</v>
      </c>
    </row>
    <row r="7" spans="1:28" ht="15" customHeight="1" x14ac:dyDescent="0.25">
      <c r="A7" s="463"/>
      <c r="B7" s="477" t="s">
        <v>90</v>
      </c>
      <c r="C7" s="478"/>
      <c r="D7" s="478"/>
      <c r="E7" s="478"/>
      <c r="F7" s="479"/>
      <c r="G7" s="480" t="s">
        <v>90</v>
      </c>
      <c r="H7" s="481"/>
      <c r="I7" s="482"/>
      <c r="J7" s="483" t="s">
        <v>90</v>
      </c>
      <c r="K7" s="484"/>
      <c r="L7" s="485"/>
      <c r="M7" s="486" t="s">
        <v>90</v>
      </c>
      <c r="N7" s="487"/>
      <c r="O7" s="487"/>
      <c r="P7" s="487"/>
      <c r="Q7" s="488"/>
      <c r="R7" s="496" t="s">
        <v>91</v>
      </c>
      <c r="S7" s="497"/>
      <c r="T7" s="497"/>
      <c r="U7" s="497"/>
      <c r="V7" s="497"/>
      <c r="W7" s="498"/>
      <c r="X7" s="499" t="s">
        <v>91</v>
      </c>
      <c r="Y7" s="500"/>
      <c r="Z7" s="500"/>
      <c r="AA7" s="501"/>
      <c r="AB7" s="107" t="s">
        <v>92</v>
      </c>
    </row>
    <row r="8" spans="1:28" ht="16.5" customHeight="1" thickBot="1" x14ac:dyDescent="0.3">
      <c r="A8" s="464"/>
      <c r="B8" s="108" t="s">
        <v>93</v>
      </c>
      <c r="C8" s="109" t="s">
        <v>94</v>
      </c>
      <c r="D8" s="110" t="s">
        <v>95</v>
      </c>
      <c r="E8" s="110" t="s">
        <v>96</v>
      </c>
      <c r="F8" s="111" t="s">
        <v>97</v>
      </c>
      <c r="G8" s="112" t="s">
        <v>93</v>
      </c>
      <c r="H8" s="113" t="s">
        <v>94</v>
      </c>
      <c r="I8" s="114" t="s">
        <v>95</v>
      </c>
      <c r="J8" s="115" t="s">
        <v>95</v>
      </c>
      <c r="K8" s="116" t="s">
        <v>96</v>
      </c>
      <c r="L8" s="117" t="s">
        <v>97</v>
      </c>
      <c r="M8" s="118" t="s">
        <v>98</v>
      </c>
      <c r="N8" s="119" t="s">
        <v>99</v>
      </c>
      <c r="O8" s="119" t="s">
        <v>100</v>
      </c>
      <c r="P8" s="119" t="s">
        <v>101</v>
      </c>
      <c r="Q8" s="120" t="s">
        <v>102</v>
      </c>
      <c r="R8" s="490" t="s">
        <v>103</v>
      </c>
      <c r="S8" s="491"/>
      <c r="T8" s="492" t="s">
        <v>104</v>
      </c>
      <c r="U8" s="491"/>
      <c r="V8" s="492" t="s">
        <v>105</v>
      </c>
      <c r="W8" s="493"/>
      <c r="X8" s="494" t="s">
        <v>106</v>
      </c>
      <c r="Y8" s="495"/>
      <c r="Z8" s="494" t="s">
        <v>107</v>
      </c>
      <c r="AA8" s="494"/>
      <c r="AB8" s="121" t="s">
        <v>108</v>
      </c>
    </row>
    <row r="9" spans="1:28" x14ac:dyDescent="0.25">
      <c r="A9" s="122" t="s">
        <v>50</v>
      </c>
      <c r="B9" s="123"/>
      <c r="C9" s="124"/>
      <c r="D9" s="124">
        <v>540</v>
      </c>
      <c r="E9" s="124">
        <v>103</v>
      </c>
      <c r="F9" s="125">
        <v>-1</v>
      </c>
      <c r="G9" s="123"/>
      <c r="H9" s="124"/>
      <c r="I9" s="125">
        <v>356</v>
      </c>
      <c r="J9" s="123">
        <v>331</v>
      </c>
      <c r="K9" s="126">
        <v>8</v>
      </c>
      <c r="L9" s="125">
        <v>3</v>
      </c>
      <c r="M9" s="123"/>
      <c r="N9" s="124"/>
      <c r="O9" s="124"/>
      <c r="P9" s="124"/>
      <c r="Q9" s="125"/>
      <c r="R9" s="127"/>
      <c r="S9" s="126"/>
      <c r="T9" s="128"/>
      <c r="U9" s="126"/>
      <c r="V9" s="128"/>
      <c r="W9" s="125"/>
      <c r="X9" s="128"/>
      <c r="Y9" s="126"/>
      <c r="Z9" s="128">
        <v>8.6458999999999994E-2</v>
      </c>
      <c r="AA9" s="129">
        <v>480</v>
      </c>
      <c r="AB9" s="130">
        <v>0.168489</v>
      </c>
    </row>
    <row r="10" spans="1:28" x14ac:dyDescent="0.25">
      <c r="A10" s="122" t="s">
        <v>55</v>
      </c>
      <c r="B10" s="131"/>
      <c r="C10" s="132"/>
      <c r="D10" s="132">
        <v>146</v>
      </c>
      <c r="E10" s="132">
        <v>19</v>
      </c>
      <c r="F10" s="125">
        <v>0</v>
      </c>
      <c r="G10" s="131"/>
      <c r="H10" s="132"/>
      <c r="I10" s="125">
        <v>89</v>
      </c>
      <c r="J10" s="131"/>
      <c r="K10" s="133"/>
      <c r="L10" s="125"/>
      <c r="M10" s="131"/>
      <c r="N10" s="132"/>
      <c r="O10" s="132">
        <v>76</v>
      </c>
      <c r="P10" s="132"/>
      <c r="Q10" s="125">
        <v>61</v>
      </c>
      <c r="R10" s="127"/>
      <c r="S10" s="133"/>
      <c r="T10" s="128"/>
      <c r="U10" s="133"/>
      <c r="V10" s="128"/>
      <c r="W10" s="125"/>
      <c r="X10" s="128"/>
      <c r="Y10" s="133"/>
      <c r="Z10" s="128">
        <v>4.7577000000000001E-2</v>
      </c>
      <c r="AA10" s="129">
        <v>16</v>
      </c>
      <c r="AB10" s="130">
        <v>0.29695500000000002</v>
      </c>
    </row>
    <row r="11" spans="1:28" x14ac:dyDescent="0.25">
      <c r="A11" s="122" t="s">
        <v>56</v>
      </c>
      <c r="B11" s="131"/>
      <c r="C11" s="132"/>
      <c r="D11" s="132">
        <v>68</v>
      </c>
      <c r="E11" s="132">
        <v>10</v>
      </c>
      <c r="F11" s="125">
        <v>0</v>
      </c>
      <c r="G11" s="131"/>
      <c r="H11" s="132"/>
      <c r="I11" s="125">
        <v>56</v>
      </c>
      <c r="J11" s="131"/>
      <c r="K11" s="133"/>
      <c r="L11" s="125"/>
      <c r="M11" s="131"/>
      <c r="N11" s="132"/>
      <c r="O11" s="132">
        <v>114</v>
      </c>
      <c r="P11" s="132"/>
      <c r="Q11" s="125">
        <v>88</v>
      </c>
      <c r="R11" s="127"/>
      <c r="S11" s="133"/>
      <c r="T11" s="128"/>
      <c r="U11" s="133"/>
      <c r="V11" s="128"/>
      <c r="W11" s="125"/>
      <c r="X11" s="128"/>
      <c r="Y11" s="133"/>
      <c r="Z11" s="128">
        <v>2.3119000000000001E-2</v>
      </c>
      <c r="AA11" s="129">
        <v>11</v>
      </c>
      <c r="AB11" s="130">
        <v>8.3007999999999998E-2</v>
      </c>
    </row>
    <row r="12" spans="1:28" x14ac:dyDescent="0.25">
      <c r="A12" s="122" t="s">
        <v>57</v>
      </c>
      <c r="B12" s="131"/>
      <c r="C12" s="132"/>
      <c r="D12" s="132">
        <v>88</v>
      </c>
      <c r="E12" s="132">
        <v>5</v>
      </c>
      <c r="F12" s="125">
        <v>0</v>
      </c>
      <c r="G12" s="131"/>
      <c r="H12" s="132"/>
      <c r="I12" s="125">
        <v>65</v>
      </c>
      <c r="J12" s="131"/>
      <c r="K12" s="133"/>
      <c r="L12" s="125"/>
      <c r="M12" s="131"/>
      <c r="N12" s="132"/>
      <c r="O12" s="132">
        <v>215</v>
      </c>
      <c r="P12" s="132"/>
      <c r="Q12" s="125">
        <v>73</v>
      </c>
      <c r="R12" s="127"/>
      <c r="S12" s="133"/>
      <c r="T12" s="128"/>
      <c r="U12" s="133"/>
      <c r="V12" s="128"/>
      <c r="W12" s="125"/>
      <c r="X12" s="128"/>
      <c r="Y12" s="133"/>
      <c r="Z12" s="128">
        <v>2.2557000000000001E-2</v>
      </c>
      <c r="AA12" s="129">
        <v>21</v>
      </c>
      <c r="AB12" s="130">
        <v>0.110247</v>
      </c>
    </row>
    <row r="13" spans="1:28" x14ac:dyDescent="0.25">
      <c r="A13" s="122" t="s">
        <v>58</v>
      </c>
      <c r="B13" s="131"/>
      <c r="C13" s="132"/>
      <c r="D13" s="132">
        <v>501</v>
      </c>
      <c r="E13" s="132">
        <v>74</v>
      </c>
      <c r="F13" s="125">
        <v>0</v>
      </c>
      <c r="G13" s="131"/>
      <c r="H13" s="132"/>
      <c r="I13" s="125">
        <v>506</v>
      </c>
      <c r="J13" s="131">
        <v>102</v>
      </c>
      <c r="K13" s="133">
        <v>29</v>
      </c>
      <c r="L13" s="125">
        <v>0</v>
      </c>
      <c r="M13" s="131"/>
      <c r="N13" s="132"/>
      <c r="O13" s="132"/>
      <c r="P13" s="132"/>
      <c r="Q13" s="125"/>
      <c r="R13" s="127"/>
      <c r="S13" s="133"/>
      <c r="T13" s="128"/>
      <c r="U13" s="133"/>
      <c r="V13" s="128"/>
      <c r="W13" s="125"/>
      <c r="X13" s="128"/>
      <c r="Y13" s="133"/>
      <c r="Z13" s="128">
        <v>5.5607999999999998E-2</v>
      </c>
      <c r="AA13" s="129">
        <v>175</v>
      </c>
      <c r="AB13" s="130">
        <v>0.11894200000000001</v>
      </c>
    </row>
    <row r="14" spans="1:28" x14ac:dyDescent="0.25">
      <c r="A14" s="122" t="s">
        <v>59</v>
      </c>
      <c r="B14" s="131"/>
      <c r="C14" s="132"/>
      <c r="D14" s="132">
        <v>100</v>
      </c>
      <c r="E14" s="132">
        <v>-14</v>
      </c>
      <c r="F14" s="125">
        <v>0</v>
      </c>
      <c r="G14" s="131"/>
      <c r="H14" s="132"/>
      <c r="I14" s="125">
        <v>96</v>
      </c>
      <c r="J14" s="131"/>
      <c r="K14" s="133"/>
      <c r="L14" s="125"/>
      <c r="M14" s="131"/>
      <c r="N14" s="132"/>
      <c r="O14" s="132">
        <v>110</v>
      </c>
      <c r="P14" s="132"/>
      <c r="Q14" s="125">
        <v>112</v>
      </c>
      <c r="R14" s="127"/>
      <c r="S14" s="133"/>
      <c r="T14" s="128"/>
      <c r="U14" s="133"/>
      <c r="V14" s="128"/>
      <c r="W14" s="125"/>
      <c r="X14" s="128"/>
      <c r="Y14" s="133"/>
      <c r="Z14" s="128">
        <v>1.3520000000000001E-2</v>
      </c>
      <c r="AA14" s="129">
        <v>19</v>
      </c>
      <c r="AB14" s="130">
        <v>9.6976000000000007E-2</v>
      </c>
    </row>
    <row r="15" spans="1:28" x14ac:dyDescent="0.25">
      <c r="A15" s="122" t="s">
        <v>60</v>
      </c>
      <c r="B15" s="131"/>
      <c r="C15" s="132"/>
      <c r="D15" s="132">
        <v>67</v>
      </c>
      <c r="E15" s="132">
        <v>-11</v>
      </c>
      <c r="F15" s="125">
        <v>0</v>
      </c>
      <c r="G15" s="131"/>
      <c r="H15" s="132"/>
      <c r="I15" s="125">
        <v>103</v>
      </c>
      <c r="J15" s="131"/>
      <c r="K15" s="133"/>
      <c r="L15" s="125"/>
      <c r="M15" s="131"/>
      <c r="N15" s="132"/>
      <c r="O15" s="132">
        <v>116</v>
      </c>
      <c r="P15" s="132"/>
      <c r="Q15" s="125">
        <v>81</v>
      </c>
      <c r="R15" s="127"/>
      <c r="S15" s="133"/>
      <c r="T15" s="128"/>
      <c r="U15" s="133"/>
      <c r="V15" s="128"/>
      <c r="W15" s="125"/>
      <c r="X15" s="128"/>
      <c r="Y15" s="133"/>
      <c r="Z15" s="128">
        <v>-1.25E-3</v>
      </c>
      <c r="AA15" s="129">
        <v>10</v>
      </c>
      <c r="AB15" s="130">
        <v>9.9130999999999997E-2</v>
      </c>
    </row>
    <row r="16" spans="1:28" x14ac:dyDescent="0.25">
      <c r="A16" s="122" t="s">
        <v>65</v>
      </c>
      <c r="B16" s="131"/>
      <c r="C16" s="132"/>
      <c r="D16" s="132">
        <v>124</v>
      </c>
      <c r="E16" s="132">
        <v>53</v>
      </c>
      <c r="F16" s="125">
        <v>18</v>
      </c>
      <c r="G16" s="131"/>
      <c r="H16" s="132"/>
      <c r="I16" s="125">
        <v>366</v>
      </c>
      <c r="J16" s="131">
        <v>86</v>
      </c>
      <c r="K16" s="133">
        <v>83</v>
      </c>
      <c r="L16" s="125">
        <v>15</v>
      </c>
      <c r="M16" s="131"/>
      <c r="N16" s="132"/>
      <c r="O16" s="132"/>
      <c r="P16" s="132"/>
      <c r="Q16" s="125"/>
      <c r="R16" s="127"/>
      <c r="S16" s="133"/>
      <c r="T16" s="128"/>
      <c r="U16" s="133"/>
      <c r="V16" s="128"/>
      <c r="W16" s="125"/>
      <c r="X16" s="128"/>
      <c r="Y16" s="133"/>
      <c r="Z16" s="128">
        <v>5.0417999999999998E-2</v>
      </c>
      <c r="AA16" s="129">
        <v>35</v>
      </c>
      <c r="AB16" s="130">
        <v>0.15024299999999999</v>
      </c>
    </row>
    <row r="17" spans="1:28" x14ac:dyDescent="0.25">
      <c r="A17" s="122" t="s">
        <v>66</v>
      </c>
      <c r="B17" s="131"/>
      <c r="C17" s="132"/>
      <c r="D17" s="132">
        <v>106</v>
      </c>
      <c r="E17" s="132">
        <v>41</v>
      </c>
      <c r="F17" s="125">
        <v>0</v>
      </c>
      <c r="G17" s="131"/>
      <c r="H17" s="132"/>
      <c r="I17" s="125">
        <v>90</v>
      </c>
      <c r="J17" s="131"/>
      <c r="K17" s="133"/>
      <c r="L17" s="125"/>
      <c r="M17" s="131"/>
      <c r="N17" s="132"/>
      <c r="O17" s="132">
        <v>-2</v>
      </c>
      <c r="P17" s="132"/>
      <c r="Q17" s="125">
        <v>-356</v>
      </c>
      <c r="R17" s="127"/>
      <c r="S17" s="133"/>
      <c r="T17" s="128"/>
      <c r="U17" s="133"/>
      <c r="V17" s="128"/>
      <c r="W17" s="125"/>
      <c r="X17" s="128"/>
      <c r="Y17" s="133"/>
      <c r="Z17" s="128">
        <v>1.7534999999999999E-2</v>
      </c>
      <c r="AA17" s="129">
        <v>19</v>
      </c>
      <c r="AB17" s="130">
        <v>0.14849100000000001</v>
      </c>
    </row>
    <row r="18" spans="1:28" x14ac:dyDescent="0.25">
      <c r="A18" s="122" t="s">
        <v>67</v>
      </c>
      <c r="B18" s="131"/>
      <c r="C18" s="132"/>
      <c r="D18" s="132">
        <v>89</v>
      </c>
      <c r="E18" s="132">
        <v>0</v>
      </c>
      <c r="F18" s="125">
        <v>0</v>
      </c>
      <c r="G18" s="131"/>
      <c r="H18" s="132"/>
      <c r="I18" s="125">
        <v>76</v>
      </c>
      <c r="J18" s="131"/>
      <c r="K18" s="133"/>
      <c r="L18" s="125"/>
      <c r="M18" s="131"/>
      <c r="N18" s="132"/>
      <c r="O18" s="132">
        <v>-38</v>
      </c>
      <c r="P18" s="132"/>
      <c r="Q18" s="125">
        <v>-17</v>
      </c>
      <c r="R18" s="127"/>
      <c r="S18" s="133"/>
      <c r="T18" s="128"/>
      <c r="U18" s="133"/>
      <c r="V18" s="128"/>
      <c r="W18" s="125"/>
      <c r="X18" s="128"/>
      <c r="Y18" s="133"/>
      <c r="Z18" s="128">
        <v>-1.0269999999999999E-3</v>
      </c>
      <c r="AA18" s="129">
        <v>13</v>
      </c>
      <c r="AB18" s="130">
        <v>0.16914000000000001</v>
      </c>
    </row>
    <row r="19" spans="1:28" x14ac:dyDescent="0.25">
      <c r="A19" s="122" t="s">
        <v>68</v>
      </c>
      <c r="B19" s="131"/>
      <c r="C19" s="132"/>
      <c r="D19" s="132">
        <v>167</v>
      </c>
      <c r="E19" s="132">
        <v>43</v>
      </c>
      <c r="F19" s="125">
        <v>0</v>
      </c>
      <c r="G19" s="131"/>
      <c r="H19" s="132"/>
      <c r="I19" s="125">
        <v>222</v>
      </c>
      <c r="J19" s="131"/>
      <c r="K19" s="133"/>
      <c r="L19" s="125"/>
      <c r="M19" s="131"/>
      <c r="N19" s="132"/>
      <c r="O19" s="132">
        <v>-216</v>
      </c>
      <c r="P19" s="132"/>
      <c r="Q19" s="125">
        <v>-80</v>
      </c>
      <c r="R19" s="127"/>
      <c r="S19" s="133"/>
      <c r="T19" s="128"/>
      <c r="U19" s="133"/>
      <c r="V19" s="128"/>
      <c r="W19" s="125"/>
      <c r="X19" s="128"/>
      <c r="Y19" s="133"/>
      <c r="Z19" s="128">
        <v>7.5389999999999997E-3</v>
      </c>
      <c r="AA19" s="129">
        <v>7</v>
      </c>
      <c r="AB19" s="130">
        <v>2.4902000000000001E-2</v>
      </c>
    </row>
    <row r="20" spans="1:28" x14ac:dyDescent="0.25">
      <c r="A20" s="122" t="s">
        <v>71</v>
      </c>
      <c r="B20" s="131"/>
      <c r="C20" s="132"/>
      <c r="D20" s="132">
        <v>294</v>
      </c>
      <c r="E20" s="132">
        <v>303</v>
      </c>
      <c r="F20" s="125">
        <v>11</v>
      </c>
      <c r="G20" s="131"/>
      <c r="H20" s="132"/>
      <c r="I20" s="125">
        <v>318</v>
      </c>
      <c r="J20" s="131">
        <v>26</v>
      </c>
      <c r="K20" s="133">
        <v>21</v>
      </c>
      <c r="L20" s="125">
        <v>0</v>
      </c>
      <c r="M20" s="131"/>
      <c r="N20" s="132"/>
      <c r="O20" s="132"/>
      <c r="P20" s="132"/>
      <c r="Q20" s="125"/>
      <c r="R20" s="127"/>
      <c r="S20" s="133"/>
      <c r="T20" s="128"/>
      <c r="U20" s="133"/>
      <c r="V20" s="128"/>
      <c r="W20" s="125"/>
      <c r="X20" s="128"/>
      <c r="Y20" s="133"/>
      <c r="Z20" s="128">
        <v>4.5325999999999998E-2</v>
      </c>
      <c r="AA20" s="129">
        <v>230</v>
      </c>
      <c r="AB20" s="130">
        <v>0.115326</v>
      </c>
    </row>
    <row r="21" spans="1:28" x14ac:dyDescent="0.25">
      <c r="A21" s="122" t="s">
        <v>72</v>
      </c>
      <c r="B21" s="131"/>
      <c r="C21" s="132"/>
      <c r="D21" s="132">
        <v>-73</v>
      </c>
      <c r="E21" s="132">
        <v>9</v>
      </c>
      <c r="F21" s="125">
        <v>-4</v>
      </c>
      <c r="G21" s="131"/>
      <c r="H21" s="132"/>
      <c r="I21" s="125">
        <v>70</v>
      </c>
      <c r="J21" s="131"/>
      <c r="K21" s="133"/>
      <c r="L21" s="125"/>
      <c r="M21" s="131"/>
      <c r="N21" s="132"/>
      <c r="O21" s="132">
        <v>328</v>
      </c>
      <c r="P21" s="132"/>
      <c r="Q21" s="125">
        <v>177</v>
      </c>
      <c r="R21" s="127"/>
      <c r="S21" s="133"/>
      <c r="T21" s="128"/>
      <c r="U21" s="133"/>
      <c r="V21" s="128"/>
      <c r="W21" s="125"/>
      <c r="X21" s="128"/>
      <c r="Y21" s="133"/>
      <c r="Z21" s="128">
        <v>-1.882E-3</v>
      </c>
      <c r="AA21" s="129">
        <v>28</v>
      </c>
      <c r="AB21" s="130">
        <v>0.19756899999999999</v>
      </c>
    </row>
    <row r="22" spans="1:28" x14ac:dyDescent="0.25">
      <c r="A22" s="122" t="s">
        <v>73</v>
      </c>
      <c r="B22" s="131"/>
      <c r="C22" s="132"/>
      <c r="D22" s="132">
        <v>137</v>
      </c>
      <c r="E22" s="132">
        <v>47</v>
      </c>
      <c r="F22" s="125">
        <v>8</v>
      </c>
      <c r="G22" s="131"/>
      <c r="H22" s="132"/>
      <c r="I22" s="125">
        <v>109</v>
      </c>
      <c r="J22" s="131"/>
      <c r="K22" s="133"/>
      <c r="L22" s="125"/>
      <c r="M22" s="131"/>
      <c r="N22" s="132"/>
      <c r="O22" s="132">
        <v>86</v>
      </c>
      <c r="P22" s="132"/>
      <c r="Q22" s="125">
        <v>83</v>
      </c>
      <c r="R22" s="127"/>
      <c r="S22" s="133"/>
      <c r="T22" s="128"/>
      <c r="U22" s="133"/>
      <c r="V22" s="128"/>
      <c r="W22" s="125"/>
      <c r="X22" s="128"/>
      <c r="Y22" s="133"/>
      <c r="Z22" s="128">
        <v>1.8127000000000001E-2</v>
      </c>
      <c r="AA22" s="129">
        <v>37</v>
      </c>
      <c r="AB22" s="130">
        <v>5.2782999999999997E-2</v>
      </c>
    </row>
    <row r="23" spans="1:28" x14ac:dyDescent="0.25">
      <c r="A23" s="122" t="s">
        <v>74</v>
      </c>
      <c r="B23" s="131">
        <v>23</v>
      </c>
      <c r="C23" s="132">
        <v>323</v>
      </c>
      <c r="D23" s="132">
        <v>60</v>
      </c>
      <c r="E23" s="132"/>
      <c r="F23" s="125"/>
      <c r="G23" s="131">
        <v>20</v>
      </c>
      <c r="H23" s="132">
        <v>155</v>
      </c>
      <c r="I23" s="125">
        <v>21</v>
      </c>
      <c r="J23" s="131"/>
      <c r="K23" s="133"/>
      <c r="L23" s="125"/>
      <c r="M23" s="131">
        <v>-147</v>
      </c>
      <c r="N23" s="132">
        <v>-22</v>
      </c>
      <c r="O23" s="132"/>
      <c r="P23" s="132">
        <v>-6</v>
      </c>
      <c r="Q23" s="125"/>
      <c r="R23" s="127">
        <v>-0.11569699999999999</v>
      </c>
      <c r="S23" s="133">
        <v>-45</v>
      </c>
      <c r="T23" s="128">
        <v>-0.17752000000000001</v>
      </c>
      <c r="U23" s="133">
        <v>-148</v>
      </c>
      <c r="V23" s="128">
        <v>-0.115717</v>
      </c>
      <c r="W23" s="125">
        <v>-43</v>
      </c>
      <c r="X23" s="128">
        <v>-4.2564999999999999E-2</v>
      </c>
      <c r="Y23" s="133">
        <v>-105</v>
      </c>
      <c r="Z23" s="128">
        <v>3.9941999999999998E-2</v>
      </c>
      <c r="AA23" s="129">
        <v>10</v>
      </c>
      <c r="AB23" s="130">
        <v>0.49573899999999999</v>
      </c>
    </row>
    <row r="24" spans="1:28" ht="15.75" customHeight="1" thickBot="1" x14ac:dyDescent="0.3">
      <c r="A24" s="134" t="s">
        <v>75</v>
      </c>
      <c r="B24" s="135">
        <v>1382</v>
      </c>
      <c r="C24" s="136">
        <v>2571</v>
      </c>
      <c r="D24" s="136"/>
      <c r="E24" s="136"/>
      <c r="F24" s="137"/>
      <c r="G24" s="135">
        <v>1162</v>
      </c>
      <c r="H24" s="136">
        <v>2071</v>
      </c>
      <c r="I24" s="137"/>
      <c r="J24" s="135"/>
      <c r="K24" s="138"/>
      <c r="L24" s="137"/>
      <c r="M24" s="135">
        <v>4156</v>
      </c>
      <c r="N24" s="136">
        <v>4819</v>
      </c>
      <c r="O24" s="136"/>
      <c r="P24" s="136">
        <v>4357</v>
      </c>
      <c r="Q24" s="137"/>
      <c r="R24" s="139">
        <v>2.0170000000000001E-3</v>
      </c>
      <c r="S24" s="138">
        <v>836</v>
      </c>
      <c r="T24" s="140">
        <v>-5.0054000000000001E-2</v>
      </c>
      <c r="U24" s="138">
        <v>-663</v>
      </c>
      <c r="V24" s="140">
        <v>-8.6239999999999997E-3</v>
      </c>
      <c r="W24" s="137">
        <v>430</v>
      </c>
      <c r="X24" s="140">
        <v>-1.933E-3</v>
      </c>
      <c r="Y24" s="138">
        <v>53</v>
      </c>
      <c r="Z24" s="140"/>
      <c r="AA24" s="141"/>
      <c r="AB24" s="142">
        <v>0.72324600000000006</v>
      </c>
    </row>
    <row r="27" spans="1:28" x14ac:dyDescent="0.25">
      <c r="A27" s="143" t="s">
        <v>109</v>
      </c>
    </row>
    <row r="28" spans="1:28" x14ac:dyDescent="0.25">
      <c r="A28" s="1" t="s">
        <v>110</v>
      </c>
    </row>
    <row r="29" spans="1:28" x14ac:dyDescent="0.25">
      <c r="A29" s="1" t="s">
        <v>111</v>
      </c>
    </row>
    <row r="30" spans="1:28" x14ac:dyDescent="0.25">
      <c r="A30" s="1" t="s">
        <v>112</v>
      </c>
    </row>
    <row r="31" spans="1:28" x14ac:dyDescent="0.25">
      <c r="A31" s="1" t="s">
        <v>113</v>
      </c>
    </row>
  </sheetData>
  <mergeCells count="18">
    <mergeCell ref="X6:AA6"/>
    <mergeCell ref="R8:S8"/>
    <mergeCell ref="T8:U8"/>
    <mergeCell ref="V8:W8"/>
    <mergeCell ref="X8:Y8"/>
    <mergeCell ref="Z8:AA8"/>
    <mergeCell ref="R7:W7"/>
    <mergeCell ref="X7:AA7"/>
    <mergeCell ref="R6:W6"/>
    <mergeCell ref="A6:A8"/>
    <mergeCell ref="B6:F6"/>
    <mergeCell ref="G6:I6"/>
    <mergeCell ref="J6:L6"/>
    <mergeCell ref="M6:Q6"/>
    <mergeCell ref="B7:F7"/>
    <mergeCell ref="G7:I7"/>
    <mergeCell ref="J7:L7"/>
    <mergeCell ref="M7:Q7"/>
  </mergeCells>
  <pageMargins left="0.7" right="0.7" top="0.75" bottom="0.75" header="0.3" footer="0.3"/>
  <pageSetup scale="55" orientation="landscape" r:id="rId1"/>
  <headerFooter>
    <oddFooter>Page &amp;P</oddFooter>
  </headerFooter>
  <colBreaks count="1" manualBreakCount="1">
    <brk id="12" max="20" man="1"/>
    <brk id="12" max="1638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</sheetPr>
  <dimension ref="A1:K47"/>
  <sheetViews>
    <sheetView zoomScale="80" zoomScaleNormal="80" workbookViewId="0"/>
  </sheetViews>
  <sheetFormatPr defaultRowHeight="15" x14ac:dyDescent="0.25"/>
  <cols>
    <col min="1" max="1" width="36.28515625" style="1" customWidth="1"/>
    <col min="2" max="3" width="9.28515625" style="1" bestFit="1" customWidth="1"/>
    <col min="4" max="4" width="12.28515625" style="1" customWidth="1"/>
    <col min="5" max="5" width="9.140625" style="1" customWidth="1"/>
    <col min="6" max="6" width="9.28515625" style="1" bestFit="1" customWidth="1"/>
    <col min="7" max="7" width="12.28515625" style="1" customWidth="1"/>
    <col min="8" max="8" width="9.140625" style="1" customWidth="1"/>
    <col min="9" max="9" width="9.28515625" style="1" bestFit="1" customWidth="1"/>
    <col min="10" max="10" width="12.28515625" style="1" customWidth="1"/>
  </cols>
  <sheetData>
    <row r="1" spans="1:11" ht="15.75" customHeight="1" x14ac:dyDescent="0.25">
      <c r="A1" s="12" t="s">
        <v>114</v>
      </c>
      <c r="B1" s="12"/>
      <c r="C1" s="12"/>
      <c r="D1" s="12"/>
      <c r="E1" s="12"/>
      <c r="F1"/>
      <c r="G1"/>
      <c r="H1"/>
      <c r="I1"/>
      <c r="J1"/>
    </row>
    <row r="2" spans="1:11" ht="15.75" customHeight="1" x14ac:dyDescent="0.25">
      <c r="A2" s="13" t="s">
        <v>31</v>
      </c>
      <c r="B2"/>
      <c r="C2"/>
      <c r="D2"/>
      <c r="E2"/>
      <c r="F2"/>
      <c r="G2"/>
      <c r="H2"/>
      <c r="I2"/>
      <c r="J2"/>
    </row>
    <row r="3" spans="1:11" ht="15.75" customHeight="1" x14ac:dyDescent="0.25">
      <c r="A3" s="13"/>
      <c r="B3"/>
      <c r="C3"/>
      <c r="D3"/>
      <c r="E3"/>
      <c r="F3"/>
      <c r="G3"/>
      <c r="H3"/>
      <c r="I3"/>
      <c r="J3"/>
    </row>
    <row r="4" spans="1:11" x14ac:dyDescent="0.25">
      <c r="A4" s="14" t="s">
        <v>115</v>
      </c>
    </row>
    <row r="5" spans="1:11" ht="15.75" customHeight="1" thickBot="1" x14ac:dyDescent="0.3">
      <c r="A5" s="14"/>
      <c r="B5"/>
      <c r="C5"/>
      <c r="D5"/>
      <c r="E5"/>
      <c r="F5"/>
      <c r="G5"/>
      <c r="H5"/>
      <c r="I5"/>
      <c r="J5"/>
    </row>
    <row r="6" spans="1:11" x14ac:dyDescent="0.25">
      <c r="A6" s="450"/>
      <c r="B6" s="452" t="s">
        <v>116</v>
      </c>
      <c r="C6" s="510" t="s">
        <v>117</v>
      </c>
      <c r="D6" s="511"/>
      <c r="E6" s="512"/>
      <c r="F6" s="520" t="s">
        <v>3</v>
      </c>
      <c r="G6" s="521"/>
      <c r="H6" s="522"/>
      <c r="I6" s="521" t="s">
        <v>4</v>
      </c>
      <c r="J6" s="521"/>
      <c r="K6" s="522"/>
    </row>
    <row r="7" spans="1:11" x14ac:dyDescent="0.25">
      <c r="A7" s="509"/>
      <c r="B7" s="457"/>
      <c r="C7" s="516" t="s">
        <v>118</v>
      </c>
      <c r="D7" s="518" t="s">
        <v>119</v>
      </c>
      <c r="E7" s="526" t="s">
        <v>120</v>
      </c>
      <c r="F7" s="513" t="s">
        <v>121</v>
      </c>
      <c r="G7" s="514"/>
      <c r="H7" s="515"/>
      <c r="I7" s="513" t="s">
        <v>121</v>
      </c>
      <c r="J7" s="514"/>
      <c r="K7" s="515"/>
    </row>
    <row r="8" spans="1:11" ht="15.75" customHeight="1" thickBot="1" x14ac:dyDescent="0.3">
      <c r="A8" s="451"/>
      <c r="B8" s="453"/>
      <c r="C8" s="517"/>
      <c r="D8" s="519"/>
      <c r="E8" s="527"/>
      <c r="F8" s="523">
        <v>0.51782600000000001</v>
      </c>
      <c r="G8" s="524"/>
      <c r="H8" s="525"/>
      <c r="I8" s="524">
        <v>0.26915299999999998</v>
      </c>
      <c r="J8" s="524"/>
      <c r="K8" s="525"/>
    </row>
    <row r="9" spans="1:11" x14ac:dyDescent="0.25">
      <c r="A9" s="144" t="s">
        <v>83</v>
      </c>
      <c r="B9" s="145"/>
      <c r="C9" s="146"/>
      <c r="D9" s="147"/>
      <c r="E9" s="148"/>
      <c r="F9" s="149"/>
      <c r="G9" s="150"/>
      <c r="H9" s="151"/>
      <c r="I9" s="149"/>
      <c r="J9" s="150"/>
      <c r="K9" s="151"/>
    </row>
    <row r="10" spans="1:11" ht="15" customHeight="1" x14ac:dyDescent="0.25">
      <c r="A10" s="152" t="s">
        <v>93</v>
      </c>
      <c r="B10" s="153">
        <v>1405</v>
      </c>
      <c r="C10" s="66">
        <v>2000</v>
      </c>
      <c r="D10" s="154">
        <f>B10*C10</f>
        <v>2810000</v>
      </c>
      <c r="E10" s="155">
        <f t="shared" ref="E10:E15" si="0">D10/C$47</f>
        <v>2.4440010645755527E-2</v>
      </c>
      <c r="F10" s="66">
        <f>ROUND($C10-$C10*F$8, 0)</f>
        <v>964</v>
      </c>
      <c r="G10" s="154">
        <f>$B10*F10</f>
        <v>1354420</v>
      </c>
      <c r="H10" s="155">
        <f t="shared" ref="H10:H15" si="1">G10/F$47</f>
        <v>2.4430710089099344E-2</v>
      </c>
      <c r="I10" s="66">
        <f>ROUND($C10-$C10*I$8, 0)</f>
        <v>1462</v>
      </c>
      <c r="J10" s="154">
        <f>$B10*I10</f>
        <v>2054110</v>
      </c>
      <c r="K10" s="155">
        <f t="shared" ref="K10:K15" si="2">J10/I$47</f>
        <v>2.4444894679265704E-2</v>
      </c>
    </row>
    <row r="11" spans="1:11" x14ac:dyDescent="0.25">
      <c r="A11" s="152" t="s">
        <v>94</v>
      </c>
      <c r="B11" s="153">
        <v>2894</v>
      </c>
      <c r="C11" s="66">
        <v>4000</v>
      </c>
      <c r="D11" s="154">
        <f>B11*C11</f>
        <v>11576000</v>
      </c>
      <c r="E11" s="155">
        <f t="shared" si="0"/>
        <v>0.10068240684529038</v>
      </c>
      <c r="F11" s="66">
        <f>ROUND($C11-$C11*F$8, 0)</f>
        <v>1929</v>
      </c>
      <c r="G11" s="154">
        <f>$B11*F11</f>
        <v>5582526</v>
      </c>
      <c r="H11" s="155">
        <f t="shared" si="1"/>
        <v>0.1006962938164376</v>
      </c>
      <c r="I11" s="66">
        <f>ROUND($C11-$C11*I$8, 0)</f>
        <v>2923</v>
      </c>
      <c r="J11" s="154">
        <f>$B11*I11</f>
        <v>8459162</v>
      </c>
      <c r="K11" s="155">
        <f t="shared" si="2"/>
        <v>0.10066808698893762</v>
      </c>
    </row>
    <row r="12" spans="1:11" x14ac:dyDescent="0.25">
      <c r="A12" s="152" t="s">
        <v>95</v>
      </c>
      <c r="B12" s="153">
        <v>2487</v>
      </c>
      <c r="C12" s="66">
        <v>8000</v>
      </c>
      <c r="D12" s="154">
        <f>B12*C12</f>
        <v>19896000</v>
      </c>
      <c r="E12" s="155">
        <f t="shared" si="0"/>
        <v>0.17304571238717151</v>
      </c>
      <c r="F12" s="66">
        <f>ROUND($C12-$C12*F$8, 0)</f>
        <v>3857</v>
      </c>
      <c r="G12" s="154">
        <f>$B12*F12</f>
        <v>9592359</v>
      </c>
      <c r="H12" s="155">
        <f t="shared" si="1"/>
        <v>0.17302472039659994</v>
      </c>
      <c r="I12" s="66">
        <f>ROUND($C12-$C12*I$8, 0)</f>
        <v>5847</v>
      </c>
      <c r="J12" s="154">
        <f>$B12*I12</f>
        <v>14541489</v>
      </c>
      <c r="K12" s="155">
        <f t="shared" si="2"/>
        <v>0.17305069693672723</v>
      </c>
    </row>
    <row r="13" spans="1:11" x14ac:dyDescent="0.25">
      <c r="A13" s="152" t="s">
        <v>96</v>
      </c>
      <c r="B13" s="153">
        <v>707</v>
      </c>
      <c r="C13" s="66">
        <v>4000</v>
      </c>
      <c r="D13" s="154">
        <f>B13*C13</f>
        <v>2828000</v>
      </c>
      <c r="E13" s="155">
        <f t="shared" si="0"/>
        <v>2.4596565874091328E-2</v>
      </c>
      <c r="F13" s="66">
        <f>ROUND($C13-$C13*F$8, 0)</f>
        <v>1929</v>
      </c>
      <c r="G13" s="154">
        <f>$B13*F13</f>
        <v>1363803</v>
      </c>
      <c r="H13" s="155">
        <f t="shared" si="1"/>
        <v>2.459995844098873E-2</v>
      </c>
      <c r="I13" s="66">
        <f>ROUND($C13-$C13*I$8, 0)</f>
        <v>2923</v>
      </c>
      <c r="J13" s="154">
        <f>$B13*I13</f>
        <v>2066561</v>
      </c>
      <c r="K13" s="155">
        <f t="shared" si="2"/>
        <v>2.4593067553966445E-2</v>
      </c>
    </row>
    <row r="14" spans="1:11" ht="15.75" customHeight="1" thickBot="1" x14ac:dyDescent="0.3">
      <c r="A14" s="152" t="s">
        <v>97</v>
      </c>
      <c r="B14" s="153">
        <v>37</v>
      </c>
      <c r="C14" s="66">
        <v>2000</v>
      </c>
      <c r="D14" s="154">
        <f>B14*C14</f>
        <v>74000</v>
      </c>
      <c r="E14" s="155">
        <f t="shared" si="0"/>
        <v>6.4361593871384661E-4</v>
      </c>
      <c r="F14" s="66">
        <f>ROUND($C14-$C14*F$8, 0)</f>
        <v>964</v>
      </c>
      <c r="G14" s="154">
        <f>$B14*F14</f>
        <v>35668</v>
      </c>
      <c r="H14" s="155">
        <f t="shared" si="1"/>
        <v>6.4337101302254507E-4</v>
      </c>
      <c r="I14" s="66">
        <f>ROUND($C14-$C14*I$8, 0)</f>
        <v>1462</v>
      </c>
      <c r="J14" s="154">
        <f>$B14*I14</f>
        <v>54094</v>
      </c>
      <c r="K14" s="155">
        <f t="shared" si="2"/>
        <v>6.4374455738991539E-4</v>
      </c>
    </row>
    <row r="15" spans="1:11" ht="16.5" customHeight="1" thickTop="1" thickBot="1" x14ac:dyDescent="0.3">
      <c r="A15" s="156"/>
      <c r="B15" s="157"/>
      <c r="C15" s="158"/>
      <c r="D15" s="159">
        <f>SUM(D10:D14)</f>
        <v>37184000</v>
      </c>
      <c r="E15" s="160">
        <f t="shared" si="0"/>
        <v>0.32340831169102258</v>
      </c>
      <c r="F15" s="158"/>
      <c r="G15" s="159">
        <f>SUM(G10:G14)</f>
        <v>17928776</v>
      </c>
      <c r="H15" s="160">
        <f t="shared" si="1"/>
        <v>0.32339505375614819</v>
      </c>
      <c r="I15" s="158"/>
      <c r="J15" s="159">
        <f>SUM(J10:J14)</f>
        <v>27175416</v>
      </c>
      <c r="K15" s="160">
        <f t="shared" si="2"/>
        <v>0.3234004907162869</v>
      </c>
    </row>
    <row r="16" spans="1:11" x14ac:dyDescent="0.25">
      <c r="A16" s="161" t="s">
        <v>84</v>
      </c>
      <c r="B16" s="145"/>
      <c r="C16" s="146"/>
      <c r="D16" s="147"/>
      <c r="E16" s="162"/>
      <c r="F16" s="149"/>
      <c r="G16" s="150"/>
      <c r="H16" s="162"/>
      <c r="I16" s="149"/>
      <c r="J16" s="150"/>
      <c r="K16" s="162"/>
    </row>
    <row r="17" spans="1:11" x14ac:dyDescent="0.25">
      <c r="A17" s="163" t="s">
        <v>93</v>
      </c>
      <c r="B17" s="153">
        <v>1182</v>
      </c>
      <c r="C17" s="66">
        <v>1500</v>
      </c>
      <c r="D17" s="154">
        <f>B17*C17</f>
        <v>1773000</v>
      </c>
      <c r="E17" s="155">
        <f>D17/C$47</f>
        <v>1.5420689991076353E-2</v>
      </c>
      <c r="F17" s="66">
        <f>ROUND($C17-$C17*F$8, 0)</f>
        <v>723</v>
      </c>
      <c r="G17" s="154">
        <f>$B17*F17</f>
        <v>854586</v>
      </c>
      <c r="H17" s="155">
        <f>G17/F$47</f>
        <v>1.5414821703905032E-2</v>
      </c>
      <c r="I17" s="66">
        <f>ROUND($C17-$C17*I$8, 0)</f>
        <v>1096</v>
      </c>
      <c r="J17" s="154">
        <f>$B17*I17</f>
        <v>1295472</v>
      </c>
      <c r="K17" s="155">
        <f>J17/I$47</f>
        <v>1.5416738441435806E-2</v>
      </c>
    </row>
    <row r="18" spans="1:11" x14ac:dyDescent="0.25">
      <c r="A18" s="163" t="s">
        <v>94</v>
      </c>
      <c r="B18" s="153">
        <v>2226</v>
      </c>
      <c r="C18" s="66">
        <v>3000</v>
      </c>
      <c r="D18" s="154">
        <f>B18*C18</f>
        <v>6678000</v>
      </c>
      <c r="E18" s="155">
        <f>D18/C$47</f>
        <v>5.8081989712581994E-2</v>
      </c>
      <c r="F18" s="66">
        <f>ROUND($C18-$C18*F$8, 0)</f>
        <v>1447</v>
      </c>
      <c r="G18" s="154">
        <f>$B18*F18</f>
        <v>3221022</v>
      </c>
      <c r="H18" s="155">
        <f>G18/F$47</f>
        <v>5.8100038889422008E-2</v>
      </c>
      <c r="I18" s="66">
        <f>ROUND($C18-$C18*I$8, 0)</f>
        <v>2193</v>
      </c>
      <c r="J18" s="154">
        <f>$B18*I18</f>
        <v>4881618</v>
      </c>
      <c r="K18" s="155">
        <f>J18/I$47</f>
        <v>5.809359667905209E-2</v>
      </c>
    </row>
    <row r="19" spans="1:11" ht="15.75" customHeight="1" thickBot="1" x14ac:dyDescent="0.3">
      <c r="A19" s="163" t="s">
        <v>95</v>
      </c>
      <c r="B19" s="153">
        <v>2543</v>
      </c>
      <c r="C19" s="66">
        <v>6000</v>
      </c>
      <c r="D19" s="154">
        <f>B19*C19</f>
        <v>15258000</v>
      </c>
      <c r="E19" s="155">
        <f>D19/C$47</f>
        <v>0.13270664855264691</v>
      </c>
      <c r="F19" s="66">
        <f>ROUND($C19-$C19*F$8, 0)</f>
        <v>2893</v>
      </c>
      <c r="G19" s="154">
        <f>$B19*F19</f>
        <v>7356899</v>
      </c>
      <c r="H19" s="155">
        <f>G19/F$47</f>
        <v>0.13270201756012528</v>
      </c>
      <c r="I19" s="66">
        <f>ROUND($C19-$C19*I$8, 0)</f>
        <v>4385</v>
      </c>
      <c r="J19" s="154">
        <f>$B19*I19</f>
        <v>11151055</v>
      </c>
      <c r="K19" s="155">
        <f>J19/I$47</f>
        <v>0.1327029054129035</v>
      </c>
    </row>
    <row r="20" spans="1:11" ht="16.5" customHeight="1" thickTop="1" thickBot="1" x14ac:dyDescent="0.3">
      <c r="A20" s="164"/>
      <c r="B20" s="157"/>
      <c r="C20" s="158"/>
      <c r="D20" s="159">
        <f>SUM(D17:D19)</f>
        <v>23709000</v>
      </c>
      <c r="E20" s="160">
        <f>D20/C$47</f>
        <v>0.20620932825630525</v>
      </c>
      <c r="F20" s="158"/>
      <c r="G20" s="159">
        <f>SUM(G17:G19)</f>
        <v>11432507</v>
      </c>
      <c r="H20" s="160">
        <f>G20/F$47</f>
        <v>0.20621687815345233</v>
      </c>
      <c r="I20" s="158"/>
      <c r="J20" s="159">
        <f>SUM(J17:J19)</f>
        <v>17328145</v>
      </c>
      <c r="K20" s="160">
        <f>J20/I$47</f>
        <v>0.20621324053339141</v>
      </c>
    </row>
    <row r="21" spans="1:11" x14ac:dyDescent="0.25">
      <c r="A21" s="165" t="s">
        <v>85</v>
      </c>
      <c r="B21" s="145"/>
      <c r="C21" s="146"/>
      <c r="D21" s="147"/>
      <c r="E21" s="162"/>
      <c r="F21" s="149"/>
      <c r="G21" s="150"/>
      <c r="H21" s="162"/>
      <c r="I21" s="149"/>
      <c r="J21" s="150"/>
      <c r="K21" s="162"/>
    </row>
    <row r="22" spans="1:11" x14ac:dyDescent="0.25">
      <c r="A22" s="166" t="s">
        <v>95</v>
      </c>
      <c r="B22" s="153">
        <v>545</v>
      </c>
      <c r="C22" s="66">
        <v>20000</v>
      </c>
      <c r="D22" s="154">
        <f>B22*C22</f>
        <v>10900000</v>
      </c>
      <c r="E22" s="155">
        <f>D22/C$47</f>
        <v>9.4802888270012542E-2</v>
      </c>
      <c r="F22" s="66">
        <f>ROUND($C22-$C22*F$8, 0)</f>
        <v>9643</v>
      </c>
      <c r="G22" s="154">
        <f>$B22*F22</f>
        <v>5255435</v>
      </c>
      <c r="H22" s="155">
        <f>G22/F$47</f>
        <v>9.4796303123924494E-2</v>
      </c>
      <c r="I22" s="66">
        <f>ROUND($C22-$C22*I$8, 0)</f>
        <v>14617</v>
      </c>
      <c r="J22" s="154">
        <f>$B22*I22</f>
        <v>7966265</v>
      </c>
      <c r="K22" s="155">
        <f>J22/I$47</f>
        <v>9.4802376168813068E-2</v>
      </c>
    </row>
    <row r="23" spans="1:11" x14ac:dyDescent="0.25">
      <c r="A23" s="166" t="s">
        <v>96</v>
      </c>
      <c r="B23" s="153">
        <v>141</v>
      </c>
      <c r="C23" s="66">
        <v>14000</v>
      </c>
      <c r="D23" s="154">
        <f>B23*C23</f>
        <v>1974000</v>
      </c>
      <c r="E23" s="155">
        <f>D23/C$47</f>
        <v>1.7168890040826123E-2</v>
      </c>
      <c r="F23" s="66">
        <f>ROUND($C23-$C23*F$8, 0)</f>
        <v>6750</v>
      </c>
      <c r="G23" s="154">
        <f>$B23*F23</f>
        <v>951750</v>
      </c>
      <c r="H23" s="155">
        <f>G23/F$47</f>
        <v>1.7167443132337312E-2</v>
      </c>
      <c r="I23" s="66">
        <f>ROUND($C23-$C23*I$8, 0)</f>
        <v>10232</v>
      </c>
      <c r="J23" s="154">
        <f>$B23*I23</f>
        <v>1442712</v>
      </c>
      <c r="K23" s="155">
        <f>J23/I$47</f>
        <v>1.7168965095595068E-2</v>
      </c>
    </row>
    <row r="24" spans="1:11" ht="15.75" customHeight="1" thickBot="1" x14ac:dyDescent="0.3">
      <c r="A24" s="166" t="s">
        <v>97</v>
      </c>
      <c r="B24" s="153">
        <v>18</v>
      </c>
      <c r="C24" s="66">
        <v>7000</v>
      </c>
      <c r="D24" s="154">
        <f>B24*C24</f>
        <v>126000</v>
      </c>
      <c r="E24" s="155">
        <f>D24/C$47</f>
        <v>1.0958865983506038E-3</v>
      </c>
      <c r="F24" s="66">
        <f>ROUND($C24-$C24*F$8, 0)</f>
        <v>3375</v>
      </c>
      <c r="G24" s="154">
        <f>$B24*F24</f>
        <v>60750</v>
      </c>
      <c r="H24" s="155">
        <f>G24/F$47</f>
        <v>1.0957942424896156E-3</v>
      </c>
      <c r="I24" s="66">
        <f>ROUND($C24-$C24*I$8, 0)</f>
        <v>5116</v>
      </c>
      <c r="J24" s="154">
        <f>$B24*I24</f>
        <v>92088</v>
      </c>
      <c r="K24" s="155">
        <f>J24/I$47</f>
        <v>1.0958913890805361E-3</v>
      </c>
    </row>
    <row r="25" spans="1:11" ht="16.5" customHeight="1" thickTop="1" thickBot="1" x14ac:dyDescent="0.3">
      <c r="A25" s="167"/>
      <c r="B25" s="157"/>
      <c r="C25" s="158"/>
      <c r="D25" s="159">
        <f>SUM(D22:D24)</f>
        <v>13000000</v>
      </c>
      <c r="E25" s="160">
        <f>D25/C$47</f>
        <v>0.11306766490918926</v>
      </c>
      <c r="F25" s="158"/>
      <c r="G25" s="159">
        <f>SUM(G22:G24)</f>
        <v>6267935</v>
      </c>
      <c r="H25" s="160">
        <f>G25/F$47</f>
        <v>0.11305954049875143</v>
      </c>
      <c r="I25" s="158"/>
      <c r="J25" s="159">
        <f>SUM(J22:J24)</f>
        <v>9501065</v>
      </c>
      <c r="K25" s="160">
        <f>J25/I$47</f>
        <v>0.11306723265348867</v>
      </c>
    </row>
    <row r="26" spans="1:11" x14ac:dyDescent="0.25">
      <c r="A26" s="168" t="s">
        <v>86</v>
      </c>
      <c r="B26" s="145"/>
      <c r="C26" s="146"/>
      <c r="D26" s="147"/>
      <c r="E26" s="162"/>
      <c r="F26" s="149"/>
      <c r="G26" s="150"/>
      <c r="H26" s="162"/>
      <c r="I26" s="149"/>
      <c r="J26" s="150"/>
      <c r="K26" s="162"/>
    </row>
    <row r="27" spans="1:11" x14ac:dyDescent="0.25">
      <c r="A27" s="169" t="s">
        <v>98</v>
      </c>
      <c r="B27" s="153">
        <v>4156</v>
      </c>
      <c r="C27" s="66">
        <v>300</v>
      </c>
      <c r="D27" s="154">
        <f>B27*C27</f>
        <v>1246800</v>
      </c>
      <c r="E27" s="155">
        <f t="shared" ref="E27:E32" si="3">D27/C$47</f>
        <v>1.0844058816059782E-2</v>
      </c>
      <c r="F27" s="66">
        <f>ROUND($C27-$C27*F$8, 0)</f>
        <v>145</v>
      </c>
      <c r="G27" s="154">
        <f>$B27*F27</f>
        <v>602620</v>
      </c>
      <c r="H27" s="155">
        <f t="shared" ref="H27:H32" si="4">G27/F$47</f>
        <v>1.0869918130190817E-2</v>
      </c>
      <c r="I27" s="66">
        <f>ROUND($C27-$C27*I$8, 0)</f>
        <v>219</v>
      </c>
      <c r="J27" s="154">
        <f>$B27*I27</f>
        <v>910164</v>
      </c>
      <c r="K27" s="155">
        <f t="shared" ref="K27:K32" si="5">J27/I$47</f>
        <v>1.0831388348656689E-2</v>
      </c>
    </row>
    <row r="28" spans="1:11" x14ac:dyDescent="0.25">
      <c r="A28" s="169" t="s">
        <v>99</v>
      </c>
      <c r="B28" s="153">
        <v>4819</v>
      </c>
      <c r="C28" s="66">
        <v>600</v>
      </c>
      <c r="D28" s="154">
        <f>B28*C28</f>
        <v>2891400</v>
      </c>
      <c r="E28" s="155">
        <f t="shared" si="3"/>
        <v>2.5147988178340758E-2</v>
      </c>
      <c r="F28" s="66">
        <f>ROUND($C28-$C28*F$8, 0)</f>
        <v>289</v>
      </c>
      <c r="G28" s="154">
        <f>$B28*F28</f>
        <v>1392691</v>
      </c>
      <c r="H28" s="155">
        <f t="shared" si="4"/>
        <v>2.5121033405219841E-2</v>
      </c>
      <c r="I28" s="66">
        <f>ROUND($C28-$C28*I$8, 0)</f>
        <v>439</v>
      </c>
      <c r="J28" s="154">
        <f>$B28*I28</f>
        <v>2115541</v>
      </c>
      <c r="K28" s="155">
        <f t="shared" si="5"/>
        <v>2.5175953057367157E-2</v>
      </c>
    </row>
    <row r="29" spans="1:11" x14ac:dyDescent="0.25">
      <c r="A29" s="169" t="s">
        <v>100</v>
      </c>
      <c r="B29" s="153">
        <v>1045</v>
      </c>
      <c r="C29" s="66">
        <v>800</v>
      </c>
      <c r="D29" s="154">
        <f>B29*C29</f>
        <v>836000</v>
      </c>
      <c r="E29" s="155">
        <f t="shared" si="3"/>
        <v>7.2711206049294024E-3</v>
      </c>
      <c r="F29" s="66">
        <f>ROUND($C29-$C29*F$8, 0)</f>
        <v>386</v>
      </c>
      <c r="G29" s="154">
        <f>$B29*F29</f>
        <v>403370</v>
      </c>
      <c r="H29" s="155">
        <f t="shared" si="4"/>
        <v>7.2758933924779636E-3</v>
      </c>
      <c r="I29" s="66">
        <f>ROUND($C29-$C29*I$8, 0)</f>
        <v>585</v>
      </c>
      <c r="J29" s="154">
        <f>$B29*I29</f>
        <v>611325</v>
      </c>
      <c r="K29" s="155">
        <f t="shared" si="5"/>
        <v>7.2750608486410696E-3</v>
      </c>
    </row>
    <row r="30" spans="1:11" x14ac:dyDescent="0.25">
      <c r="A30" s="169" t="s">
        <v>101</v>
      </c>
      <c r="B30" s="153">
        <v>4357</v>
      </c>
      <c r="C30" s="66">
        <v>1200</v>
      </c>
      <c r="D30" s="154">
        <f>B30*C30</f>
        <v>5228400</v>
      </c>
      <c r="E30" s="155">
        <f t="shared" si="3"/>
        <v>4.5474075323938858E-2</v>
      </c>
      <c r="F30" s="66">
        <f>ROUND($C30-$C30*F$8, 0)</f>
        <v>579</v>
      </c>
      <c r="G30" s="154">
        <f>$B30*F30</f>
        <v>2522703</v>
      </c>
      <c r="H30" s="155">
        <f t="shared" si="4"/>
        <v>4.5503924656975815E-2</v>
      </c>
      <c r="I30" s="66">
        <f>ROUND($C30-$C30*I$8, 0)</f>
        <v>877</v>
      </c>
      <c r="J30" s="154">
        <f>$B30*I30</f>
        <v>3821089</v>
      </c>
      <c r="K30" s="155">
        <f t="shared" si="5"/>
        <v>4.5472792676682708E-2</v>
      </c>
    </row>
    <row r="31" spans="1:11" ht="15.75" customHeight="1" thickBot="1" x14ac:dyDescent="0.3">
      <c r="A31" s="169" t="s">
        <v>102</v>
      </c>
      <c r="B31" s="153">
        <v>675</v>
      </c>
      <c r="C31" s="66">
        <v>1500</v>
      </c>
      <c r="D31" s="154">
        <f>B31*C31</f>
        <v>1012500</v>
      </c>
      <c r="E31" s="155">
        <f t="shared" si="3"/>
        <v>8.8062315938887796E-3</v>
      </c>
      <c r="F31" s="66">
        <f>ROUND($C31-$C31*F$8, 0)</f>
        <v>723</v>
      </c>
      <c r="G31" s="154">
        <f>$B31*F31</f>
        <v>488025</v>
      </c>
      <c r="H31" s="155">
        <f t="shared" si="4"/>
        <v>8.8028804146665796E-3</v>
      </c>
      <c r="I31" s="66">
        <f>ROUND($C31-$C31*I$8, 0)</f>
        <v>1096</v>
      </c>
      <c r="J31" s="154">
        <f>$B31*I31</f>
        <v>739800</v>
      </c>
      <c r="K31" s="155">
        <f t="shared" si="5"/>
        <v>8.8039749982818678E-3</v>
      </c>
    </row>
    <row r="32" spans="1:11" ht="16.5" customHeight="1" thickTop="1" thickBot="1" x14ac:dyDescent="0.3">
      <c r="A32" s="170"/>
      <c r="B32" s="157"/>
      <c r="C32" s="158"/>
      <c r="D32" s="159">
        <f>SUM(D27:D31)</f>
        <v>11215100</v>
      </c>
      <c r="E32" s="160">
        <f t="shared" si="3"/>
        <v>9.7543474517157586E-2</v>
      </c>
      <c r="F32" s="158"/>
      <c r="G32" s="159">
        <f>SUM(G27:G31)</f>
        <v>5409409</v>
      </c>
      <c r="H32" s="160">
        <f t="shared" si="4"/>
        <v>9.7573649999531012E-2</v>
      </c>
      <c r="I32" s="158"/>
      <c r="J32" s="159">
        <f>SUM(J27:J31)</f>
        <v>8197919</v>
      </c>
      <c r="K32" s="160">
        <f t="shared" si="5"/>
        <v>9.7559169929629486E-2</v>
      </c>
    </row>
    <row r="33" spans="1:11" x14ac:dyDescent="0.25">
      <c r="A33" s="171" t="s">
        <v>87</v>
      </c>
      <c r="B33" s="145"/>
      <c r="C33" s="146"/>
      <c r="D33" s="147"/>
      <c r="E33" s="162"/>
      <c r="F33" s="149"/>
      <c r="G33" s="150"/>
      <c r="H33" s="162"/>
      <c r="I33" s="149"/>
      <c r="J33" s="150"/>
      <c r="K33" s="162"/>
    </row>
    <row r="34" spans="1:11" x14ac:dyDescent="0.25">
      <c r="A34" s="172" t="s">
        <v>103</v>
      </c>
      <c r="B34" s="153">
        <v>836</v>
      </c>
      <c r="C34" s="66">
        <v>1300</v>
      </c>
      <c r="D34" s="154">
        <f>B34*C34</f>
        <v>1086800</v>
      </c>
      <c r="E34" s="155">
        <f>D34/C$47</f>
        <v>9.452456786408223E-3</v>
      </c>
      <c r="F34" s="66">
        <f>ROUND($C34-$C34*F$8, 0)</f>
        <v>627</v>
      </c>
      <c r="G34" s="154">
        <f>$B34*F34</f>
        <v>524172</v>
      </c>
      <c r="H34" s="155">
        <f>G34/F$47</f>
        <v>9.4548915172718816E-3</v>
      </c>
      <c r="I34" s="66">
        <f>ROUND($C34-$C34*I$8, 0)</f>
        <v>950</v>
      </c>
      <c r="J34" s="154">
        <f>$B34*I34</f>
        <v>794200</v>
      </c>
      <c r="K34" s="155">
        <f>J34/I$47</f>
        <v>9.451361102508056E-3</v>
      </c>
    </row>
    <row r="35" spans="1:11" x14ac:dyDescent="0.25">
      <c r="A35" s="172" t="s">
        <v>104</v>
      </c>
      <c r="B35" s="153">
        <v>0</v>
      </c>
      <c r="C35" s="66">
        <v>1300</v>
      </c>
      <c r="D35" s="154">
        <f>B35*C35</f>
        <v>0</v>
      </c>
      <c r="E35" s="155">
        <f>D35/C$47</f>
        <v>0</v>
      </c>
      <c r="F35" s="66">
        <f>ROUND($C35-$C35*F$8, 0)</f>
        <v>627</v>
      </c>
      <c r="G35" s="154">
        <f>$B35*F35</f>
        <v>0</v>
      </c>
      <c r="H35" s="155">
        <f>G35/F$47</f>
        <v>0</v>
      </c>
      <c r="I35" s="66">
        <f>ROUND($C35-$C35*I$8, 0)</f>
        <v>950</v>
      </c>
      <c r="J35" s="154">
        <f>$B35*I35</f>
        <v>0</v>
      </c>
      <c r="K35" s="155">
        <f>J35/I$47</f>
        <v>0</v>
      </c>
    </row>
    <row r="36" spans="1:11" ht="15.75" customHeight="1" thickBot="1" x14ac:dyDescent="0.3">
      <c r="A36" s="172" t="s">
        <v>105</v>
      </c>
      <c r="B36" s="153">
        <v>0</v>
      </c>
      <c r="C36" s="66">
        <v>2500</v>
      </c>
      <c r="D36" s="154">
        <f>B36*C36</f>
        <v>0</v>
      </c>
      <c r="E36" s="155">
        <f>D36/C$47</f>
        <v>0</v>
      </c>
      <c r="F36" s="66">
        <f>ROUND($C36-$C36*F$8, 0)</f>
        <v>1205</v>
      </c>
      <c r="G36" s="154">
        <f>$B36*F36</f>
        <v>0</v>
      </c>
      <c r="H36" s="155">
        <f>G36/F$47</f>
        <v>0</v>
      </c>
      <c r="I36" s="66">
        <f>ROUND($C36-$C36*I$8, 0)</f>
        <v>1827</v>
      </c>
      <c r="J36" s="154">
        <f>$B36*I36</f>
        <v>0</v>
      </c>
      <c r="K36" s="155">
        <f>J36/I$47</f>
        <v>0</v>
      </c>
    </row>
    <row r="37" spans="1:11" ht="16.5" customHeight="1" thickTop="1" thickBot="1" x14ac:dyDescent="0.3">
      <c r="A37" s="173"/>
      <c r="B37" s="157"/>
      <c r="C37" s="158"/>
      <c r="D37" s="159">
        <f>SUM(D34:D36)</f>
        <v>1086800</v>
      </c>
      <c r="E37" s="160">
        <f>D37/C$47</f>
        <v>9.452456786408223E-3</v>
      </c>
      <c r="F37" s="158"/>
      <c r="G37" s="159">
        <f>SUM(G34:G36)</f>
        <v>524172</v>
      </c>
      <c r="H37" s="160">
        <f>G37/F$47</f>
        <v>9.4548915172718816E-3</v>
      </c>
      <c r="I37" s="158"/>
      <c r="J37" s="159">
        <f>SUM(J34:J36)</f>
        <v>794200</v>
      </c>
      <c r="K37" s="160">
        <f>J37/I$47</f>
        <v>9.451361102508056E-3</v>
      </c>
    </row>
    <row r="38" spans="1:11" x14ac:dyDescent="0.25">
      <c r="A38" s="174" t="s">
        <v>88</v>
      </c>
      <c r="B38" s="145"/>
      <c r="C38" s="146"/>
      <c r="D38" s="147"/>
      <c r="E38" s="162"/>
      <c r="F38" s="149"/>
      <c r="G38" s="150"/>
      <c r="H38" s="162"/>
      <c r="I38" s="149"/>
      <c r="J38" s="150"/>
      <c r="K38" s="162"/>
    </row>
    <row r="39" spans="1:11" x14ac:dyDescent="0.25">
      <c r="A39" s="175" t="s">
        <v>106</v>
      </c>
      <c r="B39" s="153">
        <v>0</v>
      </c>
      <c r="C39" s="66">
        <v>11000</v>
      </c>
      <c r="D39" s="154">
        <f>B39*C39</f>
        <v>0</v>
      </c>
      <c r="E39" s="155">
        <f>D39/C$47</f>
        <v>0</v>
      </c>
      <c r="F39" s="66">
        <f>ROUND($C39-$C39*F$8, 0)</f>
        <v>5304</v>
      </c>
      <c r="G39" s="154">
        <f>$B39*F39</f>
        <v>0</v>
      </c>
      <c r="H39" s="155">
        <f>G39/F$47</f>
        <v>0</v>
      </c>
      <c r="I39" s="66">
        <f>ROUND($C39-$C39*I$8, 0)</f>
        <v>8039</v>
      </c>
      <c r="J39" s="154">
        <f>$B39*I39</f>
        <v>0</v>
      </c>
      <c r="K39" s="155">
        <f>J39/I$47</f>
        <v>0</v>
      </c>
    </row>
    <row r="40" spans="1:11" ht="15.75" customHeight="1" thickBot="1" x14ac:dyDescent="0.3">
      <c r="A40" s="175" t="s">
        <v>107</v>
      </c>
      <c r="B40" s="153">
        <v>1060</v>
      </c>
      <c r="C40" s="66">
        <v>23000</v>
      </c>
      <c r="D40" s="154">
        <f>B40*C40</f>
        <v>24380000</v>
      </c>
      <c r="E40" s="155">
        <f>D40/C$47</f>
        <v>0.21204535926815649</v>
      </c>
      <c r="F40" s="66">
        <f>ROUND($C40-$C40*F$8, 0)</f>
        <v>11090</v>
      </c>
      <c r="G40" s="154">
        <f>$B40*F40</f>
        <v>11755400</v>
      </c>
      <c r="H40" s="155">
        <f>G40/F$47</f>
        <v>0.21204114630720047</v>
      </c>
      <c r="I40" s="66">
        <f>ROUND($C40-$C40*I$8, 0)</f>
        <v>16809</v>
      </c>
      <c r="J40" s="154">
        <f>$B40*I40</f>
        <v>17817540</v>
      </c>
      <c r="K40" s="155">
        <f>J40/I$47</f>
        <v>0.2120372758730564</v>
      </c>
    </row>
    <row r="41" spans="1:11" ht="16.5" customHeight="1" thickTop="1" thickBot="1" x14ac:dyDescent="0.3">
      <c r="A41" s="176"/>
      <c r="B41" s="157"/>
      <c r="C41" s="158"/>
      <c r="D41" s="159">
        <f>SUM(D39:D40)</f>
        <v>24380000</v>
      </c>
      <c r="E41" s="160">
        <f>D41/C$47</f>
        <v>0.21204535926815649</v>
      </c>
      <c r="F41" s="158"/>
      <c r="G41" s="159">
        <f>SUM(G39:G40)</f>
        <v>11755400</v>
      </c>
      <c r="H41" s="160">
        <f>G41/F$47</f>
        <v>0.21204114630720047</v>
      </c>
      <c r="I41" s="158"/>
      <c r="J41" s="159">
        <f>SUM(J39:J40)</f>
        <v>17817540</v>
      </c>
      <c r="K41" s="160">
        <f>J41/I$47</f>
        <v>0.2120372758730564</v>
      </c>
    </row>
    <row r="42" spans="1:11" x14ac:dyDescent="0.25">
      <c r="A42" s="177" t="s">
        <v>89</v>
      </c>
      <c r="B42" s="178"/>
      <c r="C42" s="179"/>
      <c r="D42" s="180"/>
      <c r="E42" s="181"/>
      <c r="F42" s="182"/>
      <c r="G42" s="183"/>
      <c r="H42" s="181"/>
      <c r="I42" s="182"/>
      <c r="J42" s="183"/>
      <c r="K42" s="181"/>
    </row>
    <row r="43" spans="1:11" x14ac:dyDescent="0.25">
      <c r="A43" s="184" t="s">
        <v>122</v>
      </c>
      <c r="B43" s="153">
        <v>77</v>
      </c>
      <c r="C43" s="66">
        <v>1500</v>
      </c>
      <c r="D43" s="154">
        <f>B43*C43</f>
        <v>115500</v>
      </c>
      <c r="E43" s="155">
        <f>D43/C$47</f>
        <v>1.00456271515472E-3</v>
      </c>
      <c r="F43" s="66">
        <f>ROUND($C43-$C43*F$8, 0)</f>
        <v>723</v>
      </c>
      <c r="G43" s="154">
        <f>$B43*F43</f>
        <v>55671</v>
      </c>
      <c r="H43" s="155">
        <f>G43/F$47</f>
        <v>1.0041804324878913E-3</v>
      </c>
      <c r="I43" s="66">
        <f>ROUND($C43-$C43*I$8, 0)</f>
        <v>1096</v>
      </c>
      <c r="J43" s="154">
        <f>$B43*I43</f>
        <v>84392</v>
      </c>
      <c r="K43" s="155">
        <f>J43/I$47</f>
        <v>1.0043052961003021E-3</v>
      </c>
    </row>
    <row r="44" spans="1:11" x14ac:dyDescent="0.25">
      <c r="A44" s="184" t="s">
        <v>123</v>
      </c>
      <c r="B44" s="153">
        <v>175</v>
      </c>
      <c r="C44" s="66">
        <v>2000</v>
      </c>
      <c r="D44" s="154">
        <f>B44*C44</f>
        <v>350000</v>
      </c>
      <c r="E44" s="155">
        <f>D44/C$47</f>
        <v>3.0441294398627881E-3</v>
      </c>
      <c r="F44" s="66">
        <f>ROUND($C44-$C44*F$8, 0)</f>
        <v>964</v>
      </c>
      <c r="G44" s="154">
        <f>$B44*F44</f>
        <v>168700</v>
      </c>
      <c r="H44" s="155">
        <f>G44/F$47</f>
        <v>3.0429710075390642E-3</v>
      </c>
      <c r="I44" s="66">
        <f>ROUND($C44-$C44*I$8, 0)</f>
        <v>1462</v>
      </c>
      <c r="J44" s="154">
        <f>$B44*I44</f>
        <v>255850</v>
      </c>
      <c r="K44" s="155">
        <f>J44/I$47</f>
        <v>3.0447377714387888E-3</v>
      </c>
    </row>
    <row r="45" spans="1:11" ht="15.75" customHeight="1" thickBot="1" x14ac:dyDescent="0.3">
      <c r="A45" s="184" t="s">
        <v>124</v>
      </c>
      <c r="B45" s="153">
        <v>1574</v>
      </c>
      <c r="C45" s="66">
        <v>2500</v>
      </c>
      <c r="D45" s="154">
        <f>B45*C45</f>
        <v>3935000</v>
      </c>
      <c r="E45" s="155">
        <f>D45/C$47</f>
        <v>3.4224712416743061E-2</v>
      </c>
      <c r="F45" s="66">
        <f>ROUND($C45-$C45*F$8, 0)</f>
        <v>1205</v>
      </c>
      <c r="G45" s="154">
        <f>$B45*F45</f>
        <v>1896670</v>
      </c>
      <c r="H45" s="155">
        <f>G45/F$47</f>
        <v>3.421168832761777E-2</v>
      </c>
      <c r="I45" s="66">
        <f>ROUND($C45-$C45*I$8, 0)</f>
        <v>1827</v>
      </c>
      <c r="J45" s="154">
        <f>$B45*I45</f>
        <v>2875698</v>
      </c>
      <c r="K45" s="155">
        <f>J45/I$47</f>
        <v>3.4222186124099989E-2</v>
      </c>
    </row>
    <row r="46" spans="1:11" ht="16.5" customHeight="1" thickTop="1" thickBot="1" x14ac:dyDescent="0.3">
      <c r="A46" s="185"/>
      <c r="B46" s="157"/>
      <c r="C46" s="158"/>
      <c r="D46" s="159">
        <f>SUM(D43:D45)</f>
        <v>4400500</v>
      </c>
      <c r="E46" s="160">
        <f>D46/C$47</f>
        <v>3.8273404571760566E-2</v>
      </c>
      <c r="F46" s="158"/>
      <c r="G46" s="159">
        <f>SUM(G43:G45)</f>
        <v>2121041</v>
      </c>
      <c r="H46" s="160">
        <f>G46/F$47</f>
        <v>3.8258839767644721E-2</v>
      </c>
      <c r="I46" s="158"/>
      <c r="J46" s="159">
        <f>SUM(J43:J45)</f>
        <v>3215940</v>
      </c>
      <c r="K46" s="160">
        <f>J46/I$47</f>
        <v>3.8271229191639076E-2</v>
      </c>
    </row>
    <row r="47" spans="1:11" ht="15.75" customHeight="1" thickBot="1" x14ac:dyDescent="0.3">
      <c r="A47" s="508" t="s">
        <v>47</v>
      </c>
      <c r="B47" s="507"/>
      <c r="C47" s="505">
        <f>SUM(D15,D20,D25,D32,D37,D41,D46)</f>
        <v>114975400</v>
      </c>
      <c r="D47" s="506"/>
      <c r="E47" s="507"/>
      <c r="F47" s="505">
        <f>SUM(G15,G20,G25,G32,G37,G41,G46)</f>
        <v>55439240</v>
      </c>
      <c r="G47" s="506"/>
      <c r="H47" s="507"/>
      <c r="I47" s="505">
        <f>SUM(J15,J20,J25,J32,J37,J41,J46)</f>
        <v>84030225</v>
      </c>
      <c r="J47" s="506"/>
      <c r="K47" s="507"/>
    </row>
  </sheetData>
  <mergeCells count="16">
    <mergeCell ref="C47:E47"/>
    <mergeCell ref="F47:H47"/>
    <mergeCell ref="I47:K47"/>
    <mergeCell ref="A47:B47"/>
    <mergeCell ref="A6:A8"/>
    <mergeCell ref="C6:E6"/>
    <mergeCell ref="F7:H7"/>
    <mergeCell ref="I7:K7"/>
    <mergeCell ref="C7:C8"/>
    <mergeCell ref="D7:D8"/>
    <mergeCell ref="F6:H6"/>
    <mergeCell ref="F8:H8"/>
    <mergeCell ref="I6:K6"/>
    <mergeCell ref="I8:K8"/>
    <mergeCell ref="B6:B8"/>
    <mergeCell ref="E7:E8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</sheetPr>
  <dimension ref="A1:BF60"/>
  <sheetViews>
    <sheetView zoomScale="80" zoomScaleNormal="80" workbookViewId="0">
      <pane xSplit="1" topLeftCell="B1" activePane="topRight" state="frozenSplit"/>
      <selection pane="topRight"/>
    </sheetView>
  </sheetViews>
  <sheetFormatPr defaultRowHeight="15" outlineLevelCol="1" x14ac:dyDescent="0.25"/>
  <cols>
    <col min="1" max="1" width="12.5703125" style="1" customWidth="1"/>
    <col min="2" max="2" width="7.28515625" style="1" customWidth="1" outlineLevel="1"/>
    <col min="3" max="3" width="12.28515625" style="1" customWidth="1" outlineLevel="1"/>
    <col min="4" max="4" width="7.28515625" style="1" customWidth="1" outlineLevel="1"/>
    <col min="5" max="5" width="12.28515625" style="1" customWidth="1" outlineLevel="1"/>
    <col min="6" max="6" width="7.28515625" style="1" customWidth="1" outlineLevel="1"/>
    <col min="7" max="7" width="12.28515625" style="1" customWidth="1" outlineLevel="1"/>
    <col min="8" max="8" width="7.28515625" style="1" customWidth="1" outlineLevel="1"/>
    <col min="9" max="9" width="12.28515625" style="1" customWidth="1" outlineLevel="1"/>
    <col min="10" max="10" width="7.28515625" style="1" customWidth="1" outlineLevel="1"/>
    <col min="11" max="11" width="12.28515625" style="1" customWidth="1" outlineLevel="1"/>
    <col min="12" max="12" width="12.28515625" style="1" customWidth="1"/>
    <col min="13" max="13" width="7.28515625" style="1" customWidth="1" outlineLevel="1"/>
    <col min="14" max="14" width="12.28515625" style="1" customWidth="1" outlineLevel="1"/>
    <col min="15" max="15" width="7.28515625" style="1" customWidth="1" outlineLevel="1"/>
    <col min="16" max="16" width="12.28515625" style="1" customWidth="1" outlineLevel="1"/>
    <col min="17" max="17" width="7.28515625" style="1" customWidth="1" outlineLevel="1"/>
    <col min="18" max="18" width="12.28515625" style="1" customWidth="1" outlineLevel="1"/>
    <col min="19" max="19" width="12.28515625" style="1" customWidth="1"/>
    <col min="20" max="20" width="7.28515625" style="1" customWidth="1" outlineLevel="1"/>
    <col min="21" max="21" width="12.28515625" style="1" customWidth="1" outlineLevel="1"/>
    <col min="22" max="22" width="7.28515625" style="1" customWidth="1" outlineLevel="1"/>
    <col min="23" max="23" width="12.28515625" style="1" customWidth="1" outlineLevel="1"/>
    <col min="24" max="24" width="7.28515625" style="1" customWidth="1" outlineLevel="1"/>
    <col min="25" max="25" width="12.28515625" style="1" customWidth="1" outlineLevel="1"/>
    <col min="26" max="26" width="12.28515625" style="1" customWidth="1"/>
    <col min="27" max="27" width="7.42578125" style="1" customWidth="1" outlineLevel="1"/>
    <col min="28" max="28" width="12.42578125" style="1" customWidth="1" outlineLevel="1"/>
    <col min="29" max="29" width="7.42578125" style="1" customWidth="1" outlineLevel="1"/>
    <col min="30" max="30" width="12.42578125" style="1" customWidth="1" outlineLevel="1"/>
    <col min="31" max="31" width="7.42578125" style="1" customWidth="1" outlineLevel="1"/>
    <col min="32" max="32" width="12.42578125" style="1" customWidth="1" outlineLevel="1"/>
    <col min="33" max="33" width="7.42578125" style="1" customWidth="1" outlineLevel="1"/>
    <col min="34" max="34" width="12.42578125" style="1" customWidth="1" outlineLevel="1"/>
    <col min="35" max="35" width="7.42578125" style="1" customWidth="1" outlineLevel="1"/>
    <col min="36" max="36" width="12.42578125" style="1" customWidth="1" outlineLevel="1"/>
    <col min="37" max="37" width="12.42578125" style="1" customWidth="1"/>
    <col min="38" max="38" width="7.42578125" style="1" customWidth="1" outlineLevel="1"/>
    <col min="39" max="39" width="12.42578125" style="1" customWidth="1" outlineLevel="1"/>
    <col min="40" max="40" width="7.42578125" style="1" customWidth="1" outlineLevel="1"/>
    <col min="41" max="41" width="12.42578125" style="1" customWidth="1" outlineLevel="1"/>
    <col min="42" max="42" width="7.42578125" style="1" customWidth="1" outlineLevel="1"/>
    <col min="43" max="43" width="12.42578125" style="1" customWidth="1" outlineLevel="1"/>
    <col min="44" max="44" width="12.42578125" style="1" customWidth="1"/>
    <col min="45" max="45" width="7.42578125" style="1" customWidth="1" outlineLevel="1"/>
    <col min="46" max="46" width="12.42578125" style="1" customWidth="1" outlineLevel="1"/>
    <col min="47" max="47" width="7.42578125" style="1" customWidth="1" outlineLevel="1"/>
    <col min="48" max="48" width="12.42578125" style="1" customWidth="1" outlineLevel="1"/>
    <col min="49" max="49" width="12.42578125" style="1" customWidth="1"/>
    <col min="50" max="50" width="7.42578125" style="1" customWidth="1" outlineLevel="1"/>
    <col min="51" max="51" width="12.42578125" style="1" customWidth="1" outlineLevel="1"/>
    <col min="52" max="52" width="7.42578125" style="1" customWidth="1" outlineLevel="1"/>
    <col min="53" max="53" width="12.42578125" style="1" customWidth="1" outlineLevel="1"/>
    <col min="54" max="54" width="7.42578125" style="1" customWidth="1" outlineLevel="1"/>
    <col min="55" max="55" width="12.42578125" style="1" customWidth="1" outlineLevel="1"/>
    <col min="56" max="56" width="12.42578125" style="1" customWidth="1"/>
    <col min="57" max="57" width="13.5703125" style="1" customWidth="1"/>
    <col min="58" max="58" width="10.5703125" style="1" customWidth="1"/>
  </cols>
  <sheetData>
    <row r="1" spans="1:58" ht="15.75" customHeight="1" x14ac:dyDescent="0.25">
      <c r="A1" s="12" t="s">
        <v>125</v>
      </c>
      <c r="B1" s="12"/>
      <c r="C1" s="12"/>
      <c r="D1" s="12"/>
      <c r="E1" s="1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</row>
    <row r="2" spans="1:58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</row>
    <row r="3" spans="1:58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x14ac:dyDescent="0.25">
      <c r="A4" s="14" t="s">
        <v>126</v>
      </c>
    </row>
    <row r="5" spans="1:58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ht="15.75" customHeight="1" x14ac:dyDescent="0.25">
      <c r="A6" s="530" t="s">
        <v>3</v>
      </c>
      <c r="B6" s="466" t="s">
        <v>83</v>
      </c>
      <c r="C6" s="466"/>
      <c r="D6" s="466"/>
      <c r="E6" s="466"/>
      <c r="F6" s="466"/>
      <c r="G6" s="466"/>
      <c r="H6" s="466"/>
      <c r="I6" s="466"/>
      <c r="J6" s="466"/>
      <c r="K6" s="466"/>
      <c r="L6" s="467"/>
      <c r="M6" s="469" t="s">
        <v>84</v>
      </c>
      <c r="N6" s="469"/>
      <c r="O6" s="469"/>
      <c r="P6" s="469"/>
      <c r="Q6" s="469"/>
      <c r="R6" s="469"/>
      <c r="S6" s="470"/>
      <c r="T6" s="472" t="s">
        <v>85</v>
      </c>
      <c r="U6" s="472"/>
      <c r="V6" s="472"/>
      <c r="W6" s="472"/>
      <c r="X6" s="472"/>
      <c r="Y6" s="472"/>
      <c r="Z6" s="473"/>
      <c r="AA6" s="475" t="s">
        <v>86</v>
      </c>
      <c r="AB6" s="475"/>
      <c r="AC6" s="475"/>
      <c r="AD6" s="475"/>
      <c r="AE6" s="475"/>
      <c r="AF6" s="475"/>
      <c r="AG6" s="475"/>
      <c r="AH6" s="475"/>
      <c r="AI6" s="475"/>
      <c r="AJ6" s="475"/>
      <c r="AK6" s="476"/>
      <c r="AL6" s="503" t="s">
        <v>87</v>
      </c>
      <c r="AM6" s="503"/>
      <c r="AN6" s="503"/>
      <c r="AO6" s="503"/>
      <c r="AP6" s="503"/>
      <c r="AQ6" s="503"/>
      <c r="AR6" s="504"/>
      <c r="AS6" s="591" t="s">
        <v>88</v>
      </c>
      <c r="AT6" s="591"/>
      <c r="AU6" s="591"/>
      <c r="AV6" s="591"/>
      <c r="AW6" s="592"/>
      <c r="AX6" s="578" t="s">
        <v>89</v>
      </c>
      <c r="AY6" s="578"/>
      <c r="AZ6" s="578"/>
      <c r="BA6" s="578"/>
      <c r="BB6" s="578"/>
      <c r="BC6" s="578"/>
      <c r="BD6" s="578"/>
      <c r="BE6" s="601" t="s">
        <v>127</v>
      </c>
      <c r="BF6" s="576" t="s">
        <v>128</v>
      </c>
    </row>
    <row r="7" spans="1:58" ht="15" customHeight="1" x14ac:dyDescent="0.25">
      <c r="A7" s="531"/>
      <c r="B7" s="478" t="s">
        <v>90</v>
      </c>
      <c r="C7" s="478"/>
      <c r="D7" s="478"/>
      <c r="E7" s="478"/>
      <c r="F7" s="478"/>
      <c r="G7" s="478"/>
      <c r="H7" s="478"/>
      <c r="I7" s="478"/>
      <c r="J7" s="478"/>
      <c r="K7" s="478"/>
      <c r="L7" s="479"/>
      <c r="M7" s="481" t="s">
        <v>90</v>
      </c>
      <c r="N7" s="481"/>
      <c r="O7" s="481"/>
      <c r="P7" s="481"/>
      <c r="Q7" s="481"/>
      <c r="R7" s="481"/>
      <c r="S7" s="482"/>
      <c r="T7" s="484" t="s">
        <v>90</v>
      </c>
      <c r="U7" s="484"/>
      <c r="V7" s="484"/>
      <c r="W7" s="484"/>
      <c r="X7" s="484"/>
      <c r="Y7" s="484"/>
      <c r="Z7" s="485"/>
      <c r="AA7" s="487" t="s">
        <v>90</v>
      </c>
      <c r="AB7" s="487"/>
      <c r="AC7" s="487"/>
      <c r="AD7" s="487"/>
      <c r="AE7" s="487"/>
      <c r="AF7" s="487"/>
      <c r="AG7" s="487"/>
      <c r="AH7" s="487"/>
      <c r="AI7" s="487"/>
      <c r="AJ7" s="487"/>
      <c r="AK7" s="488"/>
      <c r="AL7" s="497" t="s">
        <v>90</v>
      </c>
      <c r="AM7" s="497"/>
      <c r="AN7" s="497"/>
      <c r="AO7" s="497"/>
      <c r="AP7" s="497"/>
      <c r="AQ7" s="497"/>
      <c r="AR7" s="498"/>
      <c r="AS7" s="593" t="s">
        <v>90</v>
      </c>
      <c r="AT7" s="593"/>
      <c r="AU7" s="593"/>
      <c r="AV7" s="593"/>
      <c r="AW7" s="594"/>
      <c r="AX7" s="579" t="s">
        <v>129</v>
      </c>
      <c r="AY7" s="579"/>
      <c r="AZ7" s="579"/>
      <c r="BA7" s="579"/>
      <c r="BB7" s="579"/>
      <c r="BC7" s="579"/>
      <c r="BD7" s="579"/>
      <c r="BE7" s="602"/>
      <c r="BF7" s="577"/>
    </row>
    <row r="8" spans="1:58" ht="15.75" customHeight="1" x14ac:dyDescent="0.25">
      <c r="A8" s="531"/>
      <c r="B8" s="544" t="s">
        <v>93</v>
      </c>
      <c r="C8" s="540"/>
      <c r="D8" s="539" t="s">
        <v>94</v>
      </c>
      <c r="E8" s="540"/>
      <c r="F8" s="539" t="s">
        <v>95</v>
      </c>
      <c r="G8" s="540"/>
      <c r="H8" s="539" t="s">
        <v>96</v>
      </c>
      <c r="I8" s="540"/>
      <c r="J8" s="539" t="s">
        <v>97</v>
      </c>
      <c r="K8" s="540"/>
      <c r="L8" s="528" t="s">
        <v>130</v>
      </c>
      <c r="M8" s="532" t="s">
        <v>93</v>
      </c>
      <c r="N8" s="533"/>
      <c r="O8" s="534" t="s">
        <v>94</v>
      </c>
      <c r="P8" s="533"/>
      <c r="Q8" s="534" t="s">
        <v>95</v>
      </c>
      <c r="R8" s="533"/>
      <c r="S8" s="547" t="s">
        <v>130</v>
      </c>
      <c r="T8" s="550" t="s">
        <v>95</v>
      </c>
      <c r="U8" s="551"/>
      <c r="V8" s="550" t="s">
        <v>96</v>
      </c>
      <c r="W8" s="551"/>
      <c r="X8" s="550" t="s">
        <v>97</v>
      </c>
      <c r="Y8" s="551"/>
      <c r="Z8" s="552" t="s">
        <v>130</v>
      </c>
      <c r="AA8" s="560" t="s">
        <v>98</v>
      </c>
      <c r="AB8" s="561"/>
      <c r="AC8" s="562" t="s">
        <v>99</v>
      </c>
      <c r="AD8" s="561"/>
      <c r="AE8" s="562" t="s">
        <v>100</v>
      </c>
      <c r="AF8" s="561"/>
      <c r="AG8" s="562" t="s">
        <v>101</v>
      </c>
      <c r="AH8" s="561"/>
      <c r="AI8" s="562" t="s">
        <v>102</v>
      </c>
      <c r="AJ8" s="561"/>
      <c r="AK8" s="563" t="s">
        <v>130</v>
      </c>
      <c r="AL8" s="567" t="s">
        <v>103</v>
      </c>
      <c r="AM8" s="568"/>
      <c r="AN8" s="567" t="s">
        <v>104</v>
      </c>
      <c r="AO8" s="568"/>
      <c r="AP8" s="567" t="s">
        <v>105</v>
      </c>
      <c r="AQ8" s="568"/>
      <c r="AR8" s="569" t="s">
        <v>130</v>
      </c>
      <c r="AS8" s="595" t="s">
        <v>106</v>
      </c>
      <c r="AT8" s="596"/>
      <c r="AU8" s="595" t="s">
        <v>107</v>
      </c>
      <c r="AV8" s="596"/>
      <c r="AW8" s="597" t="s">
        <v>130</v>
      </c>
      <c r="AX8" s="580" t="s">
        <v>122</v>
      </c>
      <c r="AY8" s="581"/>
      <c r="AZ8" s="580" t="s">
        <v>123</v>
      </c>
      <c r="BA8" s="581"/>
      <c r="BB8" s="580" t="s">
        <v>124</v>
      </c>
      <c r="BC8" s="581"/>
      <c r="BD8" s="582" t="s">
        <v>130</v>
      </c>
      <c r="BE8" s="602"/>
      <c r="BF8" s="577"/>
    </row>
    <row r="9" spans="1:58" ht="16.5" customHeight="1" thickBot="1" x14ac:dyDescent="0.3">
      <c r="A9" s="531"/>
      <c r="B9" s="543">
        <v>964</v>
      </c>
      <c r="C9" s="538"/>
      <c r="D9" s="537">
        <v>1929</v>
      </c>
      <c r="E9" s="538"/>
      <c r="F9" s="537">
        <v>3857</v>
      </c>
      <c r="G9" s="538"/>
      <c r="H9" s="537">
        <v>1929</v>
      </c>
      <c r="I9" s="538"/>
      <c r="J9" s="541">
        <v>964</v>
      </c>
      <c r="K9" s="542"/>
      <c r="L9" s="529"/>
      <c r="M9" s="545">
        <v>723</v>
      </c>
      <c r="N9" s="546"/>
      <c r="O9" s="549">
        <v>1447</v>
      </c>
      <c r="P9" s="546"/>
      <c r="Q9" s="549">
        <v>2893</v>
      </c>
      <c r="R9" s="546"/>
      <c r="S9" s="548"/>
      <c r="T9" s="554">
        <v>9643</v>
      </c>
      <c r="U9" s="555"/>
      <c r="V9" s="554">
        <v>6750</v>
      </c>
      <c r="W9" s="555"/>
      <c r="X9" s="556">
        <v>3375</v>
      </c>
      <c r="Y9" s="557"/>
      <c r="Z9" s="553"/>
      <c r="AA9" s="565">
        <v>145</v>
      </c>
      <c r="AB9" s="566"/>
      <c r="AC9" s="575">
        <v>289</v>
      </c>
      <c r="AD9" s="566"/>
      <c r="AE9" s="575">
        <v>386</v>
      </c>
      <c r="AF9" s="566"/>
      <c r="AG9" s="575">
        <v>579</v>
      </c>
      <c r="AH9" s="566"/>
      <c r="AI9" s="558">
        <v>723</v>
      </c>
      <c r="AJ9" s="559"/>
      <c r="AK9" s="564"/>
      <c r="AL9" s="571">
        <v>627</v>
      </c>
      <c r="AM9" s="572"/>
      <c r="AN9" s="571">
        <v>627</v>
      </c>
      <c r="AO9" s="572"/>
      <c r="AP9" s="573">
        <v>1205</v>
      </c>
      <c r="AQ9" s="574"/>
      <c r="AR9" s="570"/>
      <c r="AS9" s="599">
        <v>5304</v>
      </c>
      <c r="AT9" s="600"/>
      <c r="AU9" s="599">
        <v>11090</v>
      </c>
      <c r="AV9" s="600"/>
      <c r="AW9" s="598"/>
      <c r="AX9" s="584">
        <v>723</v>
      </c>
      <c r="AY9" s="585"/>
      <c r="AZ9" s="584">
        <v>964</v>
      </c>
      <c r="BA9" s="585"/>
      <c r="BB9" s="586">
        <v>1205</v>
      </c>
      <c r="BC9" s="587"/>
      <c r="BD9" s="583"/>
      <c r="BE9" s="602"/>
      <c r="BF9" s="577"/>
    </row>
    <row r="10" spans="1:58" x14ac:dyDescent="0.25">
      <c r="A10" s="186" t="s">
        <v>50</v>
      </c>
      <c r="B10" s="187"/>
      <c r="C10" s="188" t="str">
        <f>IF(ISBLANK(B10),"", B10*B9)</f>
        <v/>
      </c>
      <c r="D10" s="189"/>
      <c r="E10" s="188" t="str">
        <f>IF(ISBLANK(D10),"", D10*D9)</f>
        <v/>
      </c>
      <c r="F10" s="189">
        <v>540</v>
      </c>
      <c r="G10" s="188">
        <f>IF(ISBLANK(F10),"", F10*F9)</f>
        <v>2082780</v>
      </c>
      <c r="H10" s="189">
        <v>103</v>
      </c>
      <c r="I10" s="188">
        <f>IF(ISBLANK(H10),"", H10*H9)</f>
        <v>198687</v>
      </c>
      <c r="J10" s="190">
        <v>0</v>
      </c>
      <c r="K10" s="188">
        <f>IF(ISBLANK(J10),"", J10*J9)</f>
        <v>0</v>
      </c>
      <c r="L10" s="191">
        <f t="shared" ref="L10:L16" si="0">SUM(C10,E10,G10,I10,K10)</f>
        <v>2281467</v>
      </c>
      <c r="M10" s="187"/>
      <c r="N10" s="188" t="str">
        <f>IF(ISBLANK(M10),"", M10*M9)</f>
        <v/>
      </c>
      <c r="O10" s="189"/>
      <c r="P10" s="188" t="str">
        <f>IF(ISBLANK(O10),"", O10*O9)</f>
        <v/>
      </c>
      <c r="Q10" s="189">
        <v>356</v>
      </c>
      <c r="R10" s="188">
        <f>IF(ISBLANK(Q10),"", Q10*Q9)</f>
        <v>1029908</v>
      </c>
      <c r="S10" s="191">
        <f t="shared" ref="S10:S16" si="1">SUM(N10,P10,R10)</f>
        <v>1029908</v>
      </c>
      <c r="T10" s="189">
        <v>331</v>
      </c>
      <c r="U10" s="188">
        <f>IF(ISBLANK(T10),"", T10*T9)</f>
        <v>3191833</v>
      </c>
      <c r="V10" s="189">
        <v>8</v>
      </c>
      <c r="W10" s="188">
        <f>IF(ISBLANK(V10),"", V10*V9)</f>
        <v>54000</v>
      </c>
      <c r="X10" s="190">
        <v>3</v>
      </c>
      <c r="Y10" s="188">
        <f>IF(ISBLANK(X10),"", X10*X9)</f>
        <v>10125</v>
      </c>
      <c r="Z10" s="191">
        <f t="shared" ref="Z10:Z16" si="2">SUM(U10,W10,Y10)</f>
        <v>3255958</v>
      </c>
      <c r="AA10" s="187"/>
      <c r="AB10" s="188" t="str">
        <f>IF(ISBLANK(AA10),"", AA10*AA9)</f>
        <v/>
      </c>
      <c r="AC10" s="189"/>
      <c r="AD10" s="188" t="str">
        <f>IF(ISBLANK(AC10),"", AC10*AC9)</f>
        <v/>
      </c>
      <c r="AE10" s="189"/>
      <c r="AF10" s="188" t="str">
        <f>IF(ISBLANK(AE10),"", AE10*AE9)</f>
        <v/>
      </c>
      <c r="AG10" s="189"/>
      <c r="AH10" s="188" t="str">
        <f>IF(ISBLANK(AG10),"", AG10*AG9)</f>
        <v/>
      </c>
      <c r="AI10" s="190"/>
      <c r="AJ10" s="188" t="str">
        <f>IF(ISBLANK(AI10),"", AI10*AI9)</f>
        <v/>
      </c>
      <c r="AK10" s="191">
        <f t="shared" ref="AK10:AK16" si="3">SUM(AB10,AD10,AF10,AH10,AJ10)</f>
        <v>0</v>
      </c>
      <c r="AL10" s="189"/>
      <c r="AM10" s="188" t="str">
        <f>IF(ISBLANK(AL10),"", AL10*AL9)</f>
        <v/>
      </c>
      <c r="AN10" s="189"/>
      <c r="AO10" s="188" t="str">
        <f>IF(ISBLANK(AN10),"", AN10*AN9)</f>
        <v/>
      </c>
      <c r="AP10" s="190"/>
      <c r="AQ10" s="188" t="str">
        <f>IF(ISBLANK(AP10),"", AP10*AP9)</f>
        <v/>
      </c>
      <c r="AR10" s="191">
        <f t="shared" ref="AR10:AR16" si="4">SUM(AM10,AO10,AQ10)</f>
        <v>0</v>
      </c>
      <c r="AS10" s="189"/>
      <c r="AT10" s="188" t="str">
        <f>IF(ISBLANK(AS10),"", AS10*AS9)</f>
        <v/>
      </c>
      <c r="AU10" s="189">
        <v>480</v>
      </c>
      <c r="AV10" s="188">
        <f>IF(ISBLANK(AU10),"", AU10*AU9)</f>
        <v>5323200</v>
      </c>
      <c r="AW10" s="191">
        <f t="shared" ref="AW10:AW16" si="5">SUM(AT10,AV10)</f>
        <v>5323200</v>
      </c>
      <c r="AX10" s="189"/>
      <c r="AY10" s="188" t="str">
        <f>IF(ISBLANK(AX10),"", AX10*AX9)</f>
        <v/>
      </c>
      <c r="AZ10" s="189"/>
      <c r="BA10" s="188" t="str">
        <f>IF(ISBLANK(AZ10),"", AZ10*AZ9)</f>
        <v/>
      </c>
      <c r="BB10" s="190">
        <v>205</v>
      </c>
      <c r="BC10" s="188">
        <f>IF(ISBLANK(BB10),"", BB10*BB9)</f>
        <v>247025</v>
      </c>
      <c r="BD10" s="192">
        <f t="shared" ref="BD10:BD16" si="6">SUM(AY10,BA10,BC10)</f>
        <v>247025</v>
      </c>
      <c r="BE10" s="193">
        <f t="shared" ref="BE10:BE17" si="7">SUM(L10,S10,Z10,AK10,AR10,AW10,BD10)</f>
        <v>12137558</v>
      </c>
      <c r="BF10" s="194">
        <f>BE10/BE30</f>
        <v>0.21893442262195514</v>
      </c>
    </row>
    <row r="11" spans="1:58" x14ac:dyDescent="0.25">
      <c r="A11" s="122" t="s">
        <v>55</v>
      </c>
      <c r="B11" s="190"/>
      <c r="C11" s="195" t="str">
        <f>IF(ISBLANK(B11),"", B11*B9)</f>
        <v/>
      </c>
      <c r="D11" s="196"/>
      <c r="E11" s="195" t="str">
        <f>IF(ISBLANK(D11),"", D11*D9)</f>
        <v/>
      </c>
      <c r="F11" s="196">
        <v>146</v>
      </c>
      <c r="G11" s="195">
        <f>IF(ISBLANK(F11),"", F11*F9)</f>
        <v>563122</v>
      </c>
      <c r="H11" s="196">
        <v>19</v>
      </c>
      <c r="I11" s="195">
        <f>IF(ISBLANK(H11),"", H11*H9)</f>
        <v>36651</v>
      </c>
      <c r="J11" s="190">
        <v>0</v>
      </c>
      <c r="K11" s="195">
        <f>IF(ISBLANK(J11),"", J11*J9)</f>
        <v>0</v>
      </c>
      <c r="L11" s="191">
        <f t="shared" si="0"/>
        <v>599773</v>
      </c>
      <c r="M11" s="190"/>
      <c r="N11" s="195" t="str">
        <f>IF(ISBLANK(M11),"", M11*M9)</f>
        <v/>
      </c>
      <c r="O11" s="196"/>
      <c r="P11" s="195" t="str">
        <f>IF(ISBLANK(O11),"", O11*O9)</f>
        <v/>
      </c>
      <c r="Q11" s="196">
        <v>89</v>
      </c>
      <c r="R11" s="195">
        <f>IF(ISBLANK(Q11),"", Q11*Q9)</f>
        <v>257477</v>
      </c>
      <c r="S11" s="191">
        <f t="shared" si="1"/>
        <v>257477</v>
      </c>
      <c r="T11" s="196"/>
      <c r="U11" s="195" t="str">
        <f>IF(ISBLANK(T11),"", T11*T9)</f>
        <v/>
      </c>
      <c r="V11" s="196"/>
      <c r="W11" s="195" t="str">
        <f>IF(ISBLANK(V11),"", V11*V9)</f>
        <v/>
      </c>
      <c r="X11" s="190"/>
      <c r="Y11" s="195" t="str">
        <f>IF(ISBLANK(X11),"", X11*X9)</f>
        <v/>
      </c>
      <c r="Z11" s="191">
        <f t="shared" si="2"/>
        <v>0</v>
      </c>
      <c r="AA11" s="190"/>
      <c r="AB11" s="195" t="str">
        <f>IF(ISBLANK(AA11),"", AA11*AA9)</f>
        <v/>
      </c>
      <c r="AC11" s="196"/>
      <c r="AD11" s="195" t="str">
        <f>IF(ISBLANK(AC11),"", AC11*AC9)</f>
        <v/>
      </c>
      <c r="AE11" s="196">
        <v>76</v>
      </c>
      <c r="AF11" s="195">
        <f>IF(ISBLANK(AE11),"", AE11*AE9)</f>
        <v>29336</v>
      </c>
      <c r="AG11" s="196"/>
      <c r="AH11" s="195" t="str">
        <f>IF(ISBLANK(AG11),"", AG11*AG9)</f>
        <v/>
      </c>
      <c r="AI11" s="190">
        <v>61</v>
      </c>
      <c r="AJ11" s="195">
        <f>IF(ISBLANK(AI11),"", AI11*AI9)</f>
        <v>44103</v>
      </c>
      <c r="AK11" s="191">
        <f t="shared" si="3"/>
        <v>73439</v>
      </c>
      <c r="AL11" s="196"/>
      <c r="AM11" s="195" t="str">
        <f>IF(ISBLANK(AL11),"", AL11*AL9)</f>
        <v/>
      </c>
      <c r="AN11" s="196"/>
      <c r="AO11" s="195" t="str">
        <f>IF(ISBLANK(AN11),"", AN11*AN9)</f>
        <v/>
      </c>
      <c r="AP11" s="190"/>
      <c r="AQ11" s="195" t="str">
        <f>IF(ISBLANK(AP11),"", AP11*AP9)</f>
        <v/>
      </c>
      <c r="AR11" s="191">
        <f t="shared" si="4"/>
        <v>0</v>
      </c>
      <c r="AS11" s="196"/>
      <c r="AT11" s="195" t="str">
        <f>IF(ISBLANK(AS11),"", AS11*AS9)</f>
        <v/>
      </c>
      <c r="AU11" s="196">
        <v>16</v>
      </c>
      <c r="AV11" s="195">
        <f>IF(ISBLANK(AU11),"", AU11*AU9)</f>
        <v>177440</v>
      </c>
      <c r="AW11" s="191">
        <f t="shared" si="5"/>
        <v>177440</v>
      </c>
      <c r="AX11" s="196"/>
      <c r="AY11" s="195" t="str">
        <f>IF(ISBLANK(AX11),"", AX11*AX9)</f>
        <v/>
      </c>
      <c r="AZ11" s="196"/>
      <c r="BA11" s="195" t="str">
        <f>IF(ISBLANK(AZ11),"", AZ11*AZ9)</f>
        <v/>
      </c>
      <c r="BB11" s="190">
        <v>21</v>
      </c>
      <c r="BC11" s="195">
        <f>IF(ISBLANK(BB11),"", BB11*BB9)</f>
        <v>25305</v>
      </c>
      <c r="BD11" s="192">
        <f t="shared" si="6"/>
        <v>25305</v>
      </c>
      <c r="BE11" s="193">
        <f t="shared" si="7"/>
        <v>1133434</v>
      </c>
      <c r="BF11" s="194">
        <f>BE11/BE30</f>
        <v>2.0444616484641565E-2</v>
      </c>
    </row>
    <row r="12" spans="1:58" x14ac:dyDescent="0.25">
      <c r="A12" s="122" t="s">
        <v>56</v>
      </c>
      <c r="B12" s="190"/>
      <c r="C12" s="195" t="str">
        <f>IF(ISBLANK(B12),"", B12*B9)</f>
        <v/>
      </c>
      <c r="D12" s="196"/>
      <c r="E12" s="195" t="str">
        <f>IF(ISBLANK(D12),"", D12*D9)</f>
        <v/>
      </c>
      <c r="F12" s="196">
        <v>68</v>
      </c>
      <c r="G12" s="195">
        <f>IF(ISBLANK(F12),"", F12*F9)</f>
        <v>262276</v>
      </c>
      <c r="H12" s="196">
        <v>10</v>
      </c>
      <c r="I12" s="195">
        <f>IF(ISBLANK(H12),"", H12*H9)</f>
        <v>19290</v>
      </c>
      <c r="J12" s="190">
        <v>0</v>
      </c>
      <c r="K12" s="195">
        <f>IF(ISBLANK(J12),"", J12*J9)</f>
        <v>0</v>
      </c>
      <c r="L12" s="191">
        <f t="shared" si="0"/>
        <v>281566</v>
      </c>
      <c r="M12" s="190"/>
      <c r="N12" s="195" t="str">
        <f>IF(ISBLANK(M12),"", M12*M9)</f>
        <v/>
      </c>
      <c r="O12" s="196"/>
      <c r="P12" s="195" t="str">
        <f>IF(ISBLANK(O12),"", O12*O9)</f>
        <v/>
      </c>
      <c r="Q12" s="196">
        <v>56</v>
      </c>
      <c r="R12" s="195">
        <f>IF(ISBLANK(Q12),"", Q12*Q9)</f>
        <v>162008</v>
      </c>
      <c r="S12" s="191">
        <f t="shared" si="1"/>
        <v>162008</v>
      </c>
      <c r="T12" s="196"/>
      <c r="U12" s="195" t="str">
        <f>IF(ISBLANK(T12),"", T12*T9)</f>
        <v/>
      </c>
      <c r="V12" s="196"/>
      <c r="W12" s="195" t="str">
        <f>IF(ISBLANK(V12),"", V12*V9)</f>
        <v/>
      </c>
      <c r="X12" s="190"/>
      <c r="Y12" s="195" t="str">
        <f>IF(ISBLANK(X12),"", X12*X9)</f>
        <v/>
      </c>
      <c r="Z12" s="191">
        <f t="shared" si="2"/>
        <v>0</v>
      </c>
      <c r="AA12" s="190"/>
      <c r="AB12" s="195" t="str">
        <f>IF(ISBLANK(AA12),"", AA12*AA9)</f>
        <v/>
      </c>
      <c r="AC12" s="196"/>
      <c r="AD12" s="195" t="str">
        <f>IF(ISBLANK(AC12),"", AC12*AC9)</f>
        <v/>
      </c>
      <c r="AE12" s="196">
        <v>114</v>
      </c>
      <c r="AF12" s="195">
        <f>IF(ISBLANK(AE12),"", AE12*AE9)</f>
        <v>44004</v>
      </c>
      <c r="AG12" s="196"/>
      <c r="AH12" s="195" t="str">
        <f>IF(ISBLANK(AG12),"", AG12*AG9)</f>
        <v/>
      </c>
      <c r="AI12" s="190">
        <v>88</v>
      </c>
      <c r="AJ12" s="195">
        <f>IF(ISBLANK(AI12),"", AI12*AI9)</f>
        <v>63624</v>
      </c>
      <c r="AK12" s="191">
        <f t="shared" si="3"/>
        <v>107628</v>
      </c>
      <c r="AL12" s="196"/>
      <c r="AM12" s="195" t="str">
        <f>IF(ISBLANK(AL12),"", AL12*AL9)</f>
        <v/>
      </c>
      <c r="AN12" s="196"/>
      <c r="AO12" s="195" t="str">
        <f>IF(ISBLANK(AN12),"", AN12*AN9)</f>
        <v/>
      </c>
      <c r="AP12" s="190"/>
      <c r="AQ12" s="195" t="str">
        <f>IF(ISBLANK(AP12),"", AP12*AP9)</f>
        <v/>
      </c>
      <c r="AR12" s="191">
        <f t="shared" si="4"/>
        <v>0</v>
      </c>
      <c r="AS12" s="196"/>
      <c r="AT12" s="195" t="str">
        <f>IF(ISBLANK(AS12),"", AS12*AS9)</f>
        <v/>
      </c>
      <c r="AU12" s="196">
        <v>11</v>
      </c>
      <c r="AV12" s="195">
        <f>IF(ISBLANK(AU12),"", AU12*AU9)</f>
        <v>121990</v>
      </c>
      <c r="AW12" s="191">
        <f t="shared" si="5"/>
        <v>121990</v>
      </c>
      <c r="AX12" s="196"/>
      <c r="AY12" s="195" t="str">
        <f>IF(ISBLANK(AX12),"", AX12*AX9)</f>
        <v/>
      </c>
      <c r="AZ12" s="196">
        <v>22</v>
      </c>
      <c r="BA12" s="195">
        <f>IF(ISBLANK(AZ12),"", AZ12*AZ9)</f>
        <v>21208</v>
      </c>
      <c r="BB12" s="190"/>
      <c r="BC12" s="195" t="str">
        <f>IF(ISBLANK(BB12),"", BB12*BB9)</f>
        <v/>
      </c>
      <c r="BD12" s="192">
        <f t="shared" si="6"/>
        <v>21208</v>
      </c>
      <c r="BE12" s="193">
        <f t="shared" si="7"/>
        <v>694400</v>
      </c>
      <c r="BF12" s="194">
        <f>BE12/BE30</f>
        <v>1.252542423020229E-2</v>
      </c>
    </row>
    <row r="13" spans="1:58" x14ac:dyDescent="0.25">
      <c r="A13" s="122" t="s">
        <v>57</v>
      </c>
      <c r="B13" s="190"/>
      <c r="C13" s="195" t="str">
        <f>IF(ISBLANK(B13),"", B13*B9)</f>
        <v/>
      </c>
      <c r="D13" s="196"/>
      <c r="E13" s="195" t="str">
        <f>IF(ISBLANK(D13),"", D13*D9)</f>
        <v/>
      </c>
      <c r="F13" s="196">
        <v>88</v>
      </c>
      <c r="G13" s="195">
        <f>IF(ISBLANK(F13),"", F13*F9)</f>
        <v>339416</v>
      </c>
      <c r="H13" s="196">
        <v>5</v>
      </c>
      <c r="I13" s="195">
        <f>IF(ISBLANK(H13),"", H13*H9)</f>
        <v>9645</v>
      </c>
      <c r="J13" s="190">
        <v>0</v>
      </c>
      <c r="K13" s="195">
        <f>IF(ISBLANK(J13),"", J13*J9)</f>
        <v>0</v>
      </c>
      <c r="L13" s="191">
        <f t="shared" si="0"/>
        <v>349061</v>
      </c>
      <c r="M13" s="190"/>
      <c r="N13" s="195" t="str">
        <f>IF(ISBLANK(M13),"", M13*M9)</f>
        <v/>
      </c>
      <c r="O13" s="196"/>
      <c r="P13" s="195" t="str">
        <f>IF(ISBLANK(O13),"", O13*O9)</f>
        <v/>
      </c>
      <c r="Q13" s="196">
        <v>65</v>
      </c>
      <c r="R13" s="195">
        <f>IF(ISBLANK(Q13),"", Q13*Q9)</f>
        <v>188045</v>
      </c>
      <c r="S13" s="191">
        <f t="shared" si="1"/>
        <v>188045</v>
      </c>
      <c r="T13" s="196"/>
      <c r="U13" s="195" t="str">
        <f>IF(ISBLANK(T13),"", T13*T9)</f>
        <v/>
      </c>
      <c r="V13" s="196"/>
      <c r="W13" s="195" t="str">
        <f>IF(ISBLANK(V13),"", V13*V9)</f>
        <v/>
      </c>
      <c r="X13" s="190"/>
      <c r="Y13" s="195" t="str">
        <f>IF(ISBLANK(X13),"", X13*X9)</f>
        <v/>
      </c>
      <c r="Z13" s="191">
        <f t="shared" si="2"/>
        <v>0</v>
      </c>
      <c r="AA13" s="190"/>
      <c r="AB13" s="195" t="str">
        <f>IF(ISBLANK(AA13),"", AA13*AA9)</f>
        <v/>
      </c>
      <c r="AC13" s="196"/>
      <c r="AD13" s="195" t="str">
        <f>IF(ISBLANK(AC13),"", AC13*AC9)</f>
        <v/>
      </c>
      <c r="AE13" s="196">
        <v>215</v>
      </c>
      <c r="AF13" s="195">
        <f>IF(ISBLANK(AE13),"", AE13*AE9)</f>
        <v>82990</v>
      </c>
      <c r="AG13" s="196"/>
      <c r="AH13" s="195" t="str">
        <f>IF(ISBLANK(AG13),"", AG13*AG9)</f>
        <v/>
      </c>
      <c r="AI13" s="190">
        <v>73</v>
      </c>
      <c r="AJ13" s="195">
        <f>IF(ISBLANK(AI13),"", AI13*AI9)</f>
        <v>52779</v>
      </c>
      <c r="AK13" s="191">
        <f t="shared" si="3"/>
        <v>135769</v>
      </c>
      <c r="AL13" s="196"/>
      <c r="AM13" s="195" t="str">
        <f>IF(ISBLANK(AL13),"", AL13*AL9)</f>
        <v/>
      </c>
      <c r="AN13" s="196"/>
      <c r="AO13" s="195" t="str">
        <f>IF(ISBLANK(AN13),"", AN13*AN9)</f>
        <v/>
      </c>
      <c r="AP13" s="190"/>
      <c r="AQ13" s="195" t="str">
        <f>IF(ISBLANK(AP13),"", AP13*AP9)</f>
        <v/>
      </c>
      <c r="AR13" s="191">
        <f t="shared" si="4"/>
        <v>0</v>
      </c>
      <c r="AS13" s="196"/>
      <c r="AT13" s="195" t="str">
        <f>IF(ISBLANK(AS13),"", AS13*AS9)</f>
        <v/>
      </c>
      <c r="AU13" s="196">
        <v>21</v>
      </c>
      <c r="AV13" s="195">
        <f>IF(ISBLANK(AU13),"", AU13*AU9)</f>
        <v>232890</v>
      </c>
      <c r="AW13" s="191">
        <f t="shared" si="5"/>
        <v>232890</v>
      </c>
      <c r="AX13" s="196"/>
      <c r="AY13" s="195" t="str">
        <f>IF(ISBLANK(AX13),"", AX13*AX9)</f>
        <v/>
      </c>
      <c r="AZ13" s="196"/>
      <c r="BA13" s="195" t="str">
        <f>IF(ISBLANK(AZ13),"", AZ13*AZ9)</f>
        <v/>
      </c>
      <c r="BB13" s="190">
        <v>38</v>
      </c>
      <c r="BC13" s="195">
        <f>IF(ISBLANK(BB13),"", BB13*BB9)</f>
        <v>45790</v>
      </c>
      <c r="BD13" s="192">
        <f t="shared" si="6"/>
        <v>45790</v>
      </c>
      <c r="BE13" s="193">
        <f t="shared" si="7"/>
        <v>951555</v>
      </c>
      <c r="BF13" s="194">
        <f>BE13/BE30</f>
        <v>1.7163925768102162E-2</v>
      </c>
    </row>
    <row r="14" spans="1:58" x14ac:dyDescent="0.25">
      <c r="A14" s="122" t="s">
        <v>58</v>
      </c>
      <c r="B14" s="190"/>
      <c r="C14" s="195" t="str">
        <f>IF(ISBLANK(B14),"", B14*B9)</f>
        <v/>
      </c>
      <c r="D14" s="196"/>
      <c r="E14" s="195" t="str">
        <f>IF(ISBLANK(D14),"", D14*D9)</f>
        <v/>
      </c>
      <c r="F14" s="196">
        <v>501</v>
      </c>
      <c r="G14" s="195">
        <f>IF(ISBLANK(F14),"", F14*F9)</f>
        <v>1932357</v>
      </c>
      <c r="H14" s="196">
        <v>74</v>
      </c>
      <c r="I14" s="195">
        <f>IF(ISBLANK(H14),"", H14*H9)</f>
        <v>142746</v>
      </c>
      <c r="J14" s="190">
        <v>0</v>
      </c>
      <c r="K14" s="195">
        <f>IF(ISBLANK(J14),"", J14*J9)</f>
        <v>0</v>
      </c>
      <c r="L14" s="191">
        <f t="shared" si="0"/>
        <v>2075103</v>
      </c>
      <c r="M14" s="190"/>
      <c r="N14" s="195" t="str">
        <f>IF(ISBLANK(M14),"", M14*M9)</f>
        <v/>
      </c>
      <c r="O14" s="196"/>
      <c r="P14" s="195" t="str">
        <f>IF(ISBLANK(O14),"", O14*O9)</f>
        <v/>
      </c>
      <c r="Q14" s="196">
        <v>506</v>
      </c>
      <c r="R14" s="195">
        <f>IF(ISBLANK(Q14),"", Q14*Q9)</f>
        <v>1463858</v>
      </c>
      <c r="S14" s="191">
        <f t="shared" si="1"/>
        <v>1463858</v>
      </c>
      <c r="T14" s="196">
        <v>102</v>
      </c>
      <c r="U14" s="195">
        <f>IF(ISBLANK(T14),"", T14*T9)</f>
        <v>983586</v>
      </c>
      <c r="V14" s="196">
        <v>29</v>
      </c>
      <c r="W14" s="195">
        <f>IF(ISBLANK(V14),"", V14*V9)</f>
        <v>195750</v>
      </c>
      <c r="X14" s="190">
        <v>0</v>
      </c>
      <c r="Y14" s="195">
        <f>IF(ISBLANK(X14),"", X14*X9)</f>
        <v>0</v>
      </c>
      <c r="Z14" s="191">
        <f t="shared" si="2"/>
        <v>1179336</v>
      </c>
      <c r="AA14" s="190"/>
      <c r="AB14" s="195" t="str">
        <f>IF(ISBLANK(AA14),"", AA14*AA9)</f>
        <v/>
      </c>
      <c r="AC14" s="196"/>
      <c r="AD14" s="195" t="str">
        <f>IF(ISBLANK(AC14),"", AC14*AC9)</f>
        <v/>
      </c>
      <c r="AE14" s="196"/>
      <c r="AF14" s="195" t="str">
        <f>IF(ISBLANK(AE14),"", AE14*AE9)</f>
        <v/>
      </c>
      <c r="AG14" s="196"/>
      <c r="AH14" s="195" t="str">
        <f>IF(ISBLANK(AG14),"", AG14*AG9)</f>
        <v/>
      </c>
      <c r="AI14" s="190"/>
      <c r="AJ14" s="195" t="str">
        <f>IF(ISBLANK(AI14),"", AI14*AI9)</f>
        <v/>
      </c>
      <c r="AK14" s="191">
        <f t="shared" si="3"/>
        <v>0</v>
      </c>
      <c r="AL14" s="196"/>
      <c r="AM14" s="195" t="str">
        <f>IF(ISBLANK(AL14),"", AL14*AL9)</f>
        <v/>
      </c>
      <c r="AN14" s="196"/>
      <c r="AO14" s="195" t="str">
        <f>IF(ISBLANK(AN14),"", AN14*AN9)</f>
        <v/>
      </c>
      <c r="AP14" s="190"/>
      <c r="AQ14" s="195" t="str">
        <f>IF(ISBLANK(AP14),"", AP14*AP9)</f>
        <v/>
      </c>
      <c r="AR14" s="191">
        <f t="shared" si="4"/>
        <v>0</v>
      </c>
      <c r="AS14" s="196"/>
      <c r="AT14" s="195" t="str">
        <f>IF(ISBLANK(AS14),"", AS14*AS9)</f>
        <v/>
      </c>
      <c r="AU14" s="196">
        <v>175</v>
      </c>
      <c r="AV14" s="195">
        <f>IF(ISBLANK(AU14),"", AU14*AU9)</f>
        <v>1940750</v>
      </c>
      <c r="AW14" s="191">
        <f t="shared" si="5"/>
        <v>1940750</v>
      </c>
      <c r="AX14" s="196"/>
      <c r="AY14" s="195" t="str">
        <f>IF(ISBLANK(AX14),"", AX14*AX9)</f>
        <v/>
      </c>
      <c r="AZ14" s="196"/>
      <c r="BA14" s="195" t="str">
        <f>IF(ISBLANK(AZ14),"", AZ14*AZ9)</f>
        <v/>
      </c>
      <c r="BB14" s="190">
        <v>169</v>
      </c>
      <c r="BC14" s="195">
        <f>IF(ISBLANK(BB14),"", BB14*BB9)</f>
        <v>203645</v>
      </c>
      <c r="BD14" s="192">
        <f t="shared" si="6"/>
        <v>203645</v>
      </c>
      <c r="BE14" s="193">
        <f t="shared" si="7"/>
        <v>6862692</v>
      </c>
      <c r="BF14" s="194">
        <f>BE14/BE30</f>
        <v>0.12378762768032174</v>
      </c>
    </row>
    <row r="15" spans="1:58" x14ac:dyDescent="0.25">
      <c r="A15" s="122" t="s">
        <v>59</v>
      </c>
      <c r="B15" s="190"/>
      <c r="C15" s="195" t="str">
        <f>IF(ISBLANK(B15),"", B15*B9)</f>
        <v/>
      </c>
      <c r="D15" s="196"/>
      <c r="E15" s="195" t="str">
        <f>IF(ISBLANK(D15),"", D15*D9)</f>
        <v/>
      </c>
      <c r="F15" s="196">
        <v>100</v>
      </c>
      <c r="G15" s="195">
        <f>IF(ISBLANK(F15),"", F15*F9)</f>
        <v>385700</v>
      </c>
      <c r="H15" s="196">
        <v>0</v>
      </c>
      <c r="I15" s="195">
        <f>IF(ISBLANK(H15),"", H15*H9)</f>
        <v>0</v>
      </c>
      <c r="J15" s="190">
        <v>0</v>
      </c>
      <c r="K15" s="195">
        <f>IF(ISBLANK(J15),"", J15*J9)</f>
        <v>0</v>
      </c>
      <c r="L15" s="191">
        <f t="shared" si="0"/>
        <v>385700</v>
      </c>
      <c r="M15" s="190"/>
      <c r="N15" s="195" t="str">
        <f>IF(ISBLANK(M15),"", M15*M9)</f>
        <v/>
      </c>
      <c r="O15" s="196"/>
      <c r="P15" s="195" t="str">
        <f>IF(ISBLANK(O15),"", O15*O9)</f>
        <v/>
      </c>
      <c r="Q15" s="196">
        <v>96</v>
      </c>
      <c r="R15" s="195">
        <f>IF(ISBLANK(Q15),"", Q15*Q9)</f>
        <v>277728</v>
      </c>
      <c r="S15" s="191">
        <f t="shared" si="1"/>
        <v>277728</v>
      </c>
      <c r="T15" s="196"/>
      <c r="U15" s="195" t="str">
        <f>IF(ISBLANK(T15),"", T15*T9)</f>
        <v/>
      </c>
      <c r="V15" s="196"/>
      <c r="W15" s="195" t="str">
        <f>IF(ISBLANK(V15),"", V15*V9)</f>
        <v/>
      </c>
      <c r="X15" s="190"/>
      <c r="Y15" s="195" t="str">
        <f>IF(ISBLANK(X15),"", X15*X9)</f>
        <v/>
      </c>
      <c r="Z15" s="191">
        <f t="shared" si="2"/>
        <v>0</v>
      </c>
      <c r="AA15" s="190"/>
      <c r="AB15" s="195" t="str">
        <f>IF(ISBLANK(AA15),"", AA15*AA9)</f>
        <v/>
      </c>
      <c r="AC15" s="196"/>
      <c r="AD15" s="195" t="str">
        <f>IF(ISBLANK(AC15),"", AC15*AC9)</f>
        <v/>
      </c>
      <c r="AE15" s="196">
        <v>110</v>
      </c>
      <c r="AF15" s="195">
        <f>IF(ISBLANK(AE15),"", AE15*AE9)</f>
        <v>42460</v>
      </c>
      <c r="AG15" s="196"/>
      <c r="AH15" s="195" t="str">
        <f>IF(ISBLANK(AG15),"", AG15*AG9)</f>
        <v/>
      </c>
      <c r="AI15" s="190">
        <v>112</v>
      </c>
      <c r="AJ15" s="195">
        <f>IF(ISBLANK(AI15),"", AI15*AI9)</f>
        <v>80976</v>
      </c>
      <c r="AK15" s="191">
        <f t="shared" si="3"/>
        <v>123436</v>
      </c>
      <c r="AL15" s="196"/>
      <c r="AM15" s="195" t="str">
        <f>IF(ISBLANK(AL15),"", AL15*AL9)</f>
        <v/>
      </c>
      <c r="AN15" s="196"/>
      <c r="AO15" s="195" t="str">
        <f>IF(ISBLANK(AN15),"", AN15*AN9)</f>
        <v/>
      </c>
      <c r="AP15" s="190"/>
      <c r="AQ15" s="195" t="str">
        <f>IF(ISBLANK(AP15),"", AP15*AP9)</f>
        <v/>
      </c>
      <c r="AR15" s="191">
        <f t="shared" si="4"/>
        <v>0</v>
      </c>
      <c r="AS15" s="196"/>
      <c r="AT15" s="195" t="str">
        <f>IF(ISBLANK(AS15),"", AS15*AS9)</f>
        <v/>
      </c>
      <c r="AU15" s="196">
        <v>19</v>
      </c>
      <c r="AV15" s="195">
        <f>IF(ISBLANK(AU15),"", AU15*AU9)</f>
        <v>210710</v>
      </c>
      <c r="AW15" s="191">
        <f t="shared" si="5"/>
        <v>210710</v>
      </c>
      <c r="AX15" s="196"/>
      <c r="AY15" s="195" t="str">
        <f>IF(ISBLANK(AX15),"", AX15*AX9)</f>
        <v/>
      </c>
      <c r="AZ15" s="196">
        <v>45</v>
      </c>
      <c r="BA15" s="195">
        <f>IF(ISBLANK(AZ15),"", AZ15*AZ9)</f>
        <v>43380</v>
      </c>
      <c r="BB15" s="190"/>
      <c r="BC15" s="195" t="str">
        <f>IF(ISBLANK(BB15),"", BB15*BB9)</f>
        <v/>
      </c>
      <c r="BD15" s="192">
        <f t="shared" si="6"/>
        <v>43380</v>
      </c>
      <c r="BE15" s="193">
        <f t="shared" si="7"/>
        <v>1040954</v>
      </c>
      <c r="BF15" s="194">
        <f>BE15/BE30</f>
        <v>1.8776483948914163E-2</v>
      </c>
    </row>
    <row r="16" spans="1:58" ht="15.75" customHeight="1" thickBot="1" x14ac:dyDescent="0.3">
      <c r="A16" s="122" t="s">
        <v>60</v>
      </c>
      <c r="B16" s="190"/>
      <c r="C16" s="195" t="str">
        <f>IF(ISBLANK(B16),"", B16*B9)</f>
        <v/>
      </c>
      <c r="D16" s="196"/>
      <c r="E16" s="195" t="str">
        <f>IF(ISBLANK(D16),"", D16*D9)</f>
        <v/>
      </c>
      <c r="F16" s="196">
        <v>67</v>
      </c>
      <c r="G16" s="195">
        <f>IF(ISBLANK(F16),"", F16*F9)</f>
        <v>258419</v>
      </c>
      <c r="H16" s="196">
        <v>0</v>
      </c>
      <c r="I16" s="195">
        <f>IF(ISBLANK(H16),"", H16*H9)</f>
        <v>0</v>
      </c>
      <c r="J16" s="190">
        <v>0</v>
      </c>
      <c r="K16" s="195">
        <f>IF(ISBLANK(J16),"", J16*J9)</f>
        <v>0</v>
      </c>
      <c r="L16" s="191">
        <f t="shared" si="0"/>
        <v>258419</v>
      </c>
      <c r="M16" s="190"/>
      <c r="N16" s="195" t="str">
        <f>IF(ISBLANK(M16),"", M16*M9)</f>
        <v/>
      </c>
      <c r="O16" s="196"/>
      <c r="P16" s="195" t="str">
        <f>IF(ISBLANK(O16),"", O16*O9)</f>
        <v/>
      </c>
      <c r="Q16" s="196">
        <v>103</v>
      </c>
      <c r="R16" s="195">
        <f>IF(ISBLANK(Q16),"", Q16*Q9)</f>
        <v>297979</v>
      </c>
      <c r="S16" s="191">
        <f t="shared" si="1"/>
        <v>297979</v>
      </c>
      <c r="T16" s="196"/>
      <c r="U16" s="195" t="str">
        <f>IF(ISBLANK(T16),"", T16*T9)</f>
        <v/>
      </c>
      <c r="V16" s="196"/>
      <c r="W16" s="195" t="str">
        <f>IF(ISBLANK(V16),"", V16*V9)</f>
        <v/>
      </c>
      <c r="X16" s="190"/>
      <c r="Y16" s="195" t="str">
        <f>IF(ISBLANK(X16),"", X16*X9)</f>
        <v/>
      </c>
      <c r="Z16" s="191">
        <f t="shared" si="2"/>
        <v>0</v>
      </c>
      <c r="AA16" s="190"/>
      <c r="AB16" s="195" t="str">
        <f>IF(ISBLANK(AA16),"", AA16*AA9)</f>
        <v/>
      </c>
      <c r="AC16" s="196"/>
      <c r="AD16" s="195" t="str">
        <f>IF(ISBLANK(AC16),"", AC16*AC9)</f>
        <v/>
      </c>
      <c r="AE16" s="196">
        <v>116</v>
      </c>
      <c r="AF16" s="195">
        <f>IF(ISBLANK(AE16),"", AE16*AE9)</f>
        <v>44776</v>
      </c>
      <c r="AG16" s="196"/>
      <c r="AH16" s="195" t="str">
        <f>IF(ISBLANK(AG16),"", AG16*AG9)</f>
        <v/>
      </c>
      <c r="AI16" s="190">
        <v>81</v>
      </c>
      <c r="AJ16" s="195">
        <f>IF(ISBLANK(AI16),"", AI16*AI9)</f>
        <v>58563</v>
      </c>
      <c r="AK16" s="191">
        <f t="shared" si="3"/>
        <v>103339</v>
      </c>
      <c r="AL16" s="196"/>
      <c r="AM16" s="195" t="str">
        <f>IF(ISBLANK(AL16),"", AL16*AL9)</f>
        <v/>
      </c>
      <c r="AN16" s="196"/>
      <c r="AO16" s="195" t="str">
        <f>IF(ISBLANK(AN16),"", AN16*AN9)</f>
        <v/>
      </c>
      <c r="AP16" s="190"/>
      <c r="AQ16" s="195" t="str">
        <f>IF(ISBLANK(AP16),"", AP16*AP9)</f>
        <v/>
      </c>
      <c r="AR16" s="191">
        <f t="shared" si="4"/>
        <v>0</v>
      </c>
      <c r="AS16" s="196"/>
      <c r="AT16" s="195" t="str">
        <f>IF(ISBLANK(AS16),"", AS16*AS9)</f>
        <v/>
      </c>
      <c r="AU16" s="196">
        <v>0</v>
      </c>
      <c r="AV16" s="195">
        <f>IF(ISBLANK(AU16),"", AU16*AU9)</f>
        <v>0</v>
      </c>
      <c r="AW16" s="191">
        <f t="shared" si="5"/>
        <v>0</v>
      </c>
      <c r="AX16" s="196"/>
      <c r="AY16" s="195" t="str">
        <f>IF(ISBLANK(AX16),"", AX16*AX9)</f>
        <v/>
      </c>
      <c r="AZ16" s="196">
        <v>33</v>
      </c>
      <c r="BA16" s="195">
        <f>IF(ISBLANK(AZ16),"", AZ16*AZ9)</f>
        <v>31812</v>
      </c>
      <c r="BB16" s="190"/>
      <c r="BC16" s="195" t="str">
        <f>IF(ISBLANK(BB16),"", BB16*BB9)</f>
        <v/>
      </c>
      <c r="BD16" s="192">
        <f t="shared" si="6"/>
        <v>31812</v>
      </c>
      <c r="BE16" s="197">
        <f t="shared" si="7"/>
        <v>691549</v>
      </c>
      <c r="BF16" s="198">
        <f>BE16/BE30</f>
        <v>1.2473998561307839E-2</v>
      </c>
    </row>
    <row r="17" spans="1:58" ht="15.75" customHeight="1" thickTop="1" x14ac:dyDescent="0.25">
      <c r="A17" s="199" t="s">
        <v>131</v>
      </c>
      <c r="B17" s="200" t="str">
        <f t="shared" ref="B17:K17" si="8">IF(COUNT(B10:B16) = 0, "", SUM(B10:B16))</f>
        <v/>
      </c>
      <c r="C17" s="201" t="str">
        <f t="shared" si="8"/>
        <v/>
      </c>
      <c r="D17" s="202" t="str">
        <f t="shared" si="8"/>
        <v/>
      </c>
      <c r="E17" s="201" t="str">
        <f t="shared" si="8"/>
        <v/>
      </c>
      <c r="F17" s="202">
        <f t="shared" si="8"/>
        <v>1510</v>
      </c>
      <c r="G17" s="201">
        <f t="shared" si="8"/>
        <v>5824070</v>
      </c>
      <c r="H17" s="202">
        <f t="shared" si="8"/>
        <v>211</v>
      </c>
      <c r="I17" s="201">
        <f t="shared" si="8"/>
        <v>407019</v>
      </c>
      <c r="J17" s="200">
        <f t="shared" si="8"/>
        <v>0</v>
      </c>
      <c r="K17" s="201">
        <f t="shared" si="8"/>
        <v>0</v>
      </c>
      <c r="L17" s="203">
        <f>SUM(L10:L16)</f>
        <v>6231089</v>
      </c>
      <c r="M17" s="200" t="str">
        <f t="shared" ref="M17:R17" si="9">IF(COUNT(M10:M16) = 0, "", SUM(M10:M16))</f>
        <v/>
      </c>
      <c r="N17" s="201" t="str">
        <f t="shared" si="9"/>
        <v/>
      </c>
      <c r="O17" s="202" t="str">
        <f t="shared" si="9"/>
        <v/>
      </c>
      <c r="P17" s="201" t="str">
        <f t="shared" si="9"/>
        <v/>
      </c>
      <c r="Q17" s="202">
        <f t="shared" si="9"/>
        <v>1271</v>
      </c>
      <c r="R17" s="201">
        <f t="shared" si="9"/>
        <v>3677003</v>
      </c>
      <c r="S17" s="203">
        <f>SUM(S10:S16)</f>
        <v>3677003</v>
      </c>
      <c r="T17" s="202">
        <f t="shared" ref="T17:Y17" si="10">IF(COUNT(T10:T16) = 0, "", SUM(T10:T16))</f>
        <v>433</v>
      </c>
      <c r="U17" s="201">
        <f t="shared" si="10"/>
        <v>4175419</v>
      </c>
      <c r="V17" s="202">
        <f t="shared" si="10"/>
        <v>37</v>
      </c>
      <c r="W17" s="201">
        <f t="shared" si="10"/>
        <v>249750</v>
      </c>
      <c r="X17" s="200">
        <f t="shared" si="10"/>
        <v>3</v>
      </c>
      <c r="Y17" s="201">
        <f t="shared" si="10"/>
        <v>10125</v>
      </c>
      <c r="Z17" s="203">
        <f>SUM(Z10:Z16)</f>
        <v>4435294</v>
      </c>
      <c r="AA17" s="200" t="str">
        <f t="shared" ref="AA17:AJ17" si="11">IF(COUNT(AA10:AA16) = 0, "", SUM(AA10:AA16))</f>
        <v/>
      </c>
      <c r="AB17" s="201" t="str">
        <f t="shared" si="11"/>
        <v/>
      </c>
      <c r="AC17" s="202" t="str">
        <f t="shared" si="11"/>
        <v/>
      </c>
      <c r="AD17" s="201" t="str">
        <f t="shared" si="11"/>
        <v/>
      </c>
      <c r="AE17" s="202">
        <f t="shared" si="11"/>
        <v>631</v>
      </c>
      <c r="AF17" s="201">
        <f t="shared" si="11"/>
        <v>243566</v>
      </c>
      <c r="AG17" s="202" t="str">
        <f t="shared" si="11"/>
        <v/>
      </c>
      <c r="AH17" s="201" t="str">
        <f t="shared" si="11"/>
        <v/>
      </c>
      <c r="AI17" s="200">
        <f t="shared" si="11"/>
        <v>415</v>
      </c>
      <c r="AJ17" s="201">
        <f t="shared" si="11"/>
        <v>300045</v>
      </c>
      <c r="AK17" s="203">
        <f>SUM(AK10:AK16)</f>
        <v>543611</v>
      </c>
      <c r="AL17" s="202" t="str">
        <f t="shared" ref="AL17:AQ17" si="12">IF(COUNT(AL10:AL16) = 0, "", SUM(AL10:AL16))</f>
        <v/>
      </c>
      <c r="AM17" s="201" t="str">
        <f t="shared" si="12"/>
        <v/>
      </c>
      <c r="AN17" s="202" t="str">
        <f t="shared" si="12"/>
        <v/>
      </c>
      <c r="AO17" s="201" t="str">
        <f t="shared" si="12"/>
        <v/>
      </c>
      <c r="AP17" s="200" t="str">
        <f t="shared" si="12"/>
        <v/>
      </c>
      <c r="AQ17" s="201" t="str">
        <f t="shared" si="12"/>
        <v/>
      </c>
      <c r="AR17" s="203">
        <f>SUM(AR10:AR16)</f>
        <v>0</v>
      </c>
      <c r="AS17" s="202" t="str">
        <f>IF(COUNT(AS10:AS16) = 0, "", SUM(AS10:AS16))</f>
        <v/>
      </c>
      <c r="AT17" s="201" t="str">
        <f>IF(COUNT(AT10:AT16) = 0, "", SUM(AT10:AT16))</f>
        <v/>
      </c>
      <c r="AU17" s="202">
        <f>IF(COUNT(AU10:AU16) = 0, "", SUM(AU10:AU16))</f>
        <v>722</v>
      </c>
      <c r="AV17" s="201">
        <f>IF(COUNT(AV10:AV16) = 0, "", SUM(AV10:AV16))</f>
        <v>8006980</v>
      </c>
      <c r="AW17" s="203">
        <f>SUM(AW10:AW16)</f>
        <v>8006980</v>
      </c>
      <c r="AX17" s="202" t="str">
        <f t="shared" ref="AX17:BC17" si="13">IF(COUNT(AX10:AX16) = 0, "", SUM(AX10:AX16))</f>
        <v/>
      </c>
      <c r="AY17" s="201" t="str">
        <f t="shared" si="13"/>
        <v/>
      </c>
      <c r="AZ17" s="202">
        <f t="shared" si="13"/>
        <v>100</v>
      </c>
      <c r="BA17" s="201">
        <f t="shared" si="13"/>
        <v>96400</v>
      </c>
      <c r="BB17" s="200">
        <f t="shared" si="13"/>
        <v>433</v>
      </c>
      <c r="BC17" s="201">
        <f t="shared" si="13"/>
        <v>521765</v>
      </c>
      <c r="BD17" s="204">
        <f>SUM(BD10:BD16)</f>
        <v>618165</v>
      </c>
      <c r="BE17" s="205">
        <f t="shared" si="7"/>
        <v>23512142</v>
      </c>
      <c r="BF17" s="206">
        <f>BE17/BE30</f>
        <v>0.42410649929544486</v>
      </c>
    </row>
    <row r="18" spans="1:58" x14ac:dyDescent="0.25">
      <c r="A18" s="207"/>
      <c r="B18" s="208"/>
      <c r="C18" s="209"/>
      <c r="D18" s="210"/>
      <c r="E18" s="209"/>
      <c r="F18" s="210"/>
      <c r="G18" s="209"/>
      <c r="H18" s="210"/>
      <c r="I18" s="209"/>
      <c r="J18" s="208"/>
      <c r="K18" s="209"/>
      <c r="L18" s="211"/>
      <c r="M18" s="208"/>
      <c r="N18" s="209"/>
      <c r="O18" s="210"/>
      <c r="P18" s="209"/>
      <c r="Q18" s="210"/>
      <c r="R18" s="209"/>
      <c r="S18" s="211"/>
      <c r="T18" s="210"/>
      <c r="U18" s="209"/>
      <c r="V18" s="210"/>
      <c r="W18" s="209"/>
      <c r="X18" s="208"/>
      <c r="Y18" s="209"/>
      <c r="Z18" s="211"/>
      <c r="AA18" s="208"/>
      <c r="AB18" s="209"/>
      <c r="AC18" s="210"/>
      <c r="AD18" s="209"/>
      <c r="AE18" s="210"/>
      <c r="AF18" s="209"/>
      <c r="AG18" s="210"/>
      <c r="AH18" s="209"/>
      <c r="AI18" s="208"/>
      <c r="AJ18" s="209"/>
      <c r="AK18" s="211"/>
      <c r="AL18" s="210"/>
      <c r="AM18" s="209"/>
      <c r="AN18" s="210"/>
      <c r="AO18" s="209"/>
      <c r="AP18" s="208"/>
      <c r="AQ18" s="209"/>
      <c r="AR18" s="211"/>
      <c r="AS18" s="210"/>
      <c r="AT18" s="209"/>
      <c r="AU18" s="210"/>
      <c r="AV18" s="209"/>
      <c r="AW18" s="211"/>
      <c r="AX18" s="210"/>
      <c r="AY18" s="209"/>
      <c r="AZ18" s="210"/>
      <c r="BA18" s="209"/>
      <c r="BB18" s="208"/>
      <c r="BC18" s="209"/>
      <c r="BD18" s="212"/>
      <c r="BE18" s="213"/>
      <c r="BF18" s="214"/>
    </row>
    <row r="19" spans="1:58" x14ac:dyDescent="0.25">
      <c r="A19" s="122" t="s">
        <v>65</v>
      </c>
      <c r="B19" s="190"/>
      <c r="C19" s="195" t="str">
        <f>IF(ISBLANK(B19),"", B19*B9)</f>
        <v/>
      </c>
      <c r="D19" s="196"/>
      <c r="E19" s="195" t="str">
        <f>IF(ISBLANK(D19),"", D19*D9)</f>
        <v/>
      </c>
      <c r="F19" s="196">
        <v>124</v>
      </c>
      <c r="G19" s="195">
        <f>IF(ISBLANK(F19),"", F19*F9)</f>
        <v>478268</v>
      </c>
      <c r="H19" s="196">
        <v>53</v>
      </c>
      <c r="I19" s="195">
        <f>IF(ISBLANK(H19),"", H19*H9)</f>
        <v>102237</v>
      </c>
      <c r="J19" s="190">
        <v>18</v>
      </c>
      <c r="K19" s="195">
        <f>IF(ISBLANK(J19),"", J19*J9)</f>
        <v>17352</v>
      </c>
      <c r="L19" s="191">
        <f>SUM(C19,E19,G19,I19,K19)</f>
        <v>597857</v>
      </c>
      <c r="M19" s="190"/>
      <c r="N19" s="195" t="str">
        <f>IF(ISBLANK(M19),"", M19*M9)</f>
        <v/>
      </c>
      <c r="O19" s="196"/>
      <c r="P19" s="195" t="str">
        <f>IF(ISBLANK(O19),"", O19*O9)</f>
        <v/>
      </c>
      <c r="Q19" s="196">
        <v>366</v>
      </c>
      <c r="R19" s="195">
        <f>IF(ISBLANK(Q19),"", Q19*Q9)</f>
        <v>1058838</v>
      </c>
      <c r="S19" s="191">
        <f>SUM(N19,P19,R19)</f>
        <v>1058838</v>
      </c>
      <c r="T19" s="196">
        <v>86</v>
      </c>
      <c r="U19" s="195">
        <f>IF(ISBLANK(T19),"", T19*T9)</f>
        <v>829298</v>
      </c>
      <c r="V19" s="196">
        <v>83</v>
      </c>
      <c r="W19" s="195">
        <f>IF(ISBLANK(V19),"", V19*V9)</f>
        <v>560250</v>
      </c>
      <c r="X19" s="190">
        <v>15</v>
      </c>
      <c r="Y19" s="195">
        <f>IF(ISBLANK(X19),"", X19*X9)</f>
        <v>50625</v>
      </c>
      <c r="Z19" s="191">
        <f>SUM(U19,W19,Y19)</f>
        <v>1440173</v>
      </c>
      <c r="AA19" s="190"/>
      <c r="AB19" s="195" t="str">
        <f>IF(ISBLANK(AA19),"", AA19*AA9)</f>
        <v/>
      </c>
      <c r="AC19" s="196"/>
      <c r="AD19" s="195" t="str">
        <f>IF(ISBLANK(AC19),"", AC19*AC9)</f>
        <v/>
      </c>
      <c r="AE19" s="196"/>
      <c r="AF19" s="195" t="str">
        <f>IF(ISBLANK(AE19),"", AE19*AE9)</f>
        <v/>
      </c>
      <c r="AG19" s="196"/>
      <c r="AH19" s="195" t="str">
        <f>IF(ISBLANK(AG19),"", AG19*AG9)</f>
        <v/>
      </c>
      <c r="AI19" s="190"/>
      <c r="AJ19" s="195" t="str">
        <f>IF(ISBLANK(AI19),"", AI19*AI9)</f>
        <v/>
      </c>
      <c r="AK19" s="191">
        <f>SUM(AB19,AD19,AF19,AH19,AJ19)</f>
        <v>0</v>
      </c>
      <c r="AL19" s="196"/>
      <c r="AM19" s="195" t="str">
        <f>IF(ISBLANK(AL19),"", AL19*AL9)</f>
        <v/>
      </c>
      <c r="AN19" s="196"/>
      <c r="AO19" s="195" t="str">
        <f>IF(ISBLANK(AN19),"", AN19*AN9)</f>
        <v/>
      </c>
      <c r="AP19" s="190"/>
      <c r="AQ19" s="195" t="str">
        <f>IF(ISBLANK(AP19),"", AP19*AP9)</f>
        <v/>
      </c>
      <c r="AR19" s="191">
        <f>SUM(AM19,AO19,AQ19)</f>
        <v>0</v>
      </c>
      <c r="AS19" s="196"/>
      <c r="AT19" s="195" t="str">
        <f>IF(ISBLANK(AS19),"", AS19*AS9)</f>
        <v/>
      </c>
      <c r="AU19" s="196">
        <v>35</v>
      </c>
      <c r="AV19" s="195">
        <f>IF(ISBLANK(AU19),"", AU19*AU9)</f>
        <v>388150</v>
      </c>
      <c r="AW19" s="191">
        <f>SUM(AT19,AV19)</f>
        <v>388150</v>
      </c>
      <c r="AX19" s="196"/>
      <c r="AY19" s="195" t="str">
        <f>IF(ISBLANK(AX19),"", AX19*AX9)</f>
        <v/>
      </c>
      <c r="AZ19" s="196"/>
      <c r="BA19" s="195" t="str">
        <f>IF(ISBLANK(AZ19),"", AZ19*AZ9)</f>
        <v/>
      </c>
      <c r="BB19" s="190">
        <v>171</v>
      </c>
      <c r="BC19" s="195">
        <f>IF(ISBLANK(BB19),"", BB19*BB9)</f>
        <v>206055</v>
      </c>
      <c r="BD19" s="192">
        <f>SUM(AY19,BA19,BC19)</f>
        <v>206055</v>
      </c>
      <c r="BE19" s="193">
        <f>SUM(L19,S19,Z19,AK19,AR19,AW19,BD19)</f>
        <v>3691073</v>
      </c>
      <c r="BF19" s="194">
        <f>BE19/BE30</f>
        <v>6.6578708510434126E-2</v>
      </c>
    </row>
    <row r="20" spans="1:58" x14ac:dyDescent="0.25">
      <c r="A20" s="122" t="s">
        <v>66</v>
      </c>
      <c r="B20" s="190"/>
      <c r="C20" s="195" t="str">
        <f>IF(ISBLANK(B20),"", B20*B9)</f>
        <v/>
      </c>
      <c r="D20" s="196"/>
      <c r="E20" s="195" t="str">
        <f>IF(ISBLANK(D20),"", D20*D9)</f>
        <v/>
      </c>
      <c r="F20" s="196">
        <v>106</v>
      </c>
      <c r="G20" s="195">
        <f>IF(ISBLANK(F20),"", F20*F9)</f>
        <v>408842</v>
      </c>
      <c r="H20" s="196">
        <v>41</v>
      </c>
      <c r="I20" s="195">
        <f>IF(ISBLANK(H20),"", H20*H9)</f>
        <v>79089</v>
      </c>
      <c r="J20" s="190">
        <v>0</v>
      </c>
      <c r="K20" s="195">
        <f>IF(ISBLANK(J20),"", J20*J9)</f>
        <v>0</v>
      </c>
      <c r="L20" s="191">
        <f>SUM(C20,E20,G20,I20,K20)</f>
        <v>487931</v>
      </c>
      <c r="M20" s="190"/>
      <c r="N20" s="195" t="str">
        <f>IF(ISBLANK(M20),"", M20*M9)</f>
        <v/>
      </c>
      <c r="O20" s="196"/>
      <c r="P20" s="195" t="str">
        <f>IF(ISBLANK(O20),"", O20*O9)</f>
        <v/>
      </c>
      <c r="Q20" s="196">
        <v>90</v>
      </c>
      <c r="R20" s="195">
        <f>IF(ISBLANK(Q20),"", Q20*Q9)</f>
        <v>260370</v>
      </c>
      <c r="S20" s="191">
        <f>SUM(N20,P20,R20)</f>
        <v>260370</v>
      </c>
      <c r="T20" s="196"/>
      <c r="U20" s="195" t="str">
        <f>IF(ISBLANK(T20),"", T20*T9)</f>
        <v/>
      </c>
      <c r="V20" s="196"/>
      <c r="W20" s="195" t="str">
        <f>IF(ISBLANK(V20),"", V20*V9)</f>
        <v/>
      </c>
      <c r="X20" s="190"/>
      <c r="Y20" s="195" t="str">
        <f>IF(ISBLANK(X20),"", X20*X9)</f>
        <v/>
      </c>
      <c r="Z20" s="191">
        <f>SUM(U20,W20,Y20)</f>
        <v>0</v>
      </c>
      <c r="AA20" s="190"/>
      <c r="AB20" s="195" t="str">
        <f>IF(ISBLANK(AA20),"", AA20*AA9)</f>
        <v/>
      </c>
      <c r="AC20" s="196"/>
      <c r="AD20" s="195" t="str">
        <f>IF(ISBLANK(AC20),"", AC20*AC9)</f>
        <v/>
      </c>
      <c r="AE20" s="196">
        <v>0</v>
      </c>
      <c r="AF20" s="195">
        <f>IF(ISBLANK(AE20),"", AE20*AE9)</f>
        <v>0</v>
      </c>
      <c r="AG20" s="196"/>
      <c r="AH20" s="195" t="str">
        <f>IF(ISBLANK(AG20),"", AG20*AG9)</f>
        <v/>
      </c>
      <c r="AI20" s="190">
        <v>0</v>
      </c>
      <c r="AJ20" s="195">
        <f>IF(ISBLANK(AI20),"", AI20*AI9)</f>
        <v>0</v>
      </c>
      <c r="AK20" s="191">
        <f>SUM(AB20,AD20,AF20,AH20,AJ20)</f>
        <v>0</v>
      </c>
      <c r="AL20" s="196"/>
      <c r="AM20" s="195" t="str">
        <f>IF(ISBLANK(AL20),"", AL20*AL9)</f>
        <v/>
      </c>
      <c r="AN20" s="196"/>
      <c r="AO20" s="195" t="str">
        <f>IF(ISBLANK(AN20),"", AN20*AN9)</f>
        <v/>
      </c>
      <c r="AP20" s="190"/>
      <c r="AQ20" s="195" t="str">
        <f>IF(ISBLANK(AP20),"", AP20*AP9)</f>
        <v/>
      </c>
      <c r="AR20" s="191">
        <f>SUM(AM20,AO20,AQ20)</f>
        <v>0</v>
      </c>
      <c r="AS20" s="196"/>
      <c r="AT20" s="195" t="str">
        <f>IF(ISBLANK(AS20),"", AS20*AS9)</f>
        <v/>
      </c>
      <c r="AU20" s="196">
        <v>19</v>
      </c>
      <c r="AV20" s="195">
        <f>IF(ISBLANK(AU20),"", AU20*AU9)</f>
        <v>210710</v>
      </c>
      <c r="AW20" s="191">
        <f>SUM(AT20,AV20)</f>
        <v>210710</v>
      </c>
      <c r="AX20" s="196"/>
      <c r="AY20" s="195" t="str">
        <f>IF(ISBLANK(AX20),"", AX20*AX9)</f>
        <v/>
      </c>
      <c r="AZ20" s="196"/>
      <c r="BA20" s="195" t="str">
        <f>IF(ISBLANK(AZ20),"", AZ20*AZ9)</f>
        <v/>
      </c>
      <c r="BB20" s="190">
        <v>48</v>
      </c>
      <c r="BC20" s="195">
        <f>IF(ISBLANK(BB20),"", BB20*BB9)</f>
        <v>57840</v>
      </c>
      <c r="BD20" s="192">
        <f>SUM(AY20,BA20,BC20)</f>
        <v>57840</v>
      </c>
      <c r="BE20" s="193">
        <f>SUM(L20,S20,Z20,AK20,AR20,AW20,BD20)</f>
        <v>1016851</v>
      </c>
      <c r="BF20" s="194">
        <f>BE20/BE30</f>
        <v>1.8341719691684084E-2</v>
      </c>
    </row>
    <row r="21" spans="1:58" x14ac:dyDescent="0.25">
      <c r="A21" s="122" t="s">
        <v>67</v>
      </c>
      <c r="B21" s="190"/>
      <c r="C21" s="195" t="str">
        <f>IF(ISBLANK(B21),"", B21*B9)</f>
        <v/>
      </c>
      <c r="D21" s="196"/>
      <c r="E21" s="195" t="str">
        <f>IF(ISBLANK(D21),"", D21*D9)</f>
        <v/>
      </c>
      <c r="F21" s="196">
        <v>89</v>
      </c>
      <c r="G21" s="195">
        <f>IF(ISBLANK(F21),"", F21*F9)</f>
        <v>343273</v>
      </c>
      <c r="H21" s="196">
        <v>0</v>
      </c>
      <c r="I21" s="195">
        <f>IF(ISBLANK(H21),"", H21*H9)</f>
        <v>0</v>
      </c>
      <c r="J21" s="190">
        <v>0</v>
      </c>
      <c r="K21" s="195">
        <f>IF(ISBLANK(J21),"", J21*J9)</f>
        <v>0</v>
      </c>
      <c r="L21" s="191">
        <f>SUM(C21,E21,G21,I21,K21)</f>
        <v>343273</v>
      </c>
      <c r="M21" s="190"/>
      <c r="N21" s="195" t="str">
        <f>IF(ISBLANK(M21),"", M21*M9)</f>
        <v/>
      </c>
      <c r="O21" s="196"/>
      <c r="P21" s="195" t="str">
        <f>IF(ISBLANK(O21),"", O21*O9)</f>
        <v/>
      </c>
      <c r="Q21" s="196">
        <v>76</v>
      </c>
      <c r="R21" s="195">
        <f>IF(ISBLANK(Q21),"", Q21*Q9)</f>
        <v>219868</v>
      </c>
      <c r="S21" s="191">
        <f>SUM(N21,P21,R21)</f>
        <v>219868</v>
      </c>
      <c r="T21" s="196"/>
      <c r="U21" s="195" t="str">
        <f>IF(ISBLANK(T21),"", T21*T9)</f>
        <v/>
      </c>
      <c r="V21" s="196"/>
      <c r="W21" s="195" t="str">
        <f>IF(ISBLANK(V21),"", V21*V9)</f>
        <v/>
      </c>
      <c r="X21" s="190"/>
      <c r="Y21" s="195" t="str">
        <f>IF(ISBLANK(X21),"", X21*X9)</f>
        <v/>
      </c>
      <c r="Z21" s="191">
        <f>SUM(U21,W21,Y21)</f>
        <v>0</v>
      </c>
      <c r="AA21" s="190"/>
      <c r="AB21" s="195" t="str">
        <f>IF(ISBLANK(AA21),"", AA21*AA9)</f>
        <v/>
      </c>
      <c r="AC21" s="196"/>
      <c r="AD21" s="195" t="str">
        <f>IF(ISBLANK(AC21),"", AC21*AC9)</f>
        <v/>
      </c>
      <c r="AE21" s="196">
        <v>0</v>
      </c>
      <c r="AF21" s="195">
        <f>IF(ISBLANK(AE21),"", AE21*AE9)</f>
        <v>0</v>
      </c>
      <c r="AG21" s="196"/>
      <c r="AH21" s="195" t="str">
        <f>IF(ISBLANK(AG21),"", AG21*AG9)</f>
        <v/>
      </c>
      <c r="AI21" s="190">
        <v>0</v>
      </c>
      <c r="AJ21" s="195">
        <f>IF(ISBLANK(AI21),"", AI21*AI9)</f>
        <v>0</v>
      </c>
      <c r="AK21" s="191">
        <f>SUM(AB21,AD21,AF21,AH21,AJ21)</f>
        <v>0</v>
      </c>
      <c r="AL21" s="196"/>
      <c r="AM21" s="195" t="str">
        <f>IF(ISBLANK(AL21),"", AL21*AL9)</f>
        <v/>
      </c>
      <c r="AN21" s="196"/>
      <c r="AO21" s="195" t="str">
        <f>IF(ISBLANK(AN21),"", AN21*AN9)</f>
        <v/>
      </c>
      <c r="AP21" s="190"/>
      <c r="AQ21" s="195" t="str">
        <f>IF(ISBLANK(AP21),"", AP21*AP9)</f>
        <v/>
      </c>
      <c r="AR21" s="191">
        <f>SUM(AM21,AO21,AQ21)</f>
        <v>0</v>
      </c>
      <c r="AS21" s="196"/>
      <c r="AT21" s="195" t="str">
        <f>IF(ISBLANK(AS21),"", AS21*AS9)</f>
        <v/>
      </c>
      <c r="AU21" s="196">
        <v>0</v>
      </c>
      <c r="AV21" s="195">
        <f>IF(ISBLANK(AU21),"", AU21*AU9)</f>
        <v>0</v>
      </c>
      <c r="AW21" s="191">
        <f>SUM(AT21,AV21)</f>
        <v>0</v>
      </c>
      <c r="AX21" s="196"/>
      <c r="AY21" s="195" t="str">
        <f>IF(ISBLANK(AX21),"", AX21*AX9)</f>
        <v/>
      </c>
      <c r="AZ21" s="196"/>
      <c r="BA21" s="195" t="str">
        <f>IF(ISBLANK(AZ21),"", AZ21*AZ9)</f>
        <v/>
      </c>
      <c r="BB21" s="190">
        <v>27</v>
      </c>
      <c r="BC21" s="195">
        <f>IF(ISBLANK(BB21),"", BB21*BB9)</f>
        <v>32535</v>
      </c>
      <c r="BD21" s="192">
        <f>SUM(AY21,BA21,BC21)</f>
        <v>32535</v>
      </c>
      <c r="BE21" s="193">
        <f>SUM(L21,S21,Z21,AK21,AR21,AW21,BD21)</f>
        <v>595676</v>
      </c>
      <c r="BF21" s="194">
        <f>BE21/BE30</f>
        <v>1.0744663887888795E-2</v>
      </c>
    </row>
    <row r="22" spans="1:58" ht="15.75" customHeight="1" thickBot="1" x14ac:dyDescent="0.3">
      <c r="A22" s="122" t="s">
        <v>68</v>
      </c>
      <c r="B22" s="190"/>
      <c r="C22" s="195" t="str">
        <f>IF(ISBLANK(B22),"", B22*B9)</f>
        <v/>
      </c>
      <c r="D22" s="196"/>
      <c r="E22" s="195" t="str">
        <f>IF(ISBLANK(D22),"", D22*D9)</f>
        <v/>
      </c>
      <c r="F22" s="196">
        <v>167</v>
      </c>
      <c r="G22" s="195">
        <f>IF(ISBLANK(F22),"", F22*F9)</f>
        <v>644119</v>
      </c>
      <c r="H22" s="196">
        <v>43</v>
      </c>
      <c r="I22" s="195">
        <f>IF(ISBLANK(H22),"", H22*H9)</f>
        <v>82947</v>
      </c>
      <c r="J22" s="190">
        <v>0</v>
      </c>
      <c r="K22" s="195">
        <f>IF(ISBLANK(J22),"", J22*J9)</f>
        <v>0</v>
      </c>
      <c r="L22" s="191">
        <f>SUM(C22,E22,G22,I22,K22)</f>
        <v>727066</v>
      </c>
      <c r="M22" s="190"/>
      <c r="N22" s="195" t="str">
        <f>IF(ISBLANK(M22),"", M22*M9)</f>
        <v/>
      </c>
      <c r="O22" s="196"/>
      <c r="P22" s="195" t="str">
        <f>IF(ISBLANK(O22),"", O22*O9)</f>
        <v/>
      </c>
      <c r="Q22" s="196">
        <v>222</v>
      </c>
      <c r="R22" s="195">
        <f>IF(ISBLANK(Q22),"", Q22*Q9)</f>
        <v>642246</v>
      </c>
      <c r="S22" s="191">
        <f>SUM(N22,P22,R22)</f>
        <v>642246</v>
      </c>
      <c r="T22" s="196"/>
      <c r="U22" s="195" t="str">
        <f>IF(ISBLANK(T22),"", T22*T9)</f>
        <v/>
      </c>
      <c r="V22" s="196"/>
      <c r="W22" s="195" t="str">
        <f>IF(ISBLANK(V22),"", V22*V9)</f>
        <v/>
      </c>
      <c r="X22" s="190"/>
      <c r="Y22" s="195" t="str">
        <f>IF(ISBLANK(X22),"", X22*X9)</f>
        <v/>
      </c>
      <c r="Z22" s="191">
        <f>SUM(U22,W22,Y22)</f>
        <v>0</v>
      </c>
      <c r="AA22" s="190"/>
      <c r="AB22" s="195" t="str">
        <f>IF(ISBLANK(AA22),"", AA22*AA9)</f>
        <v/>
      </c>
      <c r="AC22" s="196"/>
      <c r="AD22" s="195" t="str">
        <f>IF(ISBLANK(AC22),"", AC22*AC9)</f>
        <v/>
      </c>
      <c r="AE22" s="196">
        <v>0</v>
      </c>
      <c r="AF22" s="195">
        <f>IF(ISBLANK(AE22),"", AE22*AE9)</f>
        <v>0</v>
      </c>
      <c r="AG22" s="196"/>
      <c r="AH22" s="195" t="str">
        <f>IF(ISBLANK(AG22),"", AG22*AG9)</f>
        <v/>
      </c>
      <c r="AI22" s="190">
        <v>0</v>
      </c>
      <c r="AJ22" s="195">
        <f>IF(ISBLANK(AI22),"", AI22*AI9)</f>
        <v>0</v>
      </c>
      <c r="AK22" s="191">
        <f>SUM(AB22,AD22,AF22,AH22,AJ22)</f>
        <v>0</v>
      </c>
      <c r="AL22" s="196"/>
      <c r="AM22" s="195" t="str">
        <f>IF(ISBLANK(AL22),"", AL22*AL9)</f>
        <v/>
      </c>
      <c r="AN22" s="196"/>
      <c r="AO22" s="195" t="str">
        <f>IF(ISBLANK(AN22),"", AN22*AN9)</f>
        <v/>
      </c>
      <c r="AP22" s="190"/>
      <c r="AQ22" s="195" t="str">
        <f>IF(ISBLANK(AP22),"", AP22*AP9)</f>
        <v/>
      </c>
      <c r="AR22" s="191">
        <f>SUM(AM22,AO22,AQ22)</f>
        <v>0</v>
      </c>
      <c r="AS22" s="196"/>
      <c r="AT22" s="195" t="str">
        <f>IF(ISBLANK(AS22),"", AS22*AS9)</f>
        <v/>
      </c>
      <c r="AU22" s="196">
        <v>7</v>
      </c>
      <c r="AV22" s="195">
        <f>IF(ISBLANK(AU22),"", AU22*AU9)</f>
        <v>77630</v>
      </c>
      <c r="AW22" s="191">
        <f>SUM(AT22,AV22)</f>
        <v>77630</v>
      </c>
      <c r="AX22" s="196">
        <v>77</v>
      </c>
      <c r="AY22" s="195">
        <f>IF(ISBLANK(AX22),"", AX22*AX9)</f>
        <v>55671</v>
      </c>
      <c r="AZ22" s="196"/>
      <c r="BA22" s="195" t="str">
        <f>IF(ISBLANK(AZ22),"", AZ22*AZ9)</f>
        <v/>
      </c>
      <c r="BB22" s="190"/>
      <c r="BC22" s="195" t="str">
        <f>IF(ISBLANK(BB22),"", BB22*BB9)</f>
        <v/>
      </c>
      <c r="BD22" s="192">
        <f>SUM(AY22,BA22,BC22)</f>
        <v>55671</v>
      </c>
      <c r="BE22" s="197">
        <f>SUM(L22,S22,Z22,AK22,AR22,AW22,BD22)</f>
        <v>1502613</v>
      </c>
      <c r="BF22" s="198">
        <f>BE22/BE30</f>
        <v>2.7103780643457594E-2</v>
      </c>
    </row>
    <row r="23" spans="1:58" ht="15.75" customHeight="1" thickTop="1" x14ac:dyDescent="0.25">
      <c r="A23" s="199" t="s">
        <v>132</v>
      </c>
      <c r="B23" s="200" t="str">
        <f t="shared" ref="B23:K23" si="14">IF(COUNT(B19:B22) = 0, "", SUM(B19:B22))</f>
        <v/>
      </c>
      <c r="C23" s="201" t="str">
        <f t="shared" si="14"/>
        <v/>
      </c>
      <c r="D23" s="202" t="str">
        <f t="shared" si="14"/>
        <v/>
      </c>
      <c r="E23" s="201" t="str">
        <f t="shared" si="14"/>
        <v/>
      </c>
      <c r="F23" s="202">
        <f t="shared" si="14"/>
        <v>486</v>
      </c>
      <c r="G23" s="201">
        <f t="shared" si="14"/>
        <v>1874502</v>
      </c>
      <c r="H23" s="202">
        <f t="shared" si="14"/>
        <v>137</v>
      </c>
      <c r="I23" s="201">
        <f t="shared" si="14"/>
        <v>264273</v>
      </c>
      <c r="J23" s="200">
        <f t="shared" si="14"/>
        <v>18</v>
      </c>
      <c r="K23" s="201">
        <f t="shared" si="14"/>
        <v>17352</v>
      </c>
      <c r="L23" s="203">
        <f>SUM(L19:L22)</f>
        <v>2156127</v>
      </c>
      <c r="M23" s="200" t="str">
        <f t="shared" ref="M23:R23" si="15">IF(COUNT(M19:M22) = 0, "", SUM(M19:M22))</f>
        <v/>
      </c>
      <c r="N23" s="201" t="str">
        <f t="shared" si="15"/>
        <v/>
      </c>
      <c r="O23" s="202" t="str">
        <f t="shared" si="15"/>
        <v/>
      </c>
      <c r="P23" s="201" t="str">
        <f t="shared" si="15"/>
        <v/>
      </c>
      <c r="Q23" s="202">
        <f t="shared" si="15"/>
        <v>754</v>
      </c>
      <c r="R23" s="201">
        <f t="shared" si="15"/>
        <v>2181322</v>
      </c>
      <c r="S23" s="203">
        <f>SUM(S19:S22)</f>
        <v>2181322</v>
      </c>
      <c r="T23" s="202">
        <f t="shared" ref="T23:Y23" si="16">IF(COUNT(T19:T22) = 0, "", SUM(T19:T22))</f>
        <v>86</v>
      </c>
      <c r="U23" s="201">
        <f t="shared" si="16"/>
        <v>829298</v>
      </c>
      <c r="V23" s="202">
        <f t="shared" si="16"/>
        <v>83</v>
      </c>
      <c r="W23" s="201">
        <f t="shared" si="16"/>
        <v>560250</v>
      </c>
      <c r="X23" s="200">
        <f t="shared" si="16"/>
        <v>15</v>
      </c>
      <c r="Y23" s="201">
        <f t="shared" si="16"/>
        <v>50625</v>
      </c>
      <c r="Z23" s="203">
        <f>SUM(Z19:Z22)</f>
        <v>1440173</v>
      </c>
      <c r="AA23" s="200" t="str">
        <f t="shared" ref="AA23:AJ23" si="17">IF(COUNT(AA19:AA22) = 0, "", SUM(AA19:AA22))</f>
        <v/>
      </c>
      <c r="AB23" s="201" t="str">
        <f t="shared" si="17"/>
        <v/>
      </c>
      <c r="AC23" s="202" t="str">
        <f t="shared" si="17"/>
        <v/>
      </c>
      <c r="AD23" s="201" t="str">
        <f t="shared" si="17"/>
        <v/>
      </c>
      <c r="AE23" s="202">
        <f t="shared" si="17"/>
        <v>0</v>
      </c>
      <c r="AF23" s="201">
        <f t="shared" si="17"/>
        <v>0</v>
      </c>
      <c r="AG23" s="202" t="str">
        <f t="shared" si="17"/>
        <v/>
      </c>
      <c r="AH23" s="201" t="str">
        <f t="shared" si="17"/>
        <v/>
      </c>
      <c r="AI23" s="200">
        <f t="shared" si="17"/>
        <v>0</v>
      </c>
      <c r="AJ23" s="201">
        <f t="shared" si="17"/>
        <v>0</v>
      </c>
      <c r="AK23" s="203">
        <f>SUM(AK19:AK22)</f>
        <v>0</v>
      </c>
      <c r="AL23" s="202" t="str">
        <f t="shared" ref="AL23:AQ23" si="18">IF(COUNT(AL19:AL22) = 0, "", SUM(AL19:AL22))</f>
        <v/>
      </c>
      <c r="AM23" s="201" t="str">
        <f t="shared" si="18"/>
        <v/>
      </c>
      <c r="AN23" s="202" t="str">
        <f t="shared" si="18"/>
        <v/>
      </c>
      <c r="AO23" s="201" t="str">
        <f t="shared" si="18"/>
        <v/>
      </c>
      <c r="AP23" s="200" t="str">
        <f t="shared" si="18"/>
        <v/>
      </c>
      <c r="AQ23" s="201" t="str">
        <f t="shared" si="18"/>
        <v/>
      </c>
      <c r="AR23" s="203">
        <f>SUM(AR19:AR22)</f>
        <v>0</v>
      </c>
      <c r="AS23" s="202" t="str">
        <f>IF(COUNT(AS19:AS22) = 0, "", SUM(AS19:AS22))</f>
        <v/>
      </c>
      <c r="AT23" s="201" t="str">
        <f>IF(COUNT(AT19:AT22) = 0, "", SUM(AT19:AT22))</f>
        <v/>
      </c>
      <c r="AU23" s="202">
        <f>IF(COUNT(AU19:AU22) = 0, "", SUM(AU19:AU22))</f>
        <v>61</v>
      </c>
      <c r="AV23" s="201">
        <f>IF(COUNT(AV19:AV22) = 0, "", SUM(AV19:AV22))</f>
        <v>676490</v>
      </c>
      <c r="AW23" s="203">
        <f>SUM(AW19:AW22)</f>
        <v>676490</v>
      </c>
      <c r="AX23" s="202">
        <f t="shared" ref="AX23:BC23" si="19">IF(COUNT(AX19:AX22) = 0, "", SUM(AX19:AX22))</f>
        <v>77</v>
      </c>
      <c r="AY23" s="201">
        <f t="shared" si="19"/>
        <v>55671</v>
      </c>
      <c r="AZ23" s="202" t="str">
        <f t="shared" si="19"/>
        <v/>
      </c>
      <c r="BA23" s="201" t="str">
        <f t="shared" si="19"/>
        <v/>
      </c>
      <c r="BB23" s="200">
        <f t="shared" si="19"/>
        <v>246</v>
      </c>
      <c r="BC23" s="201">
        <f t="shared" si="19"/>
        <v>296430</v>
      </c>
      <c r="BD23" s="204">
        <f>SUM(BD19:BD22)</f>
        <v>352101</v>
      </c>
      <c r="BE23" s="205">
        <f>SUM(L23,S23,Z23,AK23,AR23,AW23,BD23)</f>
        <v>6806213</v>
      </c>
      <c r="BF23" s="206">
        <f>BE23/BE30</f>
        <v>0.1227688727334646</v>
      </c>
    </row>
    <row r="24" spans="1:58" x14ac:dyDescent="0.25">
      <c r="A24" s="207"/>
      <c r="B24" s="215"/>
      <c r="C24" s="216"/>
      <c r="D24" s="217"/>
      <c r="E24" s="216"/>
      <c r="F24" s="217"/>
      <c r="G24" s="216"/>
      <c r="H24" s="217"/>
      <c r="I24" s="216"/>
      <c r="J24" s="215"/>
      <c r="K24" s="216"/>
      <c r="L24" s="218"/>
      <c r="M24" s="215"/>
      <c r="N24" s="216"/>
      <c r="O24" s="217"/>
      <c r="P24" s="216"/>
      <c r="Q24" s="217"/>
      <c r="R24" s="216"/>
      <c r="S24" s="218"/>
      <c r="T24" s="217"/>
      <c r="U24" s="216"/>
      <c r="V24" s="217"/>
      <c r="W24" s="216"/>
      <c r="X24" s="215"/>
      <c r="Y24" s="216"/>
      <c r="Z24" s="218"/>
      <c r="AA24" s="215"/>
      <c r="AB24" s="216"/>
      <c r="AC24" s="217"/>
      <c r="AD24" s="216"/>
      <c r="AE24" s="217"/>
      <c r="AF24" s="216"/>
      <c r="AG24" s="217"/>
      <c r="AH24" s="216"/>
      <c r="AI24" s="215"/>
      <c r="AJ24" s="216"/>
      <c r="AK24" s="218"/>
      <c r="AL24" s="217"/>
      <c r="AM24" s="216"/>
      <c r="AN24" s="217"/>
      <c r="AO24" s="216"/>
      <c r="AP24" s="215"/>
      <c r="AQ24" s="216"/>
      <c r="AR24" s="218"/>
      <c r="AS24" s="217"/>
      <c r="AT24" s="216"/>
      <c r="AU24" s="217"/>
      <c r="AV24" s="216"/>
      <c r="AW24" s="218"/>
      <c r="AX24" s="217"/>
      <c r="AY24" s="216"/>
      <c r="AZ24" s="217"/>
      <c r="BA24" s="216"/>
      <c r="BB24" s="215"/>
      <c r="BC24" s="216"/>
      <c r="BD24" s="219"/>
      <c r="BE24" s="213"/>
      <c r="BF24" s="214"/>
    </row>
    <row r="25" spans="1:58" x14ac:dyDescent="0.25">
      <c r="A25" s="122" t="s">
        <v>71</v>
      </c>
      <c r="B25" s="190"/>
      <c r="C25" s="195" t="str">
        <f>IF(ISBLANK(B25),"", B25*B9)</f>
        <v/>
      </c>
      <c r="D25" s="196"/>
      <c r="E25" s="195" t="str">
        <f>IF(ISBLANK(D25),"", D25*D9)</f>
        <v/>
      </c>
      <c r="F25" s="196">
        <v>294</v>
      </c>
      <c r="G25" s="195">
        <f>IF(ISBLANK(F25),"", F25*F9)</f>
        <v>1133958</v>
      </c>
      <c r="H25" s="196">
        <v>303</v>
      </c>
      <c r="I25" s="195">
        <f>IF(ISBLANK(H25),"", H25*H9)</f>
        <v>584487</v>
      </c>
      <c r="J25" s="190">
        <v>11</v>
      </c>
      <c r="K25" s="195">
        <f>IF(ISBLANK(J25),"", J25*J9)</f>
        <v>10604</v>
      </c>
      <c r="L25" s="191">
        <f>SUM(C25,E25,G25,I25,K25)</f>
        <v>1729049</v>
      </c>
      <c r="M25" s="190"/>
      <c r="N25" s="195" t="str">
        <f>IF(ISBLANK(M25),"", M25*M9)</f>
        <v/>
      </c>
      <c r="O25" s="196"/>
      <c r="P25" s="195" t="str">
        <f>IF(ISBLANK(O25),"", O25*O9)</f>
        <v/>
      </c>
      <c r="Q25" s="196">
        <v>318</v>
      </c>
      <c r="R25" s="195">
        <f>IF(ISBLANK(Q25),"", Q25*Q9)</f>
        <v>919974</v>
      </c>
      <c r="S25" s="191">
        <f>SUM(N25,P25,R25)</f>
        <v>919974</v>
      </c>
      <c r="T25" s="196">
        <v>26</v>
      </c>
      <c r="U25" s="195">
        <f>IF(ISBLANK(T25),"", T25*T9)</f>
        <v>250718</v>
      </c>
      <c r="V25" s="196">
        <v>21</v>
      </c>
      <c r="W25" s="195">
        <f>IF(ISBLANK(V25),"", V25*V9)</f>
        <v>141750</v>
      </c>
      <c r="X25" s="190">
        <v>0</v>
      </c>
      <c r="Y25" s="195">
        <f>IF(ISBLANK(X25),"", X25*X9)</f>
        <v>0</v>
      </c>
      <c r="Z25" s="191">
        <f>SUM(U25,W25,Y25)</f>
        <v>392468</v>
      </c>
      <c r="AA25" s="190"/>
      <c r="AB25" s="195" t="str">
        <f>IF(ISBLANK(AA25),"", AA25*AA9)</f>
        <v/>
      </c>
      <c r="AC25" s="196"/>
      <c r="AD25" s="195" t="str">
        <f>IF(ISBLANK(AC25),"", AC25*AC9)</f>
        <v/>
      </c>
      <c r="AE25" s="196"/>
      <c r="AF25" s="195" t="str">
        <f>IF(ISBLANK(AE25),"", AE25*AE9)</f>
        <v/>
      </c>
      <c r="AG25" s="196"/>
      <c r="AH25" s="195" t="str">
        <f>IF(ISBLANK(AG25),"", AG25*AG9)</f>
        <v/>
      </c>
      <c r="AI25" s="190"/>
      <c r="AJ25" s="195" t="str">
        <f>IF(ISBLANK(AI25),"", AI25*AI9)</f>
        <v/>
      </c>
      <c r="AK25" s="191">
        <f>SUM(AB25,AD25,AF25,AH25,AJ25)</f>
        <v>0</v>
      </c>
      <c r="AL25" s="196"/>
      <c r="AM25" s="195" t="str">
        <f>IF(ISBLANK(AL25),"", AL25*AL9)</f>
        <v/>
      </c>
      <c r="AN25" s="196"/>
      <c r="AO25" s="195" t="str">
        <f>IF(ISBLANK(AN25),"", AN25*AN9)</f>
        <v/>
      </c>
      <c r="AP25" s="190"/>
      <c r="AQ25" s="195" t="str">
        <f>IF(ISBLANK(AP25),"", AP25*AP9)</f>
        <v/>
      </c>
      <c r="AR25" s="191">
        <f>SUM(AM25,AO25,AQ25)</f>
        <v>0</v>
      </c>
      <c r="AS25" s="196"/>
      <c r="AT25" s="195" t="str">
        <f>IF(ISBLANK(AS25),"", AS25*AS9)</f>
        <v/>
      </c>
      <c r="AU25" s="196">
        <v>230</v>
      </c>
      <c r="AV25" s="195">
        <f>IF(ISBLANK(AU25),"", AU25*AU9)</f>
        <v>2550700</v>
      </c>
      <c r="AW25" s="191">
        <f>SUM(AT25,AV25)</f>
        <v>2550700</v>
      </c>
      <c r="AX25" s="196"/>
      <c r="AY25" s="195" t="str">
        <f>IF(ISBLANK(AX25),"", AX25*AX9)</f>
        <v/>
      </c>
      <c r="AZ25" s="196"/>
      <c r="BA25" s="195" t="str">
        <f>IF(ISBLANK(AZ25),"", AZ25*AZ9)</f>
        <v/>
      </c>
      <c r="BB25" s="190">
        <v>135</v>
      </c>
      <c r="BC25" s="195">
        <f>IF(ISBLANK(BB25),"", BB25*BB9)</f>
        <v>162675</v>
      </c>
      <c r="BD25" s="192">
        <f>SUM(AY25,BA25,BC25)</f>
        <v>162675</v>
      </c>
      <c r="BE25" s="193">
        <f t="shared" ref="BE25:BE30" si="20">SUM(L25,S25,Z25,AK25,AR25,AW25,BD25)</f>
        <v>5754866</v>
      </c>
      <c r="BF25" s="194">
        <f>BE25/BE30</f>
        <v>0.10380492228969949</v>
      </c>
    </row>
    <row r="26" spans="1:58" x14ac:dyDescent="0.25">
      <c r="A26" s="122" t="s">
        <v>72</v>
      </c>
      <c r="B26" s="190"/>
      <c r="C26" s="195" t="str">
        <f>IF(ISBLANK(B26),"", B26*B9)</f>
        <v/>
      </c>
      <c r="D26" s="196"/>
      <c r="E26" s="195" t="str">
        <f>IF(ISBLANK(D26),"", D26*D9)</f>
        <v/>
      </c>
      <c r="F26" s="196">
        <v>0</v>
      </c>
      <c r="G26" s="195">
        <f>IF(ISBLANK(F26),"", F26*F9)</f>
        <v>0</v>
      </c>
      <c r="H26" s="196">
        <v>9</v>
      </c>
      <c r="I26" s="195">
        <f>IF(ISBLANK(H26),"", H26*H9)</f>
        <v>17361</v>
      </c>
      <c r="J26" s="190">
        <v>0</v>
      </c>
      <c r="K26" s="195">
        <f>IF(ISBLANK(J26),"", J26*J9)</f>
        <v>0</v>
      </c>
      <c r="L26" s="191">
        <f>SUM(C26,E26,G26,I26,K26)</f>
        <v>17361</v>
      </c>
      <c r="M26" s="190"/>
      <c r="N26" s="195" t="str">
        <f>IF(ISBLANK(M26),"", M26*M9)</f>
        <v/>
      </c>
      <c r="O26" s="196"/>
      <c r="P26" s="195" t="str">
        <f>IF(ISBLANK(O26),"", O26*O9)</f>
        <v/>
      </c>
      <c r="Q26" s="196">
        <v>70</v>
      </c>
      <c r="R26" s="195">
        <f>IF(ISBLANK(Q26),"", Q26*Q9)</f>
        <v>202510</v>
      </c>
      <c r="S26" s="191">
        <f>SUM(N26,P26,R26)</f>
        <v>202510</v>
      </c>
      <c r="T26" s="196"/>
      <c r="U26" s="195" t="str">
        <f>IF(ISBLANK(T26),"", T26*T9)</f>
        <v/>
      </c>
      <c r="V26" s="196"/>
      <c r="W26" s="195" t="str">
        <f>IF(ISBLANK(V26),"", V26*V9)</f>
        <v/>
      </c>
      <c r="X26" s="190"/>
      <c r="Y26" s="195" t="str">
        <f>IF(ISBLANK(X26),"", X26*X9)</f>
        <v/>
      </c>
      <c r="Z26" s="191">
        <f>SUM(U26,W26,Y26)</f>
        <v>0</v>
      </c>
      <c r="AA26" s="190"/>
      <c r="AB26" s="195" t="str">
        <f>IF(ISBLANK(AA26),"", AA26*AA9)</f>
        <v/>
      </c>
      <c r="AC26" s="196"/>
      <c r="AD26" s="195" t="str">
        <f>IF(ISBLANK(AC26),"", AC26*AC9)</f>
        <v/>
      </c>
      <c r="AE26" s="196">
        <v>328</v>
      </c>
      <c r="AF26" s="195">
        <f>IF(ISBLANK(AE26),"", AE26*AE9)</f>
        <v>126608</v>
      </c>
      <c r="AG26" s="196"/>
      <c r="AH26" s="195" t="str">
        <f>IF(ISBLANK(AG26),"", AG26*AG9)</f>
        <v/>
      </c>
      <c r="AI26" s="190">
        <v>177</v>
      </c>
      <c r="AJ26" s="195">
        <f>IF(ISBLANK(AI26),"", AI26*AI9)</f>
        <v>127971</v>
      </c>
      <c r="AK26" s="191">
        <f>SUM(AB26,AD26,AF26,AH26,AJ26)</f>
        <v>254579</v>
      </c>
      <c r="AL26" s="196"/>
      <c r="AM26" s="195" t="str">
        <f>IF(ISBLANK(AL26),"", AL26*AL9)</f>
        <v/>
      </c>
      <c r="AN26" s="196"/>
      <c r="AO26" s="195" t="str">
        <f>IF(ISBLANK(AN26),"", AN26*AN9)</f>
        <v/>
      </c>
      <c r="AP26" s="190"/>
      <c r="AQ26" s="195" t="str">
        <f>IF(ISBLANK(AP26),"", AP26*AP9)</f>
        <v/>
      </c>
      <c r="AR26" s="191">
        <f>SUM(AM26,AO26,AQ26)</f>
        <v>0</v>
      </c>
      <c r="AS26" s="196"/>
      <c r="AT26" s="195" t="str">
        <f>IF(ISBLANK(AS26),"", AS26*AS9)</f>
        <v/>
      </c>
      <c r="AU26" s="196">
        <v>0</v>
      </c>
      <c r="AV26" s="195">
        <f>IF(ISBLANK(AU26),"", AU26*AU9)</f>
        <v>0</v>
      </c>
      <c r="AW26" s="191">
        <f>SUM(AT26,AV26)</f>
        <v>0</v>
      </c>
      <c r="AX26" s="196"/>
      <c r="AY26" s="195" t="str">
        <f>IF(ISBLANK(AX26),"", AX26*AX9)</f>
        <v/>
      </c>
      <c r="AZ26" s="196"/>
      <c r="BA26" s="195" t="str">
        <f>IF(ISBLANK(AZ26),"", AZ26*AZ9)</f>
        <v/>
      </c>
      <c r="BB26" s="190">
        <v>74</v>
      </c>
      <c r="BC26" s="195">
        <f>IF(ISBLANK(BB26),"", BB26*BB9)</f>
        <v>89170</v>
      </c>
      <c r="BD26" s="192">
        <f>SUM(AY26,BA26,BC26)</f>
        <v>89170</v>
      </c>
      <c r="BE26" s="193">
        <f t="shared" si="20"/>
        <v>563620</v>
      </c>
      <c r="BF26" s="194">
        <f>BE26/BE30</f>
        <v>1.0166445283160448E-2</v>
      </c>
    </row>
    <row r="27" spans="1:58" x14ac:dyDescent="0.25">
      <c r="A27" s="122" t="s">
        <v>73</v>
      </c>
      <c r="B27" s="190"/>
      <c r="C27" s="195" t="str">
        <f>IF(ISBLANK(B27),"", B27*B9)</f>
        <v/>
      </c>
      <c r="D27" s="196"/>
      <c r="E27" s="195" t="str">
        <f>IF(ISBLANK(D27),"", D27*D9)</f>
        <v/>
      </c>
      <c r="F27" s="196">
        <v>137</v>
      </c>
      <c r="G27" s="195">
        <f>IF(ISBLANK(F27),"", F27*F9)</f>
        <v>528409</v>
      </c>
      <c r="H27" s="196">
        <v>47</v>
      </c>
      <c r="I27" s="195">
        <f>IF(ISBLANK(H27),"", H27*H9)</f>
        <v>90663</v>
      </c>
      <c r="J27" s="190">
        <v>8</v>
      </c>
      <c r="K27" s="195">
        <f>IF(ISBLANK(J27),"", J27*J9)</f>
        <v>7712</v>
      </c>
      <c r="L27" s="191">
        <f>SUM(C27,E27,G27,I27,K27)</f>
        <v>626784</v>
      </c>
      <c r="M27" s="190"/>
      <c r="N27" s="195" t="str">
        <f>IF(ISBLANK(M27),"", M27*M9)</f>
        <v/>
      </c>
      <c r="O27" s="196"/>
      <c r="P27" s="195" t="str">
        <f>IF(ISBLANK(O27),"", O27*O9)</f>
        <v/>
      </c>
      <c r="Q27" s="196">
        <v>109</v>
      </c>
      <c r="R27" s="195">
        <f>IF(ISBLANK(Q27),"", Q27*Q9)</f>
        <v>315337</v>
      </c>
      <c r="S27" s="191">
        <f>SUM(N27,P27,R27)</f>
        <v>315337</v>
      </c>
      <c r="T27" s="196"/>
      <c r="U27" s="195" t="str">
        <f>IF(ISBLANK(T27),"", T27*T9)</f>
        <v/>
      </c>
      <c r="V27" s="196"/>
      <c r="W27" s="195" t="str">
        <f>IF(ISBLANK(V27),"", V27*V9)</f>
        <v/>
      </c>
      <c r="X27" s="190"/>
      <c r="Y27" s="195" t="str">
        <f>IF(ISBLANK(X27),"", X27*X9)</f>
        <v/>
      </c>
      <c r="Z27" s="191">
        <f>SUM(U27,W27,Y27)</f>
        <v>0</v>
      </c>
      <c r="AA27" s="190"/>
      <c r="AB27" s="195" t="str">
        <f>IF(ISBLANK(AA27),"", AA27*AA9)</f>
        <v/>
      </c>
      <c r="AC27" s="196"/>
      <c r="AD27" s="195" t="str">
        <f>IF(ISBLANK(AC27),"", AC27*AC9)</f>
        <v/>
      </c>
      <c r="AE27" s="196">
        <v>86</v>
      </c>
      <c r="AF27" s="195">
        <f>IF(ISBLANK(AE27),"", AE27*AE9)</f>
        <v>33196</v>
      </c>
      <c r="AG27" s="196"/>
      <c r="AH27" s="195" t="str">
        <f>IF(ISBLANK(AG27),"", AG27*AG9)</f>
        <v/>
      </c>
      <c r="AI27" s="190">
        <v>83</v>
      </c>
      <c r="AJ27" s="195">
        <f>IF(ISBLANK(AI27),"", AI27*AI9)</f>
        <v>60009</v>
      </c>
      <c r="AK27" s="191">
        <f>SUM(AB27,AD27,AF27,AH27,AJ27)</f>
        <v>93205</v>
      </c>
      <c r="AL27" s="196"/>
      <c r="AM27" s="195" t="str">
        <f>IF(ISBLANK(AL27),"", AL27*AL9)</f>
        <v/>
      </c>
      <c r="AN27" s="196"/>
      <c r="AO27" s="195" t="str">
        <f>IF(ISBLANK(AN27),"", AN27*AN9)</f>
        <v/>
      </c>
      <c r="AP27" s="190"/>
      <c r="AQ27" s="195" t="str">
        <f>IF(ISBLANK(AP27),"", AP27*AP9)</f>
        <v/>
      </c>
      <c r="AR27" s="191">
        <f>SUM(AM27,AO27,AQ27)</f>
        <v>0</v>
      </c>
      <c r="AS27" s="196"/>
      <c r="AT27" s="195" t="str">
        <f>IF(ISBLANK(AS27),"", AS27*AS9)</f>
        <v/>
      </c>
      <c r="AU27" s="196">
        <v>37</v>
      </c>
      <c r="AV27" s="195">
        <f>IF(ISBLANK(AU27),"", AU27*AU9)</f>
        <v>410330</v>
      </c>
      <c r="AW27" s="191">
        <f>SUM(AT27,AV27)</f>
        <v>410330</v>
      </c>
      <c r="AX27" s="196"/>
      <c r="AY27" s="195" t="str">
        <f>IF(ISBLANK(AX27),"", AX27*AX9)</f>
        <v/>
      </c>
      <c r="AZ27" s="196">
        <v>75</v>
      </c>
      <c r="BA27" s="195">
        <f>IF(ISBLANK(AZ27),"", AZ27*AZ9)</f>
        <v>72300</v>
      </c>
      <c r="BB27" s="190"/>
      <c r="BC27" s="195" t="str">
        <f>IF(ISBLANK(BB27),"", BB27*BB9)</f>
        <v/>
      </c>
      <c r="BD27" s="192">
        <f>SUM(AY27,BA27,BC27)</f>
        <v>72300</v>
      </c>
      <c r="BE27" s="193">
        <f t="shared" si="20"/>
        <v>1517956</v>
      </c>
      <c r="BF27" s="194">
        <f>BE27/BE30</f>
        <v>2.7380534076585465E-2</v>
      </c>
    </row>
    <row r="28" spans="1:58" x14ac:dyDescent="0.25">
      <c r="A28" s="122" t="s">
        <v>74</v>
      </c>
      <c r="B28" s="190">
        <v>23</v>
      </c>
      <c r="C28" s="195">
        <f>IF(ISBLANK(B28),"", B28*B9)</f>
        <v>22172</v>
      </c>
      <c r="D28" s="196">
        <v>323</v>
      </c>
      <c r="E28" s="195">
        <f>IF(ISBLANK(D28),"", D28*D9)</f>
        <v>623067</v>
      </c>
      <c r="F28" s="196">
        <v>60</v>
      </c>
      <c r="G28" s="195">
        <f>IF(ISBLANK(F28),"", F28*F9)</f>
        <v>231420</v>
      </c>
      <c r="H28" s="196"/>
      <c r="I28" s="195" t="str">
        <f>IF(ISBLANK(H28),"", H28*H9)</f>
        <v/>
      </c>
      <c r="J28" s="190"/>
      <c r="K28" s="195" t="str">
        <f>IF(ISBLANK(J28),"", J28*J9)</f>
        <v/>
      </c>
      <c r="L28" s="191">
        <f>SUM(C28,E28,G28,I28,K28)</f>
        <v>876659</v>
      </c>
      <c r="M28" s="190">
        <v>20</v>
      </c>
      <c r="N28" s="195">
        <f>IF(ISBLANK(M28),"", M28*M9)</f>
        <v>14460</v>
      </c>
      <c r="O28" s="196">
        <v>155</v>
      </c>
      <c r="P28" s="195">
        <f>IF(ISBLANK(O28),"", O28*O9)</f>
        <v>224285</v>
      </c>
      <c r="Q28" s="196">
        <v>21</v>
      </c>
      <c r="R28" s="195">
        <f>IF(ISBLANK(Q28),"", Q28*Q9)</f>
        <v>60753</v>
      </c>
      <c r="S28" s="191">
        <f>SUM(N28,P28,R28)</f>
        <v>299498</v>
      </c>
      <c r="T28" s="196"/>
      <c r="U28" s="195" t="str">
        <f>IF(ISBLANK(T28),"", T28*T9)</f>
        <v/>
      </c>
      <c r="V28" s="196"/>
      <c r="W28" s="195" t="str">
        <f>IF(ISBLANK(V28),"", V28*V9)</f>
        <v/>
      </c>
      <c r="X28" s="190"/>
      <c r="Y28" s="195" t="str">
        <f>IF(ISBLANK(X28),"", X28*X9)</f>
        <v/>
      </c>
      <c r="Z28" s="191">
        <f>SUM(U28,W28,Y28)</f>
        <v>0</v>
      </c>
      <c r="AA28" s="190">
        <v>0</v>
      </c>
      <c r="AB28" s="195">
        <f>IF(ISBLANK(AA28),"", AA28*AA9)</f>
        <v>0</v>
      </c>
      <c r="AC28" s="196">
        <v>0</v>
      </c>
      <c r="AD28" s="195">
        <f>IF(ISBLANK(AC28),"", AC28*AC9)</f>
        <v>0</v>
      </c>
      <c r="AE28" s="196"/>
      <c r="AF28" s="195" t="str">
        <f>IF(ISBLANK(AE28),"", AE28*AE9)</f>
        <v/>
      </c>
      <c r="AG28" s="196">
        <v>0</v>
      </c>
      <c r="AH28" s="195">
        <f>IF(ISBLANK(AG28),"", AG28*AG9)</f>
        <v>0</v>
      </c>
      <c r="AI28" s="190"/>
      <c r="AJ28" s="195" t="str">
        <f>IF(ISBLANK(AI28),"", AI28*AI9)</f>
        <v/>
      </c>
      <c r="AK28" s="191">
        <f>SUM(AB28,AD28,AF28,AH28,AJ28)</f>
        <v>0</v>
      </c>
      <c r="AL28" s="196">
        <v>0</v>
      </c>
      <c r="AM28" s="195">
        <f>IF(ISBLANK(AL28),"", AL28*AL9)</f>
        <v>0</v>
      </c>
      <c r="AN28" s="196">
        <v>0</v>
      </c>
      <c r="AO28" s="195">
        <f>IF(ISBLANK(AN28),"", AN28*AN9)</f>
        <v>0</v>
      </c>
      <c r="AP28" s="190">
        <v>0</v>
      </c>
      <c r="AQ28" s="195">
        <f>IF(ISBLANK(AP28),"", AP28*AP9)</f>
        <v>0</v>
      </c>
      <c r="AR28" s="191">
        <f>SUM(AM28,AO28,AQ28)</f>
        <v>0</v>
      </c>
      <c r="AS28" s="196">
        <v>0</v>
      </c>
      <c r="AT28" s="195">
        <f>IF(ISBLANK(AS28),"", AS28*AS9)</f>
        <v>0</v>
      </c>
      <c r="AU28" s="196">
        <v>10</v>
      </c>
      <c r="AV28" s="195">
        <f>IF(ISBLANK(AU28),"", AU28*AU9)</f>
        <v>110900</v>
      </c>
      <c r="AW28" s="191">
        <f>SUM(AT28,AV28)</f>
        <v>110900</v>
      </c>
      <c r="AX28" s="196"/>
      <c r="AY28" s="195" t="str">
        <f>IF(ISBLANK(AX28),"", AX28*AX9)</f>
        <v/>
      </c>
      <c r="AZ28" s="196"/>
      <c r="BA28" s="195" t="str">
        <f>IF(ISBLANK(AZ28),"", AZ28*AZ9)</f>
        <v/>
      </c>
      <c r="BB28" s="190">
        <v>62</v>
      </c>
      <c r="BC28" s="195">
        <f>IF(ISBLANK(BB28),"", BB28*BB9)</f>
        <v>74710</v>
      </c>
      <c r="BD28" s="192">
        <f>SUM(AY28,BA28,BC28)</f>
        <v>74710</v>
      </c>
      <c r="BE28" s="193">
        <f t="shared" si="20"/>
        <v>1361767</v>
      </c>
      <c r="BF28" s="194">
        <f>BE28/BE30</f>
        <v>2.4563233550820681E-2</v>
      </c>
    </row>
    <row r="29" spans="1:58" ht="15.75" customHeight="1" thickBot="1" x14ac:dyDescent="0.3">
      <c r="A29" s="134" t="s">
        <v>75</v>
      </c>
      <c r="B29" s="190">
        <v>1382</v>
      </c>
      <c r="C29" s="195">
        <f>IF(ISBLANK(B29),"", B29*B9)</f>
        <v>1332248</v>
      </c>
      <c r="D29" s="196">
        <v>2571</v>
      </c>
      <c r="E29" s="195">
        <f>IF(ISBLANK(D29),"", D29*D9)</f>
        <v>4959459</v>
      </c>
      <c r="F29" s="196"/>
      <c r="G29" s="195" t="str">
        <f>IF(ISBLANK(F29),"", F29*F9)</f>
        <v/>
      </c>
      <c r="H29" s="196"/>
      <c r="I29" s="195" t="str">
        <f>IF(ISBLANK(H29),"", H29*H9)</f>
        <v/>
      </c>
      <c r="J29" s="190"/>
      <c r="K29" s="195" t="str">
        <f>IF(ISBLANK(J29),"", J29*J9)</f>
        <v/>
      </c>
      <c r="L29" s="191">
        <f>SUM(C29,E29,G29,I29,K29)</f>
        <v>6291707</v>
      </c>
      <c r="M29" s="190">
        <v>1162</v>
      </c>
      <c r="N29" s="195">
        <f>IF(ISBLANK(M29),"", M29*M9)</f>
        <v>840126</v>
      </c>
      <c r="O29" s="196">
        <v>2071</v>
      </c>
      <c r="P29" s="195">
        <f>IF(ISBLANK(O29),"", O29*O9)</f>
        <v>2996737</v>
      </c>
      <c r="Q29" s="196"/>
      <c r="R29" s="195" t="str">
        <f>IF(ISBLANK(Q29),"", Q29*Q9)</f>
        <v/>
      </c>
      <c r="S29" s="191">
        <f>SUM(N29,P29,R29)</f>
        <v>3836863</v>
      </c>
      <c r="T29" s="196"/>
      <c r="U29" s="195" t="str">
        <f>IF(ISBLANK(T29),"", T29*T9)</f>
        <v/>
      </c>
      <c r="V29" s="196"/>
      <c r="W29" s="195" t="str">
        <f>IF(ISBLANK(V29),"", V29*V9)</f>
        <v/>
      </c>
      <c r="X29" s="190"/>
      <c r="Y29" s="195" t="str">
        <f>IF(ISBLANK(X29),"", X29*X9)</f>
        <v/>
      </c>
      <c r="Z29" s="191">
        <f>SUM(U29,W29,Y29)</f>
        <v>0</v>
      </c>
      <c r="AA29" s="190">
        <v>4156</v>
      </c>
      <c r="AB29" s="195">
        <f>IF(ISBLANK(AA29),"", AA29*AA9)</f>
        <v>602620</v>
      </c>
      <c r="AC29" s="196">
        <v>4819</v>
      </c>
      <c r="AD29" s="195">
        <f>IF(ISBLANK(AC29),"", AC29*AC9)</f>
        <v>1392691</v>
      </c>
      <c r="AE29" s="196"/>
      <c r="AF29" s="195" t="str">
        <f>IF(ISBLANK(AE29),"", AE29*AE9)</f>
        <v/>
      </c>
      <c r="AG29" s="196">
        <v>4357</v>
      </c>
      <c r="AH29" s="195">
        <f>IF(ISBLANK(AG29),"", AG29*AG9)</f>
        <v>2522703</v>
      </c>
      <c r="AI29" s="190"/>
      <c r="AJ29" s="195" t="str">
        <f>IF(ISBLANK(AI29),"", AI29*AI9)</f>
        <v/>
      </c>
      <c r="AK29" s="191">
        <f>SUM(AB29,AD29,AF29,AH29,AJ29)</f>
        <v>4518014</v>
      </c>
      <c r="AL29" s="196">
        <v>836</v>
      </c>
      <c r="AM29" s="195">
        <f>IF(ISBLANK(AL29),"", AL29*AL9)</f>
        <v>524172</v>
      </c>
      <c r="AN29" s="196">
        <v>0</v>
      </c>
      <c r="AO29" s="195">
        <f>IF(ISBLANK(AN29),"", AN29*AN9)</f>
        <v>0</v>
      </c>
      <c r="AP29" s="190">
        <v>0</v>
      </c>
      <c r="AQ29" s="195">
        <f>IF(ISBLANK(AP29),"", AP29*AP9)</f>
        <v>0</v>
      </c>
      <c r="AR29" s="191">
        <f>SUM(AM29,AO29,AQ29)</f>
        <v>524172</v>
      </c>
      <c r="AS29" s="196">
        <v>0</v>
      </c>
      <c r="AT29" s="195">
        <f>IF(ISBLANK(AS29),"", AS29*AS9)</f>
        <v>0</v>
      </c>
      <c r="AU29" s="196"/>
      <c r="AV29" s="195" t="str">
        <f>IF(ISBLANK(AU29),"", AU29*AU9)</f>
        <v/>
      </c>
      <c r="AW29" s="191">
        <f>SUM(AT29,AV29)</f>
        <v>0</v>
      </c>
      <c r="AX29" s="196"/>
      <c r="AY29" s="195" t="str">
        <f>IF(ISBLANK(AX29),"", AX29*AX9)</f>
        <v/>
      </c>
      <c r="AZ29" s="196"/>
      <c r="BA29" s="195" t="str">
        <f>IF(ISBLANK(AZ29),"", AZ29*AZ9)</f>
        <v/>
      </c>
      <c r="BB29" s="190">
        <v>624</v>
      </c>
      <c r="BC29" s="195">
        <f>IF(ISBLANK(BB29),"", BB29*BB9)</f>
        <v>751920</v>
      </c>
      <c r="BD29" s="192">
        <f>SUM(AY29,BA29,BC29)</f>
        <v>751920</v>
      </c>
      <c r="BE29" s="197">
        <f t="shared" si="20"/>
        <v>15922676</v>
      </c>
      <c r="BF29" s="194">
        <f>BE29/BE30</f>
        <v>0.28720949277082441</v>
      </c>
    </row>
    <row r="30" spans="1:58" x14ac:dyDescent="0.25">
      <c r="A30" s="220" t="s">
        <v>47</v>
      </c>
      <c r="B30" s="221">
        <f t="shared" ref="B30:AG30" si="21">SUM(B17,B23,B25:B29)</f>
        <v>1405</v>
      </c>
      <c r="C30" s="222">
        <f t="shared" si="21"/>
        <v>1354420</v>
      </c>
      <c r="D30" s="223">
        <f t="shared" si="21"/>
        <v>2894</v>
      </c>
      <c r="E30" s="222">
        <f t="shared" si="21"/>
        <v>5582526</v>
      </c>
      <c r="F30" s="223">
        <f t="shared" si="21"/>
        <v>2487</v>
      </c>
      <c r="G30" s="222">
        <f t="shared" si="21"/>
        <v>9592359</v>
      </c>
      <c r="H30" s="223">
        <f t="shared" si="21"/>
        <v>707</v>
      </c>
      <c r="I30" s="222">
        <f t="shared" si="21"/>
        <v>1363803</v>
      </c>
      <c r="J30" s="223">
        <f t="shared" si="21"/>
        <v>37</v>
      </c>
      <c r="K30" s="222">
        <f t="shared" si="21"/>
        <v>35668</v>
      </c>
      <c r="L30" s="224">
        <f t="shared" si="21"/>
        <v>17928776</v>
      </c>
      <c r="M30" s="221">
        <f t="shared" si="21"/>
        <v>1182</v>
      </c>
      <c r="N30" s="222">
        <f t="shared" si="21"/>
        <v>854586</v>
      </c>
      <c r="O30" s="223">
        <f t="shared" si="21"/>
        <v>2226</v>
      </c>
      <c r="P30" s="222">
        <f t="shared" si="21"/>
        <v>3221022</v>
      </c>
      <c r="Q30" s="223">
        <f t="shared" si="21"/>
        <v>2543</v>
      </c>
      <c r="R30" s="222">
        <f t="shared" si="21"/>
        <v>7356899</v>
      </c>
      <c r="S30" s="224">
        <f t="shared" si="21"/>
        <v>11432507</v>
      </c>
      <c r="T30" s="223">
        <f t="shared" si="21"/>
        <v>545</v>
      </c>
      <c r="U30" s="222">
        <f t="shared" si="21"/>
        <v>5255435</v>
      </c>
      <c r="V30" s="223">
        <f t="shared" si="21"/>
        <v>141</v>
      </c>
      <c r="W30" s="222">
        <f t="shared" si="21"/>
        <v>951750</v>
      </c>
      <c r="X30" s="223">
        <f t="shared" si="21"/>
        <v>18</v>
      </c>
      <c r="Y30" s="222">
        <f t="shared" si="21"/>
        <v>60750</v>
      </c>
      <c r="Z30" s="224">
        <f t="shared" si="21"/>
        <v>6267935</v>
      </c>
      <c r="AA30" s="221">
        <f t="shared" si="21"/>
        <v>4156</v>
      </c>
      <c r="AB30" s="222">
        <f t="shared" si="21"/>
        <v>602620</v>
      </c>
      <c r="AC30" s="223">
        <f t="shared" si="21"/>
        <v>4819</v>
      </c>
      <c r="AD30" s="222">
        <f t="shared" si="21"/>
        <v>1392691</v>
      </c>
      <c r="AE30" s="223">
        <f t="shared" si="21"/>
        <v>1045</v>
      </c>
      <c r="AF30" s="222">
        <f t="shared" si="21"/>
        <v>403370</v>
      </c>
      <c r="AG30" s="223">
        <f t="shared" si="21"/>
        <v>4357</v>
      </c>
      <c r="AH30" s="222">
        <f t="shared" ref="AH30:BD30" si="22">SUM(AH17,AH23,AH25:AH29)</f>
        <v>2522703</v>
      </c>
      <c r="AI30" s="223">
        <f t="shared" si="22"/>
        <v>675</v>
      </c>
      <c r="AJ30" s="222">
        <f t="shared" si="22"/>
        <v>488025</v>
      </c>
      <c r="AK30" s="224">
        <f t="shared" si="22"/>
        <v>5409409</v>
      </c>
      <c r="AL30" s="223">
        <f t="shared" si="22"/>
        <v>836</v>
      </c>
      <c r="AM30" s="222">
        <f t="shared" si="22"/>
        <v>524172</v>
      </c>
      <c r="AN30" s="223">
        <f t="shared" si="22"/>
        <v>0</v>
      </c>
      <c r="AO30" s="222">
        <f t="shared" si="22"/>
        <v>0</v>
      </c>
      <c r="AP30" s="223">
        <f t="shared" si="22"/>
        <v>0</v>
      </c>
      <c r="AQ30" s="222">
        <f t="shared" si="22"/>
        <v>0</v>
      </c>
      <c r="AR30" s="224">
        <f t="shared" si="22"/>
        <v>524172</v>
      </c>
      <c r="AS30" s="223">
        <f t="shared" si="22"/>
        <v>0</v>
      </c>
      <c r="AT30" s="222">
        <f t="shared" si="22"/>
        <v>0</v>
      </c>
      <c r="AU30" s="223">
        <f t="shared" si="22"/>
        <v>1060</v>
      </c>
      <c r="AV30" s="222">
        <f t="shared" si="22"/>
        <v>11755400</v>
      </c>
      <c r="AW30" s="224">
        <f t="shared" si="22"/>
        <v>11755400</v>
      </c>
      <c r="AX30" s="223">
        <f t="shared" si="22"/>
        <v>77</v>
      </c>
      <c r="AY30" s="222">
        <f t="shared" si="22"/>
        <v>55671</v>
      </c>
      <c r="AZ30" s="223">
        <f t="shared" si="22"/>
        <v>175</v>
      </c>
      <c r="BA30" s="222">
        <f t="shared" si="22"/>
        <v>168700</v>
      </c>
      <c r="BB30" s="223">
        <f t="shared" si="22"/>
        <v>1574</v>
      </c>
      <c r="BC30" s="222">
        <f t="shared" si="22"/>
        <v>1896670</v>
      </c>
      <c r="BD30" s="225">
        <f t="shared" si="22"/>
        <v>2121041</v>
      </c>
      <c r="BE30" s="226">
        <f t="shared" si="20"/>
        <v>55439240</v>
      </c>
      <c r="BF30" s="227"/>
    </row>
    <row r="31" spans="1:58" ht="33" customHeight="1" thickBot="1" x14ac:dyDescent="0.3">
      <c r="A31" s="228" t="s">
        <v>128</v>
      </c>
      <c r="B31" s="535">
        <f>C30/BE30</f>
        <v>2.4430710089099344E-2</v>
      </c>
      <c r="C31" s="536"/>
      <c r="D31" s="536">
        <f>E30/BE30</f>
        <v>0.1006962938164376</v>
      </c>
      <c r="E31" s="536"/>
      <c r="F31" s="536">
        <f>G30/BE30</f>
        <v>0.17302472039659994</v>
      </c>
      <c r="G31" s="536"/>
      <c r="H31" s="536">
        <f>I30/BE30</f>
        <v>2.459995844098873E-2</v>
      </c>
      <c r="I31" s="536"/>
      <c r="J31" s="536">
        <f>K30/BE30</f>
        <v>6.4337101302254507E-4</v>
      </c>
      <c r="K31" s="536"/>
      <c r="L31" s="229">
        <f>L30/BE30</f>
        <v>0.32339505375614819</v>
      </c>
      <c r="M31" s="535">
        <f>N30/BE30</f>
        <v>1.5414821703905032E-2</v>
      </c>
      <c r="N31" s="536"/>
      <c r="O31" s="536">
        <f>P30/BE30</f>
        <v>5.8100038889422008E-2</v>
      </c>
      <c r="P31" s="536"/>
      <c r="Q31" s="536">
        <f>R30/BE30</f>
        <v>0.13270201756012528</v>
      </c>
      <c r="R31" s="536"/>
      <c r="S31" s="229">
        <f>S30/BE30</f>
        <v>0.20621687815345233</v>
      </c>
      <c r="T31" s="536">
        <f>U30/BE30</f>
        <v>9.4796303123924494E-2</v>
      </c>
      <c r="U31" s="536"/>
      <c r="V31" s="536">
        <f>W30/BE30</f>
        <v>1.7167443132337312E-2</v>
      </c>
      <c r="W31" s="536"/>
      <c r="X31" s="536">
        <f>Y30/BE30</f>
        <v>1.0957942424896156E-3</v>
      </c>
      <c r="Y31" s="536"/>
      <c r="Z31" s="229">
        <f>Z30/BE30</f>
        <v>0.11305954049875143</v>
      </c>
      <c r="AA31" s="535">
        <f>AB30/BE30</f>
        <v>1.0869918130190817E-2</v>
      </c>
      <c r="AB31" s="536"/>
      <c r="AC31" s="536">
        <f>AD30/BE30</f>
        <v>2.5121033405219841E-2</v>
      </c>
      <c r="AD31" s="536"/>
      <c r="AE31" s="536">
        <f>AF30/BE30</f>
        <v>7.2758933924779636E-3</v>
      </c>
      <c r="AF31" s="536"/>
      <c r="AG31" s="536">
        <f>AH30/BE30</f>
        <v>4.5503924656975815E-2</v>
      </c>
      <c r="AH31" s="536"/>
      <c r="AI31" s="536">
        <f>AJ30/BE30</f>
        <v>8.8028804146665796E-3</v>
      </c>
      <c r="AJ31" s="536"/>
      <c r="AK31" s="229">
        <f>AK30/BE30</f>
        <v>9.7573649999531012E-2</v>
      </c>
      <c r="AL31" s="536">
        <f>AM30/BE30</f>
        <v>9.4548915172718816E-3</v>
      </c>
      <c r="AM31" s="536"/>
      <c r="AN31" s="536">
        <f>AO30/BE30</f>
        <v>0</v>
      </c>
      <c r="AO31" s="536"/>
      <c r="AP31" s="536">
        <f>AQ30/BE30</f>
        <v>0</v>
      </c>
      <c r="AQ31" s="536"/>
      <c r="AR31" s="229">
        <f>AR30/BE30</f>
        <v>9.4548915172718816E-3</v>
      </c>
      <c r="AS31" s="536">
        <f>AT30/BE30</f>
        <v>0</v>
      </c>
      <c r="AT31" s="536"/>
      <c r="AU31" s="536">
        <f>AV30/BE30</f>
        <v>0.21204114630720047</v>
      </c>
      <c r="AV31" s="536"/>
      <c r="AW31" s="229">
        <f>AW30/BE30</f>
        <v>0.21204114630720047</v>
      </c>
      <c r="AX31" s="588">
        <f>AY30/BE30</f>
        <v>1.0041804324878913E-3</v>
      </c>
      <c r="AY31" s="589"/>
      <c r="AZ31" s="590">
        <f>BA30/BE30</f>
        <v>3.0429710075390642E-3</v>
      </c>
      <c r="BA31" s="589"/>
      <c r="BB31" s="590">
        <f>BC30/BE30</f>
        <v>3.421168832761777E-2</v>
      </c>
      <c r="BC31" s="589"/>
      <c r="BD31" s="230">
        <f>BD30/BE30</f>
        <v>3.8258839767644721E-2</v>
      </c>
      <c r="BE31" s="231"/>
      <c r="BF31" s="232"/>
    </row>
    <row r="34" spans="1:58" ht="15.75" customHeight="1" thickBo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.75" customHeight="1" x14ac:dyDescent="0.25">
      <c r="A35" s="530" t="s">
        <v>4</v>
      </c>
      <c r="B35" s="466" t="s">
        <v>83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7"/>
      <c r="M35" s="469" t="s">
        <v>84</v>
      </c>
      <c r="N35" s="469"/>
      <c r="O35" s="469"/>
      <c r="P35" s="469"/>
      <c r="Q35" s="469"/>
      <c r="R35" s="469"/>
      <c r="S35" s="470"/>
      <c r="T35" s="472" t="s">
        <v>85</v>
      </c>
      <c r="U35" s="472"/>
      <c r="V35" s="472"/>
      <c r="W35" s="472"/>
      <c r="X35" s="472"/>
      <c r="Y35" s="472"/>
      <c r="Z35" s="473"/>
      <c r="AA35" s="475" t="s">
        <v>86</v>
      </c>
      <c r="AB35" s="475"/>
      <c r="AC35" s="475"/>
      <c r="AD35" s="475"/>
      <c r="AE35" s="475"/>
      <c r="AF35" s="475"/>
      <c r="AG35" s="475"/>
      <c r="AH35" s="475"/>
      <c r="AI35" s="475"/>
      <c r="AJ35" s="475"/>
      <c r="AK35" s="476"/>
      <c r="AL35" s="503" t="s">
        <v>87</v>
      </c>
      <c r="AM35" s="503"/>
      <c r="AN35" s="503"/>
      <c r="AO35" s="503"/>
      <c r="AP35" s="503"/>
      <c r="AQ35" s="503"/>
      <c r="AR35" s="504"/>
      <c r="AS35" s="591" t="s">
        <v>88</v>
      </c>
      <c r="AT35" s="591"/>
      <c r="AU35" s="591"/>
      <c r="AV35" s="591"/>
      <c r="AW35" s="592"/>
      <c r="AX35" s="578" t="s">
        <v>89</v>
      </c>
      <c r="AY35" s="578"/>
      <c r="AZ35" s="578"/>
      <c r="BA35" s="578"/>
      <c r="BB35" s="578"/>
      <c r="BC35" s="578"/>
      <c r="BD35" s="578"/>
      <c r="BE35" s="601" t="s">
        <v>127</v>
      </c>
      <c r="BF35" s="576" t="s">
        <v>128</v>
      </c>
    </row>
    <row r="36" spans="1:58" x14ac:dyDescent="0.25">
      <c r="A36" s="531"/>
      <c r="B36" s="478" t="s">
        <v>90</v>
      </c>
      <c r="C36" s="478"/>
      <c r="D36" s="478"/>
      <c r="E36" s="478"/>
      <c r="F36" s="478"/>
      <c r="G36" s="478"/>
      <c r="H36" s="478"/>
      <c r="I36" s="478"/>
      <c r="J36" s="478"/>
      <c r="K36" s="478"/>
      <c r="L36" s="479"/>
      <c r="M36" s="481" t="s">
        <v>90</v>
      </c>
      <c r="N36" s="481"/>
      <c r="O36" s="481"/>
      <c r="P36" s="481"/>
      <c r="Q36" s="481"/>
      <c r="R36" s="481"/>
      <c r="S36" s="482"/>
      <c r="T36" s="484" t="s">
        <v>90</v>
      </c>
      <c r="U36" s="484"/>
      <c r="V36" s="484"/>
      <c r="W36" s="484"/>
      <c r="X36" s="484"/>
      <c r="Y36" s="484"/>
      <c r="Z36" s="485"/>
      <c r="AA36" s="487" t="s">
        <v>90</v>
      </c>
      <c r="AB36" s="487"/>
      <c r="AC36" s="487"/>
      <c r="AD36" s="487"/>
      <c r="AE36" s="487"/>
      <c r="AF36" s="487"/>
      <c r="AG36" s="487"/>
      <c r="AH36" s="487"/>
      <c r="AI36" s="487"/>
      <c r="AJ36" s="487"/>
      <c r="AK36" s="488"/>
      <c r="AL36" s="497" t="s">
        <v>90</v>
      </c>
      <c r="AM36" s="497"/>
      <c r="AN36" s="497"/>
      <c r="AO36" s="497"/>
      <c r="AP36" s="497"/>
      <c r="AQ36" s="497"/>
      <c r="AR36" s="498"/>
      <c r="AS36" s="593" t="s">
        <v>90</v>
      </c>
      <c r="AT36" s="593"/>
      <c r="AU36" s="593"/>
      <c r="AV36" s="593"/>
      <c r="AW36" s="594"/>
      <c r="AX36" s="579" t="s">
        <v>129</v>
      </c>
      <c r="AY36" s="579"/>
      <c r="AZ36" s="579"/>
      <c r="BA36" s="579"/>
      <c r="BB36" s="579"/>
      <c r="BC36" s="579"/>
      <c r="BD36" s="579"/>
      <c r="BE36" s="602"/>
      <c r="BF36" s="577"/>
    </row>
    <row r="37" spans="1:58" ht="15.75" customHeight="1" x14ac:dyDescent="0.25">
      <c r="A37" s="531"/>
      <c r="B37" s="544" t="s">
        <v>93</v>
      </c>
      <c r="C37" s="540"/>
      <c r="D37" s="539" t="s">
        <v>94</v>
      </c>
      <c r="E37" s="540"/>
      <c r="F37" s="539" t="s">
        <v>95</v>
      </c>
      <c r="G37" s="540"/>
      <c r="H37" s="539" t="s">
        <v>96</v>
      </c>
      <c r="I37" s="540"/>
      <c r="J37" s="539" t="s">
        <v>97</v>
      </c>
      <c r="K37" s="540"/>
      <c r="L37" s="528" t="s">
        <v>130</v>
      </c>
      <c r="M37" s="532" t="s">
        <v>93</v>
      </c>
      <c r="N37" s="533"/>
      <c r="O37" s="534" t="s">
        <v>94</v>
      </c>
      <c r="P37" s="533"/>
      <c r="Q37" s="534" t="s">
        <v>95</v>
      </c>
      <c r="R37" s="533"/>
      <c r="S37" s="547" t="s">
        <v>130</v>
      </c>
      <c r="T37" s="550" t="s">
        <v>95</v>
      </c>
      <c r="U37" s="551"/>
      <c r="V37" s="550" t="s">
        <v>96</v>
      </c>
      <c r="W37" s="551"/>
      <c r="X37" s="550" t="s">
        <v>97</v>
      </c>
      <c r="Y37" s="551"/>
      <c r="Z37" s="552" t="s">
        <v>130</v>
      </c>
      <c r="AA37" s="560" t="s">
        <v>98</v>
      </c>
      <c r="AB37" s="561"/>
      <c r="AC37" s="562" t="s">
        <v>99</v>
      </c>
      <c r="AD37" s="561"/>
      <c r="AE37" s="562" t="s">
        <v>100</v>
      </c>
      <c r="AF37" s="561"/>
      <c r="AG37" s="562" t="s">
        <v>101</v>
      </c>
      <c r="AH37" s="561"/>
      <c r="AI37" s="562" t="s">
        <v>102</v>
      </c>
      <c r="AJ37" s="561"/>
      <c r="AK37" s="563" t="s">
        <v>130</v>
      </c>
      <c r="AL37" s="567" t="s">
        <v>103</v>
      </c>
      <c r="AM37" s="568"/>
      <c r="AN37" s="567" t="s">
        <v>104</v>
      </c>
      <c r="AO37" s="568"/>
      <c r="AP37" s="567" t="s">
        <v>105</v>
      </c>
      <c r="AQ37" s="568"/>
      <c r="AR37" s="569" t="s">
        <v>130</v>
      </c>
      <c r="AS37" s="595" t="s">
        <v>106</v>
      </c>
      <c r="AT37" s="596"/>
      <c r="AU37" s="595" t="s">
        <v>107</v>
      </c>
      <c r="AV37" s="596"/>
      <c r="AW37" s="597" t="s">
        <v>130</v>
      </c>
      <c r="AX37" s="580" t="s">
        <v>122</v>
      </c>
      <c r="AY37" s="581"/>
      <c r="AZ37" s="580" t="s">
        <v>123</v>
      </c>
      <c r="BA37" s="581"/>
      <c r="BB37" s="580" t="s">
        <v>124</v>
      </c>
      <c r="BC37" s="581"/>
      <c r="BD37" s="582" t="s">
        <v>130</v>
      </c>
      <c r="BE37" s="602"/>
      <c r="BF37" s="577"/>
    </row>
    <row r="38" spans="1:58" ht="16.5" customHeight="1" thickBot="1" x14ac:dyDescent="0.3">
      <c r="A38" s="531"/>
      <c r="B38" s="543">
        <v>1462</v>
      </c>
      <c r="C38" s="538"/>
      <c r="D38" s="537">
        <v>2923</v>
      </c>
      <c r="E38" s="538"/>
      <c r="F38" s="537">
        <v>5847</v>
      </c>
      <c r="G38" s="538"/>
      <c r="H38" s="537">
        <v>2923</v>
      </c>
      <c r="I38" s="538"/>
      <c r="J38" s="541">
        <v>1462</v>
      </c>
      <c r="K38" s="542"/>
      <c r="L38" s="529"/>
      <c r="M38" s="545">
        <v>1096</v>
      </c>
      <c r="N38" s="546"/>
      <c r="O38" s="549">
        <v>2193</v>
      </c>
      <c r="P38" s="546"/>
      <c r="Q38" s="549">
        <v>4385</v>
      </c>
      <c r="R38" s="546"/>
      <c r="S38" s="548"/>
      <c r="T38" s="554">
        <v>14617</v>
      </c>
      <c r="U38" s="555"/>
      <c r="V38" s="554">
        <v>10232</v>
      </c>
      <c r="W38" s="555"/>
      <c r="X38" s="556">
        <v>5116</v>
      </c>
      <c r="Y38" s="557"/>
      <c r="Z38" s="553"/>
      <c r="AA38" s="565">
        <v>219</v>
      </c>
      <c r="AB38" s="566"/>
      <c r="AC38" s="575">
        <v>439</v>
      </c>
      <c r="AD38" s="566"/>
      <c r="AE38" s="575">
        <v>585</v>
      </c>
      <c r="AF38" s="566"/>
      <c r="AG38" s="575">
        <v>877</v>
      </c>
      <c r="AH38" s="566"/>
      <c r="AI38" s="558">
        <v>1096</v>
      </c>
      <c r="AJ38" s="559"/>
      <c r="AK38" s="564"/>
      <c r="AL38" s="571">
        <v>950</v>
      </c>
      <c r="AM38" s="572"/>
      <c r="AN38" s="571">
        <v>950</v>
      </c>
      <c r="AO38" s="572"/>
      <c r="AP38" s="573">
        <v>1827</v>
      </c>
      <c r="AQ38" s="574"/>
      <c r="AR38" s="570"/>
      <c r="AS38" s="599">
        <v>8039</v>
      </c>
      <c r="AT38" s="600"/>
      <c r="AU38" s="599">
        <v>16809</v>
      </c>
      <c r="AV38" s="600"/>
      <c r="AW38" s="598"/>
      <c r="AX38" s="584">
        <v>1096</v>
      </c>
      <c r="AY38" s="585"/>
      <c r="AZ38" s="584">
        <v>1462</v>
      </c>
      <c r="BA38" s="585"/>
      <c r="BB38" s="586">
        <v>1827</v>
      </c>
      <c r="BC38" s="587"/>
      <c r="BD38" s="583"/>
      <c r="BE38" s="602"/>
      <c r="BF38" s="577"/>
    </row>
    <row r="39" spans="1:58" x14ac:dyDescent="0.25">
      <c r="A39" s="186" t="s">
        <v>50</v>
      </c>
      <c r="B39" s="187"/>
      <c r="C39" s="188" t="str">
        <f>IF(ISBLANK(B39),"", B39*B38)</f>
        <v/>
      </c>
      <c r="D39" s="189"/>
      <c r="E39" s="188" t="str">
        <f>IF(ISBLANK(D39),"", D39*D38)</f>
        <v/>
      </c>
      <c r="F39" s="189">
        <v>540</v>
      </c>
      <c r="G39" s="188">
        <f>IF(ISBLANK(F39),"", F39*F38)</f>
        <v>3157380</v>
      </c>
      <c r="H39" s="189">
        <v>103</v>
      </c>
      <c r="I39" s="188">
        <f>IF(ISBLANK(H39),"", H39*H38)</f>
        <v>301069</v>
      </c>
      <c r="J39" s="190">
        <v>0</v>
      </c>
      <c r="K39" s="188">
        <f>IF(ISBLANK(J39),"", J39*J38)</f>
        <v>0</v>
      </c>
      <c r="L39" s="191">
        <f t="shared" ref="L39:L45" si="23">SUM(C39,E39,G39,I39,K39)</f>
        <v>3458449</v>
      </c>
      <c r="M39" s="187"/>
      <c r="N39" s="188" t="str">
        <f>IF(ISBLANK(M39),"", M39*M38)</f>
        <v/>
      </c>
      <c r="O39" s="189"/>
      <c r="P39" s="188" t="str">
        <f>IF(ISBLANK(O39),"", O39*O38)</f>
        <v/>
      </c>
      <c r="Q39" s="189">
        <v>356</v>
      </c>
      <c r="R39" s="188">
        <f>IF(ISBLANK(Q39),"", Q39*Q38)</f>
        <v>1561060</v>
      </c>
      <c r="S39" s="191">
        <f t="shared" ref="S39:S45" si="24">SUM(N39,P39,R39)</f>
        <v>1561060</v>
      </c>
      <c r="T39" s="189">
        <v>331</v>
      </c>
      <c r="U39" s="188">
        <f>IF(ISBLANK(T39),"", T39*T38)</f>
        <v>4838227</v>
      </c>
      <c r="V39" s="189">
        <v>8</v>
      </c>
      <c r="W39" s="188">
        <f>IF(ISBLANK(V39),"", V39*V38)</f>
        <v>81856</v>
      </c>
      <c r="X39" s="190">
        <v>3</v>
      </c>
      <c r="Y39" s="188">
        <f>IF(ISBLANK(X39),"", X39*X38)</f>
        <v>15348</v>
      </c>
      <c r="Z39" s="191">
        <f t="shared" ref="Z39:Z45" si="25">SUM(U39,W39,Y39)</f>
        <v>4935431</v>
      </c>
      <c r="AA39" s="187"/>
      <c r="AB39" s="188" t="str">
        <f>IF(ISBLANK(AA39),"", AA39*AA38)</f>
        <v/>
      </c>
      <c r="AC39" s="189"/>
      <c r="AD39" s="188" t="str">
        <f>IF(ISBLANK(AC39),"", AC39*AC38)</f>
        <v/>
      </c>
      <c r="AE39" s="189"/>
      <c r="AF39" s="188" t="str">
        <f>IF(ISBLANK(AE39),"", AE39*AE38)</f>
        <v/>
      </c>
      <c r="AG39" s="189"/>
      <c r="AH39" s="188" t="str">
        <f>IF(ISBLANK(AG39),"", AG39*AG38)</f>
        <v/>
      </c>
      <c r="AI39" s="190"/>
      <c r="AJ39" s="188" t="str">
        <f>IF(ISBLANK(AI39),"", AI39*AI38)</f>
        <v/>
      </c>
      <c r="AK39" s="191">
        <f t="shared" ref="AK39:AK45" si="26">SUM(AB39,AD39,AF39,AH39,AJ39)</f>
        <v>0</v>
      </c>
      <c r="AL39" s="189"/>
      <c r="AM39" s="188" t="str">
        <f>IF(ISBLANK(AL39),"", AL39*AL38)</f>
        <v/>
      </c>
      <c r="AN39" s="189"/>
      <c r="AO39" s="188" t="str">
        <f>IF(ISBLANK(AN39),"", AN39*AN38)</f>
        <v/>
      </c>
      <c r="AP39" s="190"/>
      <c r="AQ39" s="188" t="str">
        <f>IF(ISBLANK(AP39),"", AP39*AP38)</f>
        <v/>
      </c>
      <c r="AR39" s="191">
        <f t="shared" ref="AR39:AR45" si="27">SUM(AM39,AO39,AQ39)</f>
        <v>0</v>
      </c>
      <c r="AS39" s="189"/>
      <c r="AT39" s="188" t="str">
        <f>IF(ISBLANK(AS39),"", AS39*AS38)</f>
        <v/>
      </c>
      <c r="AU39" s="189">
        <v>480</v>
      </c>
      <c r="AV39" s="188">
        <f>IF(ISBLANK(AU39),"", AU39*AU38)</f>
        <v>8068320</v>
      </c>
      <c r="AW39" s="191">
        <f t="shared" ref="AW39:AW45" si="28">SUM(AT39,AV39)</f>
        <v>8068320</v>
      </c>
      <c r="AX39" s="189"/>
      <c r="AY39" s="188" t="str">
        <f>IF(ISBLANK(AX39),"", AX39*AX38)</f>
        <v/>
      </c>
      <c r="AZ39" s="189"/>
      <c r="BA39" s="188" t="str">
        <f>IF(ISBLANK(AZ39),"", AZ39*AZ38)</f>
        <v/>
      </c>
      <c r="BB39" s="190">
        <v>205</v>
      </c>
      <c r="BC39" s="188">
        <f>IF(ISBLANK(BB39),"", BB39*BB38)</f>
        <v>374535</v>
      </c>
      <c r="BD39" s="192">
        <f t="shared" ref="BD39:BD45" si="29">SUM(AY39,BA39,BC39)</f>
        <v>374535</v>
      </c>
      <c r="BE39" s="193">
        <f t="shared" ref="BE39:BE46" si="30">SUM(L39,S39,Z39,AK39,AR39,AW39,BD39)</f>
        <v>18397795</v>
      </c>
      <c r="BF39" s="194">
        <f>BE39/BE59</f>
        <v>0.21894258881253739</v>
      </c>
    </row>
    <row r="40" spans="1:58" x14ac:dyDescent="0.25">
      <c r="A40" s="122" t="s">
        <v>55</v>
      </c>
      <c r="B40" s="190"/>
      <c r="C40" s="195" t="str">
        <f>IF(ISBLANK(B40),"", B40*B38)</f>
        <v/>
      </c>
      <c r="D40" s="196"/>
      <c r="E40" s="195" t="str">
        <f>IF(ISBLANK(D40),"", D40*D38)</f>
        <v/>
      </c>
      <c r="F40" s="196">
        <v>146</v>
      </c>
      <c r="G40" s="195">
        <f>IF(ISBLANK(F40),"", F40*F38)</f>
        <v>853662</v>
      </c>
      <c r="H40" s="196">
        <v>19</v>
      </c>
      <c r="I40" s="195">
        <f>IF(ISBLANK(H40),"", H40*H38)</f>
        <v>55537</v>
      </c>
      <c r="J40" s="190">
        <v>0</v>
      </c>
      <c r="K40" s="195">
        <f>IF(ISBLANK(J40),"", J40*J38)</f>
        <v>0</v>
      </c>
      <c r="L40" s="191">
        <f t="shared" si="23"/>
        <v>909199</v>
      </c>
      <c r="M40" s="190"/>
      <c r="N40" s="195" t="str">
        <f>IF(ISBLANK(M40),"", M40*M38)</f>
        <v/>
      </c>
      <c r="O40" s="196"/>
      <c r="P40" s="195" t="str">
        <f>IF(ISBLANK(O40),"", O40*O38)</f>
        <v/>
      </c>
      <c r="Q40" s="196">
        <v>89</v>
      </c>
      <c r="R40" s="195">
        <f>IF(ISBLANK(Q40),"", Q40*Q38)</f>
        <v>390265</v>
      </c>
      <c r="S40" s="191">
        <f t="shared" si="24"/>
        <v>390265</v>
      </c>
      <c r="T40" s="196"/>
      <c r="U40" s="195" t="str">
        <f>IF(ISBLANK(T40),"", T40*T38)</f>
        <v/>
      </c>
      <c r="V40" s="196"/>
      <c r="W40" s="195" t="str">
        <f>IF(ISBLANK(V40),"", V40*V38)</f>
        <v/>
      </c>
      <c r="X40" s="190"/>
      <c r="Y40" s="195" t="str">
        <f>IF(ISBLANK(X40),"", X40*X38)</f>
        <v/>
      </c>
      <c r="Z40" s="191">
        <f t="shared" si="25"/>
        <v>0</v>
      </c>
      <c r="AA40" s="190"/>
      <c r="AB40" s="195" t="str">
        <f>IF(ISBLANK(AA40),"", AA40*AA38)</f>
        <v/>
      </c>
      <c r="AC40" s="196"/>
      <c r="AD40" s="195" t="str">
        <f>IF(ISBLANK(AC40),"", AC40*AC38)</f>
        <v/>
      </c>
      <c r="AE40" s="196">
        <v>76</v>
      </c>
      <c r="AF40" s="195">
        <f>IF(ISBLANK(AE40),"", AE40*AE38)</f>
        <v>44460</v>
      </c>
      <c r="AG40" s="196"/>
      <c r="AH40" s="195" t="str">
        <f>IF(ISBLANK(AG40),"", AG40*AG38)</f>
        <v/>
      </c>
      <c r="AI40" s="190">
        <v>61</v>
      </c>
      <c r="AJ40" s="195">
        <f>IF(ISBLANK(AI40),"", AI40*AI38)</f>
        <v>66856</v>
      </c>
      <c r="AK40" s="191">
        <f t="shared" si="26"/>
        <v>111316</v>
      </c>
      <c r="AL40" s="196"/>
      <c r="AM40" s="195" t="str">
        <f>IF(ISBLANK(AL40),"", AL40*AL38)</f>
        <v/>
      </c>
      <c r="AN40" s="196"/>
      <c r="AO40" s="195" t="str">
        <f>IF(ISBLANK(AN40),"", AN40*AN38)</f>
        <v/>
      </c>
      <c r="AP40" s="190"/>
      <c r="AQ40" s="195" t="str">
        <f>IF(ISBLANK(AP40),"", AP40*AP38)</f>
        <v/>
      </c>
      <c r="AR40" s="191">
        <f t="shared" si="27"/>
        <v>0</v>
      </c>
      <c r="AS40" s="196"/>
      <c r="AT40" s="195" t="str">
        <f>IF(ISBLANK(AS40),"", AS40*AS38)</f>
        <v/>
      </c>
      <c r="AU40" s="196">
        <v>16</v>
      </c>
      <c r="AV40" s="195">
        <f>IF(ISBLANK(AU40),"", AU40*AU38)</f>
        <v>268944</v>
      </c>
      <c r="AW40" s="191">
        <f t="shared" si="28"/>
        <v>268944</v>
      </c>
      <c r="AX40" s="196"/>
      <c r="AY40" s="195" t="str">
        <f>IF(ISBLANK(AX40),"", AX40*AX38)</f>
        <v/>
      </c>
      <c r="AZ40" s="196"/>
      <c r="BA40" s="195" t="str">
        <f>IF(ISBLANK(AZ40),"", AZ40*AZ38)</f>
        <v/>
      </c>
      <c r="BB40" s="190">
        <v>21</v>
      </c>
      <c r="BC40" s="195">
        <f>IF(ISBLANK(BB40),"", BB40*BB38)</f>
        <v>38367</v>
      </c>
      <c r="BD40" s="192">
        <f t="shared" si="29"/>
        <v>38367</v>
      </c>
      <c r="BE40" s="193">
        <f t="shared" si="30"/>
        <v>1718091</v>
      </c>
      <c r="BF40" s="194">
        <f>BE40/BE59</f>
        <v>2.0446107338163141E-2</v>
      </c>
    </row>
    <row r="41" spans="1:58" x14ac:dyDescent="0.25">
      <c r="A41" s="122" t="s">
        <v>56</v>
      </c>
      <c r="B41" s="190"/>
      <c r="C41" s="195" t="str">
        <f>IF(ISBLANK(B41),"", B41*B38)</f>
        <v/>
      </c>
      <c r="D41" s="196"/>
      <c r="E41" s="195" t="str">
        <f>IF(ISBLANK(D41),"", D41*D38)</f>
        <v/>
      </c>
      <c r="F41" s="196">
        <v>68</v>
      </c>
      <c r="G41" s="195">
        <f>IF(ISBLANK(F41),"", F41*F38)</f>
        <v>397596</v>
      </c>
      <c r="H41" s="196">
        <v>10</v>
      </c>
      <c r="I41" s="195">
        <f>IF(ISBLANK(H41),"", H41*H38)</f>
        <v>29230</v>
      </c>
      <c r="J41" s="190">
        <v>0</v>
      </c>
      <c r="K41" s="195">
        <f>IF(ISBLANK(J41),"", J41*J38)</f>
        <v>0</v>
      </c>
      <c r="L41" s="191">
        <f t="shared" si="23"/>
        <v>426826</v>
      </c>
      <c r="M41" s="190"/>
      <c r="N41" s="195" t="str">
        <f>IF(ISBLANK(M41),"", M41*M38)</f>
        <v/>
      </c>
      <c r="O41" s="196"/>
      <c r="P41" s="195" t="str">
        <f>IF(ISBLANK(O41),"", O41*O38)</f>
        <v/>
      </c>
      <c r="Q41" s="196">
        <v>56</v>
      </c>
      <c r="R41" s="195">
        <f>IF(ISBLANK(Q41),"", Q41*Q38)</f>
        <v>245560</v>
      </c>
      <c r="S41" s="191">
        <f t="shared" si="24"/>
        <v>245560</v>
      </c>
      <c r="T41" s="196"/>
      <c r="U41" s="195" t="str">
        <f>IF(ISBLANK(T41),"", T41*T38)</f>
        <v/>
      </c>
      <c r="V41" s="196"/>
      <c r="W41" s="195" t="str">
        <f>IF(ISBLANK(V41),"", V41*V38)</f>
        <v/>
      </c>
      <c r="X41" s="190"/>
      <c r="Y41" s="195" t="str">
        <f>IF(ISBLANK(X41),"", X41*X38)</f>
        <v/>
      </c>
      <c r="Z41" s="191">
        <f t="shared" si="25"/>
        <v>0</v>
      </c>
      <c r="AA41" s="190"/>
      <c r="AB41" s="195" t="str">
        <f>IF(ISBLANK(AA41),"", AA41*AA38)</f>
        <v/>
      </c>
      <c r="AC41" s="196"/>
      <c r="AD41" s="195" t="str">
        <f>IF(ISBLANK(AC41),"", AC41*AC38)</f>
        <v/>
      </c>
      <c r="AE41" s="196">
        <v>114</v>
      </c>
      <c r="AF41" s="195">
        <f>IF(ISBLANK(AE41),"", AE41*AE38)</f>
        <v>66690</v>
      </c>
      <c r="AG41" s="196"/>
      <c r="AH41" s="195" t="str">
        <f>IF(ISBLANK(AG41),"", AG41*AG38)</f>
        <v/>
      </c>
      <c r="AI41" s="190">
        <v>88</v>
      </c>
      <c r="AJ41" s="195">
        <f>IF(ISBLANK(AI41),"", AI41*AI38)</f>
        <v>96448</v>
      </c>
      <c r="AK41" s="191">
        <f t="shared" si="26"/>
        <v>163138</v>
      </c>
      <c r="AL41" s="196"/>
      <c r="AM41" s="195" t="str">
        <f>IF(ISBLANK(AL41),"", AL41*AL38)</f>
        <v/>
      </c>
      <c r="AN41" s="196"/>
      <c r="AO41" s="195" t="str">
        <f>IF(ISBLANK(AN41),"", AN41*AN38)</f>
        <v/>
      </c>
      <c r="AP41" s="190"/>
      <c r="AQ41" s="195" t="str">
        <f>IF(ISBLANK(AP41),"", AP41*AP38)</f>
        <v/>
      </c>
      <c r="AR41" s="191">
        <f t="shared" si="27"/>
        <v>0</v>
      </c>
      <c r="AS41" s="196"/>
      <c r="AT41" s="195" t="str">
        <f>IF(ISBLANK(AS41),"", AS41*AS38)</f>
        <v/>
      </c>
      <c r="AU41" s="196">
        <v>11</v>
      </c>
      <c r="AV41" s="195">
        <f>IF(ISBLANK(AU41),"", AU41*AU38)</f>
        <v>184899</v>
      </c>
      <c r="AW41" s="191">
        <f t="shared" si="28"/>
        <v>184899</v>
      </c>
      <c r="AX41" s="196"/>
      <c r="AY41" s="195" t="str">
        <f>IF(ISBLANK(AX41),"", AX41*AX38)</f>
        <v/>
      </c>
      <c r="AZ41" s="196">
        <v>22</v>
      </c>
      <c r="BA41" s="195">
        <f>IF(ISBLANK(AZ41),"", AZ41*AZ38)</f>
        <v>32164</v>
      </c>
      <c r="BB41" s="190"/>
      <c r="BC41" s="195" t="str">
        <f>IF(ISBLANK(BB41),"", BB41*BB38)</f>
        <v/>
      </c>
      <c r="BD41" s="192">
        <f t="shared" si="29"/>
        <v>32164</v>
      </c>
      <c r="BE41" s="193">
        <f t="shared" si="30"/>
        <v>1052587</v>
      </c>
      <c r="BF41" s="194">
        <f>BE41/BE59</f>
        <v>1.2526290391344305E-2</v>
      </c>
    </row>
    <row r="42" spans="1:58" x14ac:dyDescent="0.25">
      <c r="A42" s="122" t="s">
        <v>57</v>
      </c>
      <c r="B42" s="190"/>
      <c r="C42" s="195" t="str">
        <f>IF(ISBLANK(B42),"", B42*B38)</f>
        <v/>
      </c>
      <c r="D42" s="196"/>
      <c r="E42" s="195" t="str">
        <f>IF(ISBLANK(D42),"", D42*D38)</f>
        <v/>
      </c>
      <c r="F42" s="196">
        <v>88</v>
      </c>
      <c r="G42" s="195">
        <f>IF(ISBLANK(F42),"", F42*F38)</f>
        <v>514536</v>
      </c>
      <c r="H42" s="196">
        <v>5</v>
      </c>
      <c r="I42" s="195">
        <f>IF(ISBLANK(H42),"", H42*H38)</f>
        <v>14615</v>
      </c>
      <c r="J42" s="190">
        <v>0</v>
      </c>
      <c r="K42" s="195">
        <f>IF(ISBLANK(J42),"", J42*J38)</f>
        <v>0</v>
      </c>
      <c r="L42" s="191">
        <f t="shared" si="23"/>
        <v>529151</v>
      </c>
      <c r="M42" s="190"/>
      <c r="N42" s="195" t="str">
        <f>IF(ISBLANK(M42),"", M42*M38)</f>
        <v/>
      </c>
      <c r="O42" s="196"/>
      <c r="P42" s="195" t="str">
        <f>IF(ISBLANK(O42),"", O42*O38)</f>
        <v/>
      </c>
      <c r="Q42" s="196">
        <v>65</v>
      </c>
      <c r="R42" s="195">
        <f>IF(ISBLANK(Q42),"", Q42*Q38)</f>
        <v>285025</v>
      </c>
      <c r="S42" s="191">
        <f t="shared" si="24"/>
        <v>285025</v>
      </c>
      <c r="T42" s="196"/>
      <c r="U42" s="195" t="str">
        <f>IF(ISBLANK(T42),"", T42*T38)</f>
        <v/>
      </c>
      <c r="V42" s="196"/>
      <c r="W42" s="195" t="str">
        <f>IF(ISBLANK(V42),"", V42*V38)</f>
        <v/>
      </c>
      <c r="X42" s="190"/>
      <c r="Y42" s="195" t="str">
        <f>IF(ISBLANK(X42),"", X42*X38)</f>
        <v/>
      </c>
      <c r="Z42" s="191">
        <f t="shared" si="25"/>
        <v>0</v>
      </c>
      <c r="AA42" s="190"/>
      <c r="AB42" s="195" t="str">
        <f>IF(ISBLANK(AA42),"", AA42*AA38)</f>
        <v/>
      </c>
      <c r="AC42" s="196"/>
      <c r="AD42" s="195" t="str">
        <f>IF(ISBLANK(AC42),"", AC42*AC38)</f>
        <v/>
      </c>
      <c r="AE42" s="196">
        <v>215</v>
      </c>
      <c r="AF42" s="195">
        <f>IF(ISBLANK(AE42),"", AE42*AE38)</f>
        <v>125775</v>
      </c>
      <c r="AG42" s="196"/>
      <c r="AH42" s="195" t="str">
        <f>IF(ISBLANK(AG42),"", AG42*AG38)</f>
        <v/>
      </c>
      <c r="AI42" s="190">
        <v>73</v>
      </c>
      <c r="AJ42" s="195">
        <f>IF(ISBLANK(AI42),"", AI42*AI38)</f>
        <v>80008</v>
      </c>
      <c r="AK42" s="191">
        <f t="shared" si="26"/>
        <v>205783</v>
      </c>
      <c r="AL42" s="196"/>
      <c r="AM42" s="195" t="str">
        <f>IF(ISBLANK(AL42),"", AL42*AL38)</f>
        <v/>
      </c>
      <c r="AN42" s="196"/>
      <c r="AO42" s="195" t="str">
        <f>IF(ISBLANK(AN42),"", AN42*AN38)</f>
        <v/>
      </c>
      <c r="AP42" s="190"/>
      <c r="AQ42" s="195" t="str">
        <f>IF(ISBLANK(AP42),"", AP42*AP38)</f>
        <v/>
      </c>
      <c r="AR42" s="191">
        <f t="shared" si="27"/>
        <v>0</v>
      </c>
      <c r="AS42" s="196"/>
      <c r="AT42" s="195" t="str">
        <f>IF(ISBLANK(AS42),"", AS42*AS38)</f>
        <v/>
      </c>
      <c r="AU42" s="196">
        <v>21</v>
      </c>
      <c r="AV42" s="195">
        <f>IF(ISBLANK(AU42),"", AU42*AU38)</f>
        <v>352989</v>
      </c>
      <c r="AW42" s="191">
        <f t="shared" si="28"/>
        <v>352989</v>
      </c>
      <c r="AX42" s="196"/>
      <c r="AY42" s="195" t="str">
        <f>IF(ISBLANK(AX42),"", AX42*AX38)</f>
        <v/>
      </c>
      <c r="AZ42" s="196"/>
      <c r="BA42" s="195" t="str">
        <f>IF(ISBLANK(AZ42),"", AZ42*AZ38)</f>
        <v/>
      </c>
      <c r="BB42" s="190">
        <v>38</v>
      </c>
      <c r="BC42" s="195">
        <f>IF(ISBLANK(BB42),"", BB42*BB38)</f>
        <v>69426</v>
      </c>
      <c r="BD42" s="192">
        <f t="shared" si="29"/>
        <v>69426</v>
      </c>
      <c r="BE42" s="193">
        <f t="shared" si="30"/>
        <v>1442374</v>
      </c>
      <c r="BF42" s="194">
        <f>BE42/BE59</f>
        <v>1.7164942733403368E-2</v>
      </c>
    </row>
    <row r="43" spans="1:58" x14ac:dyDescent="0.25">
      <c r="A43" s="122" t="s">
        <v>58</v>
      </c>
      <c r="B43" s="190"/>
      <c r="C43" s="195" t="str">
        <f>IF(ISBLANK(B43),"", B43*B38)</f>
        <v/>
      </c>
      <c r="D43" s="196"/>
      <c r="E43" s="195" t="str">
        <f>IF(ISBLANK(D43),"", D43*D38)</f>
        <v/>
      </c>
      <c r="F43" s="196">
        <v>501</v>
      </c>
      <c r="G43" s="195">
        <f>IF(ISBLANK(F43),"", F43*F38)</f>
        <v>2929347</v>
      </c>
      <c r="H43" s="196">
        <v>74</v>
      </c>
      <c r="I43" s="195">
        <f>IF(ISBLANK(H43),"", H43*H38)</f>
        <v>216302</v>
      </c>
      <c r="J43" s="190">
        <v>0</v>
      </c>
      <c r="K43" s="195">
        <f>IF(ISBLANK(J43),"", J43*J38)</f>
        <v>0</v>
      </c>
      <c r="L43" s="191">
        <f t="shared" si="23"/>
        <v>3145649</v>
      </c>
      <c r="M43" s="190"/>
      <c r="N43" s="195" t="str">
        <f>IF(ISBLANK(M43),"", M43*M38)</f>
        <v/>
      </c>
      <c r="O43" s="196"/>
      <c r="P43" s="195" t="str">
        <f>IF(ISBLANK(O43),"", O43*O38)</f>
        <v/>
      </c>
      <c r="Q43" s="196">
        <v>506</v>
      </c>
      <c r="R43" s="195">
        <f>IF(ISBLANK(Q43),"", Q43*Q38)</f>
        <v>2218810</v>
      </c>
      <c r="S43" s="191">
        <f t="shared" si="24"/>
        <v>2218810</v>
      </c>
      <c r="T43" s="196">
        <v>102</v>
      </c>
      <c r="U43" s="195">
        <f>IF(ISBLANK(T43),"", T43*T38)</f>
        <v>1490934</v>
      </c>
      <c r="V43" s="196">
        <v>29</v>
      </c>
      <c r="W43" s="195">
        <f>IF(ISBLANK(V43),"", V43*V38)</f>
        <v>296728</v>
      </c>
      <c r="X43" s="190">
        <v>0</v>
      </c>
      <c r="Y43" s="195">
        <f>IF(ISBLANK(X43),"", X43*X38)</f>
        <v>0</v>
      </c>
      <c r="Z43" s="191">
        <f t="shared" si="25"/>
        <v>1787662</v>
      </c>
      <c r="AA43" s="190"/>
      <c r="AB43" s="195" t="str">
        <f>IF(ISBLANK(AA43),"", AA43*AA38)</f>
        <v/>
      </c>
      <c r="AC43" s="196"/>
      <c r="AD43" s="195" t="str">
        <f>IF(ISBLANK(AC43),"", AC43*AC38)</f>
        <v/>
      </c>
      <c r="AE43" s="196"/>
      <c r="AF43" s="195" t="str">
        <f>IF(ISBLANK(AE43),"", AE43*AE38)</f>
        <v/>
      </c>
      <c r="AG43" s="196"/>
      <c r="AH43" s="195" t="str">
        <f>IF(ISBLANK(AG43),"", AG43*AG38)</f>
        <v/>
      </c>
      <c r="AI43" s="190"/>
      <c r="AJ43" s="195" t="str">
        <f>IF(ISBLANK(AI43),"", AI43*AI38)</f>
        <v/>
      </c>
      <c r="AK43" s="191">
        <f t="shared" si="26"/>
        <v>0</v>
      </c>
      <c r="AL43" s="196"/>
      <c r="AM43" s="195" t="str">
        <f>IF(ISBLANK(AL43),"", AL43*AL38)</f>
        <v/>
      </c>
      <c r="AN43" s="196"/>
      <c r="AO43" s="195" t="str">
        <f>IF(ISBLANK(AN43),"", AN43*AN38)</f>
        <v/>
      </c>
      <c r="AP43" s="190"/>
      <c r="AQ43" s="195" t="str">
        <f>IF(ISBLANK(AP43),"", AP43*AP38)</f>
        <v/>
      </c>
      <c r="AR43" s="191">
        <f t="shared" si="27"/>
        <v>0</v>
      </c>
      <c r="AS43" s="196"/>
      <c r="AT43" s="195" t="str">
        <f>IF(ISBLANK(AS43),"", AS43*AS38)</f>
        <v/>
      </c>
      <c r="AU43" s="196">
        <v>175</v>
      </c>
      <c r="AV43" s="195">
        <f>IF(ISBLANK(AU43),"", AU43*AU38)</f>
        <v>2941575</v>
      </c>
      <c r="AW43" s="191">
        <f t="shared" si="28"/>
        <v>2941575</v>
      </c>
      <c r="AX43" s="196"/>
      <c r="AY43" s="195" t="str">
        <f>IF(ISBLANK(AX43),"", AX43*AX38)</f>
        <v/>
      </c>
      <c r="AZ43" s="196"/>
      <c r="BA43" s="195" t="str">
        <f>IF(ISBLANK(AZ43),"", AZ43*AZ38)</f>
        <v/>
      </c>
      <c r="BB43" s="190">
        <v>169</v>
      </c>
      <c r="BC43" s="195">
        <f>IF(ISBLANK(BB43),"", BB43*BB38)</f>
        <v>308763</v>
      </c>
      <c r="BD43" s="192">
        <f t="shared" si="29"/>
        <v>308763</v>
      </c>
      <c r="BE43" s="193">
        <f t="shared" si="30"/>
        <v>10402459</v>
      </c>
      <c r="BF43" s="194">
        <f>BE43/BE59</f>
        <v>0.1237942537937986</v>
      </c>
    </row>
    <row r="44" spans="1:58" x14ac:dyDescent="0.25">
      <c r="A44" s="122" t="s">
        <v>59</v>
      </c>
      <c r="B44" s="190"/>
      <c r="C44" s="195" t="str">
        <f>IF(ISBLANK(B44),"", B44*B38)</f>
        <v/>
      </c>
      <c r="D44" s="196"/>
      <c r="E44" s="195" t="str">
        <f>IF(ISBLANK(D44),"", D44*D38)</f>
        <v/>
      </c>
      <c r="F44" s="196">
        <v>100</v>
      </c>
      <c r="G44" s="195">
        <f>IF(ISBLANK(F44),"", F44*F38)</f>
        <v>584700</v>
      </c>
      <c r="H44" s="196">
        <v>0</v>
      </c>
      <c r="I44" s="195">
        <f>IF(ISBLANK(H44),"", H44*H38)</f>
        <v>0</v>
      </c>
      <c r="J44" s="190">
        <v>0</v>
      </c>
      <c r="K44" s="195">
        <f>IF(ISBLANK(J44),"", J44*J38)</f>
        <v>0</v>
      </c>
      <c r="L44" s="191">
        <f t="shared" si="23"/>
        <v>584700</v>
      </c>
      <c r="M44" s="190"/>
      <c r="N44" s="195" t="str">
        <f>IF(ISBLANK(M44),"", M44*M38)</f>
        <v/>
      </c>
      <c r="O44" s="196"/>
      <c r="P44" s="195" t="str">
        <f>IF(ISBLANK(O44),"", O44*O38)</f>
        <v/>
      </c>
      <c r="Q44" s="196">
        <v>96</v>
      </c>
      <c r="R44" s="195">
        <f>IF(ISBLANK(Q44),"", Q44*Q38)</f>
        <v>420960</v>
      </c>
      <c r="S44" s="191">
        <f t="shared" si="24"/>
        <v>420960</v>
      </c>
      <c r="T44" s="196"/>
      <c r="U44" s="195" t="str">
        <f>IF(ISBLANK(T44),"", T44*T38)</f>
        <v/>
      </c>
      <c r="V44" s="196"/>
      <c r="W44" s="195" t="str">
        <f>IF(ISBLANK(V44),"", V44*V38)</f>
        <v/>
      </c>
      <c r="X44" s="190"/>
      <c r="Y44" s="195" t="str">
        <f>IF(ISBLANK(X44),"", X44*X38)</f>
        <v/>
      </c>
      <c r="Z44" s="191">
        <f t="shared" si="25"/>
        <v>0</v>
      </c>
      <c r="AA44" s="190"/>
      <c r="AB44" s="195" t="str">
        <f>IF(ISBLANK(AA44),"", AA44*AA38)</f>
        <v/>
      </c>
      <c r="AC44" s="196"/>
      <c r="AD44" s="195" t="str">
        <f>IF(ISBLANK(AC44),"", AC44*AC38)</f>
        <v/>
      </c>
      <c r="AE44" s="196">
        <v>110</v>
      </c>
      <c r="AF44" s="195">
        <f>IF(ISBLANK(AE44),"", AE44*AE38)</f>
        <v>64350</v>
      </c>
      <c r="AG44" s="196"/>
      <c r="AH44" s="195" t="str">
        <f>IF(ISBLANK(AG44),"", AG44*AG38)</f>
        <v/>
      </c>
      <c r="AI44" s="190">
        <v>112</v>
      </c>
      <c r="AJ44" s="195">
        <f>IF(ISBLANK(AI44),"", AI44*AI38)</f>
        <v>122752</v>
      </c>
      <c r="AK44" s="191">
        <f t="shared" si="26"/>
        <v>187102</v>
      </c>
      <c r="AL44" s="196"/>
      <c r="AM44" s="195" t="str">
        <f>IF(ISBLANK(AL44),"", AL44*AL38)</f>
        <v/>
      </c>
      <c r="AN44" s="196"/>
      <c r="AO44" s="195" t="str">
        <f>IF(ISBLANK(AN44),"", AN44*AN38)</f>
        <v/>
      </c>
      <c r="AP44" s="190"/>
      <c r="AQ44" s="195" t="str">
        <f>IF(ISBLANK(AP44),"", AP44*AP38)</f>
        <v/>
      </c>
      <c r="AR44" s="191">
        <f t="shared" si="27"/>
        <v>0</v>
      </c>
      <c r="AS44" s="196"/>
      <c r="AT44" s="195" t="str">
        <f>IF(ISBLANK(AS44),"", AS44*AS38)</f>
        <v/>
      </c>
      <c r="AU44" s="196">
        <v>19</v>
      </c>
      <c r="AV44" s="195">
        <f>IF(ISBLANK(AU44),"", AU44*AU38)</f>
        <v>319371</v>
      </c>
      <c r="AW44" s="191">
        <f t="shared" si="28"/>
        <v>319371</v>
      </c>
      <c r="AX44" s="196"/>
      <c r="AY44" s="195" t="str">
        <f>IF(ISBLANK(AX44),"", AX44*AX38)</f>
        <v/>
      </c>
      <c r="AZ44" s="196">
        <v>45</v>
      </c>
      <c r="BA44" s="195">
        <f>IF(ISBLANK(AZ44),"", AZ44*AZ38)</f>
        <v>65790</v>
      </c>
      <c r="BB44" s="190"/>
      <c r="BC44" s="195" t="str">
        <f>IF(ISBLANK(BB44),"", BB44*BB38)</f>
        <v/>
      </c>
      <c r="BD44" s="192">
        <f t="shared" si="29"/>
        <v>65790</v>
      </c>
      <c r="BE44" s="193">
        <f t="shared" si="30"/>
        <v>1577923</v>
      </c>
      <c r="BF44" s="194">
        <f>BE44/BE59</f>
        <v>1.8778040877553286E-2</v>
      </c>
    </row>
    <row r="45" spans="1:58" ht="15.75" customHeight="1" thickBot="1" x14ac:dyDescent="0.3">
      <c r="A45" s="122" t="s">
        <v>60</v>
      </c>
      <c r="B45" s="190"/>
      <c r="C45" s="195" t="str">
        <f>IF(ISBLANK(B45),"", B45*B38)</f>
        <v/>
      </c>
      <c r="D45" s="196"/>
      <c r="E45" s="195" t="str">
        <f>IF(ISBLANK(D45),"", D45*D38)</f>
        <v/>
      </c>
      <c r="F45" s="196">
        <v>67</v>
      </c>
      <c r="G45" s="195">
        <f>IF(ISBLANK(F45),"", F45*F38)</f>
        <v>391749</v>
      </c>
      <c r="H45" s="196">
        <v>0</v>
      </c>
      <c r="I45" s="195">
        <f>IF(ISBLANK(H45),"", H45*H38)</f>
        <v>0</v>
      </c>
      <c r="J45" s="190">
        <v>0</v>
      </c>
      <c r="K45" s="195">
        <f>IF(ISBLANK(J45),"", J45*J38)</f>
        <v>0</v>
      </c>
      <c r="L45" s="191">
        <f t="shared" si="23"/>
        <v>391749</v>
      </c>
      <c r="M45" s="190"/>
      <c r="N45" s="195" t="str">
        <f>IF(ISBLANK(M45),"", M45*M38)</f>
        <v/>
      </c>
      <c r="O45" s="196"/>
      <c r="P45" s="195" t="str">
        <f>IF(ISBLANK(O45),"", O45*O38)</f>
        <v/>
      </c>
      <c r="Q45" s="196">
        <v>103</v>
      </c>
      <c r="R45" s="195">
        <f>IF(ISBLANK(Q45),"", Q45*Q38)</f>
        <v>451655</v>
      </c>
      <c r="S45" s="191">
        <f t="shared" si="24"/>
        <v>451655</v>
      </c>
      <c r="T45" s="196"/>
      <c r="U45" s="195" t="str">
        <f>IF(ISBLANK(T45),"", T45*T38)</f>
        <v/>
      </c>
      <c r="V45" s="196"/>
      <c r="W45" s="195" t="str">
        <f>IF(ISBLANK(V45),"", V45*V38)</f>
        <v/>
      </c>
      <c r="X45" s="190"/>
      <c r="Y45" s="195" t="str">
        <f>IF(ISBLANK(X45),"", X45*X38)</f>
        <v/>
      </c>
      <c r="Z45" s="191">
        <f t="shared" si="25"/>
        <v>0</v>
      </c>
      <c r="AA45" s="190"/>
      <c r="AB45" s="195" t="str">
        <f>IF(ISBLANK(AA45),"", AA45*AA38)</f>
        <v/>
      </c>
      <c r="AC45" s="196"/>
      <c r="AD45" s="195" t="str">
        <f>IF(ISBLANK(AC45),"", AC45*AC38)</f>
        <v/>
      </c>
      <c r="AE45" s="196">
        <v>116</v>
      </c>
      <c r="AF45" s="195">
        <f>IF(ISBLANK(AE45),"", AE45*AE38)</f>
        <v>67860</v>
      </c>
      <c r="AG45" s="196"/>
      <c r="AH45" s="195" t="str">
        <f>IF(ISBLANK(AG45),"", AG45*AG38)</f>
        <v/>
      </c>
      <c r="AI45" s="190">
        <v>81</v>
      </c>
      <c r="AJ45" s="195">
        <f>IF(ISBLANK(AI45),"", AI45*AI38)</f>
        <v>88776</v>
      </c>
      <c r="AK45" s="191">
        <f t="shared" si="26"/>
        <v>156636</v>
      </c>
      <c r="AL45" s="196"/>
      <c r="AM45" s="195" t="str">
        <f>IF(ISBLANK(AL45),"", AL45*AL38)</f>
        <v/>
      </c>
      <c r="AN45" s="196"/>
      <c r="AO45" s="195" t="str">
        <f>IF(ISBLANK(AN45),"", AN45*AN38)</f>
        <v/>
      </c>
      <c r="AP45" s="190"/>
      <c r="AQ45" s="195" t="str">
        <f>IF(ISBLANK(AP45),"", AP45*AP38)</f>
        <v/>
      </c>
      <c r="AR45" s="191">
        <f t="shared" si="27"/>
        <v>0</v>
      </c>
      <c r="AS45" s="196"/>
      <c r="AT45" s="195" t="str">
        <f>IF(ISBLANK(AS45),"", AS45*AS38)</f>
        <v/>
      </c>
      <c r="AU45" s="196">
        <v>0</v>
      </c>
      <c r="AV45" s="195">
        <f>IF(ISBLANK(AU45),"", AU45*AU38)</f>
        <v>0</v>
      </c>
      <c r="AW45" s="191">
        <f t="shared" si="28"/>
        <v>0</v>
      </c>
      <c r="AX45" s="196"/>
      <c r="AY45" s="195" t="str">
        <f>IF(ISBLANK(AX45),"", AX45*AX38)</f>
        <v/>
      </c>
      <c r="AZ45" s="196">
        <v>33</v>
      </c>
      <c r="BA45" s="195">
        <f>IF(ISBLANK(AZ45),"", AZ45*AZ38)</f>
        <v>48246</v>
      </c>
      <c r="BB45" s="190"/>
      <c r="BC45" s="195" t="str">
        <f>IF(ISBLANK(BB45),"", BB45*BB38)</f>
        <v/>
      </c>
      <c r="BD45" s="192">
        <f t="shared" si="29"/>
        <v>48246</v>
      </c>
      <c r="BE45" s="197">
        <f t="shared" si="30"/>
        <v>1048286</v>
      </c>
      <c r="BF45" s="198">
        <f>BE45/BE59</f>
        <v>1.2475106427478922E-2</v>
      </c>
    </row>
    <row r="46" spans="1:58" ht="15.75" customHeight="1" thickTop="1" x14ac:dyDescent="0.25">
      <c r="A46" s="199" t="s">
        <v>131</v>
      </c>
      <c r="B46" s="200" t="str">
        <f t="shared" ref="B46:K46" si="31">IF(COUNT(B39:B45) = 0, "", SUM(B39:B45))</f>
        <v/>
      </c>
      <c r="C46" s="201" t="str">
        <f t="shared" si="31"/>
        <v/>
      </c>
      <c r="D46" s="202" t="str">
        <f t="shared" si="31"/>
        <v/>
      </c>
      <c r="E46" s="201" t="str">
        <f t="shared" si="31"/>
        <v/>
      </c>
      <c r="F46" s="202">
        <f t="shared" si="31"/>
        <v>1510</v>
      </c>
      <c r="G46" s="201">
        <f t="shared" si="31"/>
        <v>8828970</v>
      </c>
      <c r="H46" s="202">
        <f t="shared" si="31"/>
        <v>211</v>
      </c>
      <c r="I46" s="201">
        <f t="shared" si="31"/>
        <v>616753</v>
      </c>
      <c r="J46" s="200">
        <f t="shared" si="31"/>
        <v>0</v>
      </c>
      <c r="K46" s="201">
        <f t="shared" si="31"/>
        <v>0</v>
      </c>
      <c r="L46" s="203">
        <f>SUM(L39:L45)</f>
        <v>9445723</v>
      </c>
      <c r="M46" s="200" t="str">
        <f t="shared" ref="M46:R46" si="32">IF(COUNT(M39:M45) = 0, "", SUM(M39:M45))</f>
        <v/>
      </c>
      <c r="N46" s="201" t="str">
        <f t="shared" si="32"/>
        <v/>
      </c>
      <c r="O46" s="202" t="str">
        <f t="shared" si="32"/>
        <v/>
      </c>
      <c r="P46" s="201" t="str">
        <f t="shared" si="32"/>
        <v/>
      </c>
      <c r="Q46" s="202">
        <f t="shared" si="32"/>
        <v>1271</v>
      </c>
      <c r="R46" s="201">
        <f t="shared" si="32"/>
        <v>5573335</v>
      </c>
      <c r="S46" s="203">
        <f>SUM(S39:S45)</f>
        <v>5573335</v>
      </c>
      <c r="T46" s="202">
        <f t="shared" ref="T46:Y46" si="33">IF(COUNT(T39:T45) = 0, "", SUM(T39:T45))</f>
        <v>433</v>
      </c>
      <c r="U46" s="201">
        <f t="shared" si="33"/>
        <v>6329161</v>
      </c>
      <c r="V46" s="202">
        <f t="shared" si="33"/>
        <v>37</v>
      </c>
      <c r="W46" s="201">
        <f t="shared" si="33"/>
        <v>378584</v>
      </c>
      <c r="X46" s="200">
        <f t="shared" si="33"/>
        <v>3</v>
      </c>
      <c r="Y46" s="201">
        <f t="shared" si="33"/>
        <v>15348</v>
      </c>
      <c r="Z46" s="203">
        <f>SUM(Z39:Z45)</f>
        <v>6723093</v>
      </c>
      <c r="AA46" s="200" t="str">
        <f t="shared" ref="AA46:AJ46" si="34">IF(COUNT(AA39:AA45) = 0, "", SUM(AA39:AA45))</f>
        <v/>
      </c>
      <c r="AB46" s="201" t="str">
        <f t="shared" si="34"/>
        <v/>
      </c>
      <c r="AC46" s="202" t="str">
        <f t="shared" si="34"/>
        <v/>
      </c>
      <c r="AD46" s="201" t="str">
        <f t="shared" si="34"/>
        <v/>
      </c>
      <c r="AE46" s="202">
        <f t="shared" si="34"/>
        <v>631</v>
      </c>
      <c r="AF46" s="201">
        <f t="shared" si="34"/>
        <v>369135</v>
      </c>
      <c r="AG46" s="202" t="str">
        <f t="shared" si="34"/>
        <v/>
      </c>
      <c r="AH46" s="201" t="str">
        <f t="shared" si="34"/>
        <v/>
      </c>
      <c r="AI46" s="200">
        <f t="shared" si="34"/>
        <v>415</v>
      </c>
      <c r="AJ46" s="201">
        <f t="shared" si="34"/>
        <v>454840</v>
      </c>
      <c r="AK46" s="203">
        <f>SUM(AK39:AK45)</f>
        <v>823975</v>
      </c>
      <c r="AL46" s="202" t="str">
        <f t="shared" ref="AL46:AQ46" si="35">IF(COUNT(AL39:AL45) = 0, "", SUM(AL39:AL45))</f>
        <v/>
      </c>
      <c r="AM46" s="201" t="str">
        <f t="shared" si="35"/>
        <v/>
      </c>
      <c r="AN46" s="202" t="str">
        <f t="shared" si="35"/>
        <v/>
      </c>
      <c r="AO46" s="201" t="str">
        <f t="shared" si="35"/>
        <v/>
      </c>
      <c r="AP46" s="200" t="str">
        <f t="shared" si="35"/>
        <v/>
      </c>
      <c r="AQ46" s="201" t="str">
        <f t="shared" si="35"/>
        <v/>
      </c>
      <c r="AR46" s="203">
        <f>SUM(AR39:AR45)</f>
        <v>0</v>
      </c>
      <c r="AS46" s="202" t="str">
        <f>IF(COUNT(AS39:AS45) = 0, "", SUM(AS39:AS45))</f>
        <v/>
      </c>
      <c r="AT46" s="201" t="str">
        <f>IF(COUNT(AT39:AT45) = 0, "", SUM(AT39:AT45))</f>
        <v/>
      </c>
      <c r="AU46" s="202">
        <f>IF(COUNT(AU39:AU45) = 0, "", SUM(AU39:AU45))</f>
        <v>722</v>
      </c>
      <c r="AV46" s="201">
        <f>IF(COUNT(AV39:AV45) = 0, "", SUM(AV39:AV45))</f>
        <v>12136098</v>
      </c>
      <c r="AW46" s="203">
        <f>SUM(AW39:AW45)</f>
        <v>12136098</v>
      </c>
      <c r="AX46" s="202" t="str">
        <f t="shared" ref="AX46:BC46" si="36">IF(COUNT(AX39:AX45) = 0, "", SUM(AX39:AX45))</f>
        <v/>
      </c>
      <c r="AY46" s="201" t="str">
        <f t="shared" si="36"/>
        <v/>
      </c>
      <c r="AZ46" s="202">
        <f t="shared" si="36"/>
        <v>100</v>
      </c>
      <c r="BA46" s="201">
        <f t="shared" si="36"/>
        <v>146200</v>
      </c>
      <c r="BB46" s="200">
        <f t="shared" si="36"/>
        <v>433</v>
      </c>
      <c r="BC46" s="201">
        <f t="shared" si="36"/>
        <v>791091</v>
      </c>
      <c r="BD46" s="204">
        <f>SUM(BD39:BD45)</f>
        <v>937291</v>
      </c>
      <c r="BE46" s="205">
        <f t="shared" si="30"/>
        <v>35639515</v>
      </c>
      <c r="BF46" s="206">
        <f>BE46/BE59</f>
        <v>0.42412733037427902</v>
      </c>
    </row>
    <row r="47" spans="1:58" x14ac:dyDescent="0.25">
      <c r="A47" s="207"/>
      <c r="B47" s="208"/>
      <c r="C47" s="209"/>
      <c r="D47" s="210"/>
      <c r="E47" s="209"/>
      <c r="F47" s="210"/>
      <c r="G47" s="209"/>
      <c r="H47" s="210"/>
      <c r="I47" s="209"/>
      <c r="J47" s="208"/>
      <c r="K47" s="209"/>
      <c r="L47" s="211"/>
      <c r="M47" s="208"/>
      <c r="N47" s="209"/>
      <c r="O47" s="210"/>
      <c r="P47" s="209"/>
      <c r="Q47" s="210"/>
      <c r="R47" s="209"/>
      <c r="S47" s="211"/>
      <c r="T47" s="210"/>
      <c r="U47" s="209"/>
      <c r="V47" s="210"/>
      <c r="W47" s="209"/>
      <c r="X47" s="208"/>
      <c r="Y47" s="209"/>
      <c r="Z47" s="211"/>
      <c r="AA47" s="208"/>
      <c r="AB47" s="209"/>
      <c r="AC47" s="210"/>
      <c r="AD47" s="209"/>
      <c r="AE47" s="210"/>
      <c r="AF47" s="209"/>
      <c r="AG47" s="210"/>
      <c r="AH47" s="209"/>
      <c r="AI47" s="208"/>
      <c r="AJ47" s="209"/>
      <c r="AK47" s="211"/>
      <c r="AL47" s="210"/>
      <c r="AM47" s="209"/>
      <c r="AN47" s="210"/>
      <c r="AO47" s="209"/>
      <c r="AP47" s="208"/>
      <c r="AQ47" s="209"/>
      <c r="AR47" s="211"/>
      <c r="AS47" s="210"/>
      <c r="AT47" s="209"/>
      <c r="AU47" s="210"/>
      <c r="AV47" s="209"/>
      <c r="AW47" s="211"/>
      <c r="AX47" s="210"/>
      <c r="AY47" s="209"/>
      <c r="AZ47" s="210"/>
      <c r="BA47" s="209"/>
      <c r="BB47" s="208"/>
      <c r="BC47" s="209"/>
      <c r="BD47" s="212"/>
      <c r="BE47" s="213"/>
      <c r="BF47" s="214"/>
    </row>
    <row r="48" spans="1:58" x14ac:dyDescent="0.25">
      <c r="A48" s="122" t="s">
        <v>65</v>
      </c>
      <c r="B48" s="190"/>
      <c r="C48" s="195" t="str">
        <f>IF(ISBLANK(B48),"", B48*B38)</f>
        <v/>
      </c>
      <c r="D48" s="196"/>
      <c r="E48" s="195" t="str">
        <f>IF(ISBLANK(D48),"", D48*D38)</f>
        <v/>
      </c>
      <c r="F48" s="196">
        <v>124</v>
      </c>
      <c r="G48" s="195">
        <f>IF(ISBLANK(F48),"", F48*F38)</f>
        <v>725028</v>
      </c>
      <c r="H48" s="196">
        <v>53</v>
      </c>
      <c r="I48" s="195">
        <f>IF(ISBLANK(H48),"", H48*H38)</f>
        <v>154919</v>
      </c>
      <c r="J48" s="190">
        <v>18</v>
      </c>
      <c r="K48" s="195">
        <f>IF(ISBLANK(J48),"", J48*J38)</f>
        <v>26316</v>
      </c>
      <c r="L48" s="191">
        <f>SUM(C48,E48,G48,I48,K48)</f>
        <v>906263</v>
      </c>
      <c r="M48" s="190"/>
      <c r="N48" s="195" t="str">
        <f>IF(ISBLANK(M48),"", M48*M38)</f>
        <v/>
      </c>
      <c r="O48" s="196"/>
      <c r="P48" s="195" t="str">
        <f>IF(ISBLANK(O48),"", O48*O38)</f>
        <v/>
      </c>
      <c r="Q48" s="196">
        <v>366</v>
      </c>
      <c r="R48" s="195">
        <f>IF(ISBLANK(Q48),"", Q48*Q38)</f>
        <v>1604910</v>
      </c>
      <c r="S48" s="191">
        <f>SUM(N48,P48,R48)</f>
        <v>1604910</v>
      </c>
      <c r="T48" s="196">
        <v>86</v>
      </c>
      <c r="U48" s="195">
        <f>IF(ISBLANK(T48),"", T48*T38)</f>
        <v>1257062</v>
      </c>
      <c r="V48" s="196">
        <v>83</v>
      </c>
      <c r="W48" s="195">
        <f>IF(ISBLANK(V48),"", V48*V38)</f>
        <v>849256</v>
      </c>
      <c r="X48" s="190">
        <v>15</v>
      </c>
      <c r="Y48" s="195">
        <f>IF(ISBLANK(X48),"", X48*X38)</f>
        <v>76740</v>
      </c>
      <c r="Z48" s="191">
        <f>SUM(U48,W48,Y48)</f>
        <v>2183058</v>
      </c>
      <c r="AA48" s="190"/>
      <c r="AB48" s="195" t="str">
        <f>IF(ISBLANK(AA48),"", AA48*AA38)</f>
        <v/>
      </c>
      <c r="AC48" s="196"/>
      <c r="AD48" s="195" t="str">
        <f>IF(ISBLANK(AC48),"", AC48*AC38)</f>
        <v/>
      </c>
      <c r="AE48" s="196"/>
      <c r="AF48" s="195" t="str">
        <f>IF(ISBLANK(AE48),"", AE48*AE38)</f>
        <v/>
      </c>
      <c r="AG48" s="196"/>
      <c r="AH48" s="195" t="str">
        <f>IF(ISBLANK(AG48),"", AG48*AG38)</f>
        <v/>
      </c>
      <c r="AI48" s="190"/>
      <c r="AJ48" s="195" t="str">
        <f>IF(ISBLANK(AI48),"", AI48*AI38)</f>
        <v/>
      </c>
      <c r="AK48" s="191">
        <f>SUM(AB48,AD48,AF48,AH48,AJ48)</f>
        <v>0</v>
      </c>
      <c r="AL48" s="196"/>
      <c r="AM48" s="195" t="str">
        <f>IF(ISBLANK(AL48),"", AL48*AL38)</f>
        <v/>
      </c>
      <c r="AN48" s="196"/>
      <c r="AO48" s="195" t="str">
        <f>IF(ISBLANK(AN48),"", AN48*AN38)</f>
        <v/>
      </c>
      <c r="AP48" s="190"/>
      <c r="AQ48" s="195" t="str">
        <f>IF(ISBLANK(AP48),"", AP48*AP38)</f>
        <v/>
      </c>
      <c r="AR48" s="191">
        <f>SUM(AM48,AO48,AQ48)</f>
        <v>0</v>
      </c>
      <c r="AS48" s="196"/>
      <c r="AT48" s="195" t="str">
        <f>IF(ISBLANK(AS48),"", AS48*AS38)</f>
        <v/>
      </c>
      <c r="AU48" s="196">
        <v>35</v>
      </c>
      <c r="AV48" s="195">
        <f>IF(ISBLANK(AU48),"", AU48*AU38)</f>
        <v>588315</v>
      </c>
      <c r="AW48" s="191">
        <f>SUM(AT48,AV48)</f>
        <v>588315</v>
      </c>
      <c r="AX48" s="196"/>
      <c r="AY48" s="195" t="str">
        <f>IF(ISBLANK(AX48),"", AX48*AX38)</f>
        <v/>
      </c>
      <c r="AZ48" s="196"/>
      <c r="BA48" s="195" t="str">
        <f>IF(ISBLANK(AZ48),"", AZ48*AZ38)</f>
        <v/>
      </c>
      <c r="BB48" s="190">
        <v>171</v>
      </c>
      <c r="BC48" s="195">
        <f>IF(ISBLANK(BB48),"", BB48*BB38)</f>
        <v>312417</v>
      </c>
      <c r="BD48" s="192">
        <f>SUM(AY48,BA48,BC48)</f>
        <v>312417</v>
      </c>
      <c r="BE48" s="193">
        <f>SUM(L48,S48,Z48,AK48,AR48,AW48,BD48)</f>
        <v>5594963</v>
      </c>
      <c r="BF48" s="194">
        <f>BE48/BE59</f>
        <v>6.6582744482714409E-2</v>
      </c>
    </row>
    <row r="49" spans="1:58" x14ac:dyDescent="0.25">
      <c r="A49" s="122" t="s">
        <v>66</v>
      </c>
      <c r="B49" s="190"/>
      <c r="C49" s="195" t="str">
        <f>IF(ISBLANK(B49),"", B49*B38)</f>
        <v/>
      </c>
      <c r="D49" s="196"/>
      <c r="E49" s="195" t="str">
        <f>IF(ISBLANK(D49),"", D49*D38)</f>
        <v/>
      </c>
      <c r="F49" s="196">
        <v>106</v>
      </c>
      <c r="G49" s="195">
        <f>IF(ISBLANK(F49),"", F49*F38)</f>
        <v>619782</v>
      </c>
      <c r="H49" s="196">
        <v>41</v>
      </c>
      <c r="I49" s="195">
        <f>IF(ISBLANK(H49),"", H49*H38)</f>
        <v>119843</v>
      </c>
      <c r="J49" s="190">
        <v>0</v>
      </c>
      <c r="K49" s="195">
        <f>IF(ISBLANK(J49),"", J49*J38)</f>
        <v>0</v>
      </c>
      <c r="L49" s="191">
        <f>SUM(C49,E49,G49,I49,K49)</f>
        <v>739625</v>
      </c>
      <c r="M49" s="190"/>
      <c r="N49" s="195" t="str">
        <f>IF(ISBLANK(M49),"", M49*M38)</f>
        <v/>
      </c>
      <c r="O49" s="196"/>
      <c r="P49" s="195" t="str">
        <f>IF(ISBLANK(O49),"", O49*O38)</f>
        <v/>
      </c>
      <c r="Q49" s="196">
        <v>90</v>
      </c>
      <c r="R49" s="195">
        <f>IF(ISBLANK(Q49),"", Q49*Q38)</f>
        <v>394650</v>
      </c>
      <c r="S49" s="191">
        <f>SUM(N49,P49,R49)</f>
        <v>394650</v>
      </c>
      <c r="T49" s="196"/>
      <c r="U49" s="195" t="str">
        <f>IF(ISBLANK(T49),"", T49*T38)</f>
        <v/>
      </c>
      <c r="V49" s="196"/>
      <c r="W49" s="195" t="str">
        <f>IF(ISBLANK(V49),"", V49*V38)</f>
        <v/>
      </c>
      <c r="X49" s="190"/>
      <c r="Y49" s="195" t="str">
        <f>IF(ISBLANK(X49),"", X49*X38)</f>
        <v/>
      </c>
      <c r="Z49" s="191">
        <f>SUM(U49,W49,Y49)</f>
        <v>0</v>
      </c>
      <c r="AA49" s="190"/>
      <c r="AB49" s="195" t="str">
        <f>IF(ISBLANK(AA49),"", AA49*AA38)</f>
        <v/>
      </c>
      <c r="AC49" s="196"/>
      <c r="AD49" s="195" t="str">
        <f>IF(ISBLANK(AC49),"", AC49*AC38)</f>
        <v/>
      </c>
      <c r="AE49" s="196">
        <v>0</v>
      </c>
      <c r="AF49" s="195">
        <f>IF(ISBLANK(AE49),"", AE49*AE38)</f>
        <v>0</v>
      </c>
      <c r="AG49" s="196"/>
      <c r="AH49" s="195" t="str">
        <f>IF(ISBLANK(AG49),"", AG49*AG38)</f>
        <v/>
      </c>
      <c r="AI49" s="190">
        <v>0</v>
      </c>
      <c r="AJ49" s="195">
        <f>IF(ISBLANK(AI49),"", AI49*AI38)</f>
        <v>0</v>
      </c>
      <c r="AK49" s="191">
        <f>SUM(AB49,AD49,AF49,AH49,AJ49)</f>
        <v>0</v>
      </c>
      <c r="AL49" s="196"/>
      <c r="AM49" s="195" t="str">
        <f>IF(ISBLANK(AL49),"", AL49*AL38)</f>
        <v/>
      </c>
      <c r="AN49" s="196"/>
      <c r="AO49" s="195" t="str">
        <f>IF(ISBLANK(AN49),"", AN49*AN38)</f>
        <v/>
      </c>
      <c r="AP49" s="190"/>
      <c r="AQ49" s="195" t="str">
        <f>IF(ISBLANK(AP49),"", AP49*AP38)</f>
        <v/>
      </c>
      <c r="AR49" s="191">
        <f>SUM(AM49,AO49,AQ49)</f>
        <v>0</v>
      </c>
      <c r="AS49" s="196"/>
      <c r="AT49" s="195" t="str">
        <f>IF(ISBLANK(AS49),"", AS49*AS38)</f>
        <v/>
      </c>
      <c r="AU49" s="196">
        <v>19</v>
      </c>
      <c r="AV49" s="195">
        <f>IF(ISBLANK(AU49),"", AU49*AU38)</f>
        <v>319371</v>
      </c>
      <c r="AW49" s="191">
        <f>SUM(AT49,AV49)</f>
        <v>319371</v>
      </c>
      <c r="AX49" s="196"/>
      <c r="AY49" s="195" t="str">
        <f>IF(ISBLANK(AX49),"", AX49*AX38)</f>
        <v/>
      </c>
      <c r="AZ49" s="196"/>
      <c r="BA49" s="195" t="str">
        <f>IF(ISBLANK(AZ49),"", AZ49*AZ38)</f>
        <v/>
      </c>
      <c r="BB49" s="190">
        <v>48</v>
      </c>
      <c r="BC49" s="195">
        <f>IF(ISBLANK(BB49),"", BB49*BB38)</f>
        <v>87696</v>
      </c>
      <c r="BD49" s="192">
        <f>SUM(AY49,BA49,BC49)</f>
        <v>87696</v>
      </c>
      <c r="BE49" s="193">
        <f>SUM(L49,S49,Z49,AK49,AR49,AW49,BD49)</f>
        <v>1541342</v>
      </c>
      <c r="BF49" s="194">
        <f>BE49/BE59</f>
        <v>1.8342709423900747E-2</v>
      </c>
    </row>
    <row r="50" spans="1:58" x14ac:dyDescent="0.25">
      <c r="A50" s="122" t="s">
        <v>67</v>
      </c>
      <c r="B50" s="190"/>
      <c r="C50" s="195" t="str">
        <f>IF(ISBLANK(B50),"", B50*B38)</f>
        <v/>
      </c>
      <c r="D50" s="196"/>
      <c r="E50" s="195" t="str">
        <f>IF(ISBLANK(D50),"", D50*D38)</f>
        <v/>
      </c>
      <c r="F50" s="196">
        <v>89</v>
      </c>
      <c r="G50" s="195">
        <f>IF(ISBLANK(F50),"", F50*F38)</f>
        <v>520383</v>
      </c>
      <c r="H50" s="196">
        <v>0</v>
      </c>
      <c r="I50" s="195">
        <f>IF(ISBLANK(H50),"", H50*H38)</f>
        <v>0</v>
      </c>
      <c r="J50" s="190">
        <v>0</v>
      </c>
      <c r="K50" s="195">
        <f>IF(ISBLANK(J50),"", J50*J38)</f>
        <v>0</v>
      </c>
      <c r="L50" s="191">
        <f>SUM(C50,E50,G50,I50,K50)</f>
        <v>520383</v>
      </c>
      <c r="M50" s="190"/>
      <c r="N50" s="195" t="str">
        <f>IF(ISBLANK(M50),"", M50*M38)</f>
        <v/>
      </c>
      <c r="O50" s="196"/>
      <c r="P50" s="195" t="str">
        <f>IF(ISBLANK(O50),"", O50*O38)</f>
        <v/>
      </c>
      <c r="Q50" s="196">
        <v>76</v>
      </c>
      <c r="R50" s="195">
        <f>IF(ISBLANK(Q50),"", Q50*Q38)</f>
        <v>333260</v>
      </c>
      <c r="S50" s="191">
        <f>SUM(N50,P50,R50)</f>
        <v>333260</v>
      </c>
      <c r="T50" s="196"/>
      <c r="U50" s="195" t="str">
        <f>IF(ISBLANK(T50),"", T50*T38)</f>
        <v/>
      </c>
      <c r="V50" s="196"/>
      <c r="W50" s="195" t="str">
        <f>IF(ISBLANK(V50),"", V50*V38)</f>
        <v/>
      </c>
      <c r="X50" s="190"/>
      <c r="Y50" s="195" t="str">
        <f>IF(ISBLANK(X50),"", X50*X38)</f>
        <v/>
      </c>
      <c r="Z50" s="191">
        <f>SUM(U50,W50,Y50)</f>
        <v>0</v>
      </c>
      <c r="AA50" s="190"/>
      <c r="AB50" s="195" t="str">
        <f>IF(ISBLANK(AA50),"", AA50*AA38)</f>
        <v/>
      </c>
      <c r="AC50" s="196"/>
      <c r="AD50" s="195" t="str">
        <f>IF(ISBLANK(AC50),"", AC50*AC38)</f>
        <v/>
      </c>
      <c r="AE50" s="196">
        <v>0</v>
      </c>
      <c r="AF50" s="195">
        <f>IF(ISBLANK(AE50),"", AE50*AE38)</f>
        <v>0</v>
      </c>
      <c r="AG50" s="196"/>
      <c r="AH50" s="195" t="str">
        <f>IF(ISBLANK(AG50),"", AG50*AG38)</f>
        <v/>
      </c>
      <c r="AI50" s="190">
        <v>0</v>
      </c>
      <c r="AJ50" s="195">
        <f>IF(ISBLANK(AI50),"", AI50*AI38)</f>
        <v>0</v>
      </c>
      <c r="AK50" s="191">
        <f>SUM(AB50,AD50,AF50,AH50,AJ50)</f>
        <v>0</v>
      </c>
      <c r="AL50" s="196"/>
      <c r="AM50" s="195" t="str">
        <f>IF(ISBLANK(AL50),"", AL50*AL38)</f>
        <v/>
      </c>
      <c r="AN50" s="196"/>
      <c r="AO50" s="195" t="str">
        <f>IF(ISBLANK(AN50),"", AN50*AN38)</f>
        <v/>
      </c>
      <c r="AP50" s="190"/>
      <c r="AQ50" s="195" t="str">
        <f>IF(ISBLANK(AP50),"", AP50*AP38)</f>
        <v/>
      </c>
      <c r="AR50" s="191">
        <f>SUM(AM50,AO50,AQ50)</f>
        <v>0</v>
      </c>
      <c r="AS50" s="196"/>
      <c r="AT50" s="195" t="str">
        <f>IF(ISBLANK(AS50),"", AS50*AS38)</f>
        <v/>
      </c>
      <c r="AU50" s="196">
        <v>0</v>
      </c>
      <c r="AV50" s="195">
        <f>IF(ISBLANK(AU50),"", AU50*AU38)</f>
        <v>0</v>
      </c>
      <c r="AW50" s="191">
        <f>SUM(AT50,AV50)</f>
        <v>0</v>
      </c>
      <c r="AX50" s="196"/>
      <c r="AY50" s="195" t="str">
        <f>IF(ISBLANK(AX50),"", AX50*AX38)</f>
        <v/>
      </c>
      <c r="AZ50" s="196"/>
      <c r="BA50" s="195" t="str">
        <f>IF(ISBLANK(AZ50),"", AZ50*AZ38)</f>
        <v/>
      </c>
      <c r="BB50" s="190">
        <v>27</v>
      </c>
      <c r="BC50" s="195">
        <f>IF(ISBLANK(BB50),"", BB50*BB38)</f>
        <v>49329</v>
      </c>
      <c r="BD50" s="192">
        <f>SUM(AY50,BA50,BC50)</f>
        <v>49329</v>
      </c>
      <c r="BE50" s="193">
        <f>SUM(L50,S50,Z50,AK50,AR50,AW50,BD50)</f>
        <v>902972</v>
      </c>
      <c r="BF50" s="194">
        <f>BE50/BE59</f>
        <v>1.0745800097524433E-2</v>
      </c>
    </row>
    <row r="51" spans="1:58" ht="15.75" customHeight="1" thickBot="1" x14ac:dyDescent="0.3">
      <c r="A51" s="122" t="s">
        <v>68</v>
      </c>
      <c r="B51" s="190"/>
      <c r="C51" s="195" t="str">
        <f>IF(ISBLANK(B51),"", B51*B38)</f>
        <v/>
      </c>
      <c r="D51" s="196"/>
      <c r="E51" s="195" t="str">
        <f>IF(ISBLANK(D51),"", D51*D38)</f>
        <v/>
      </c>
      <c r="F51" s="196">
        <v>167</v>
      </c>
      <c r="G51" s="195">
        <f>IF(ISBLANK(F51),"", F51*F38)</f>
        <v>976449</v>
      </c>
      <c r="H51" s="196">
        <v>43</v>
      </c>
      <c r="I51" s="195">
        <f>IF(ISBLANK(H51),"", H51*H38)</f>
        <v>125689</v>
      </c>
      <c r="J51" s="190">
        <v>0</v>
      </c>
      <c r="K51" s="195">
        <f>IF(ISBLANK(J51),"", J51*J38)</f>
        <v>0</v>
      </c>
      <c r="L51" s="191">
        <f>SUM(C51,E51,G51,I51,K51)</f>
        <v>1102138</v>
      </c>
      <c r="M51" s="190"/>
      <c r="N51" s="195" t="str">
        <f>IF(ISBLANK(M51),"", M51*M38)</f>
        <v/>
      </c>
      <c r="O51" s="196"/>
      <c r="P51" s="195" t="str">
        <f>IF(ISBLANK(O51),"", O51*O38)</f>
        <v/>
      </c>
      <c r="Q51" s="196">
        <v>222</v>
      </c>
      <c r="R51" s="195">
        <f>IF(ISBLANK(Q51),"", Q51*Q38)</f>
        <v>973470</v>
      </c>
      <c r="S51" s="191">
        <f>SUM(N51,P51,R51)</f>
        <v>973470</v>
      </c>
      <c r="T51" s="196"/>
      <c r="U51" s="195" t="str">
        <f>IF(ISBLANK(T51),"", T51*T38)</f>
        <v/>
      </c>
      <c r="V51" s="196"/>
      <c r="W51" s="195" t="str">
        <f>IF(ISBLANK(V51),"", V51*V38)</f>
        <v/>
      </c>
      <c r="X51" s="190"/>
      <c r="Y51" s="195" t="str">
        <f>IF(ISBLANK(X51),"", X51*X38)</f>
        <v/>
      </c>
      <c r="Z51" s="191">
        <f>SUM(U51,W51,Y51)</f>
        <v>0</v>
      </c>
      <c r="AA51" s="190"/>
      <c r="AB51" s="195" t="str">
        <f>IF(ISBLANK(AA51),"", AA51*AA38)</f>
        <v/>
      </c>
      <c r="AC51" s="196"/>
      <c r="AD51" s="195" t="str">
        <f>IF(ISBLANK(AC51),"", AC51*AC38)</f>
        <v/>
      </c>
      <c r="AE51" s="196">
        <v>0</v>
      </c>
      <c r="AF51" s="195">
        <f>IF(ISBLANK(AE51),"", AE51*AE38)</f>
        <v>0</v>
      </c>
      <c r="AG51" s="196"/>
      <c r="AH51" s="195" t="str">
        <f>IF(ISBLANK(AG51),"", AG51*AG38)</f>
        <v/>
      </c>
      <c r="AI51" s="190">
        <v>0</v>
      </c>
      <c r="AJ51" s="195">
        <f>IF(ISBLANK(AI51),"", AI51*AI38)</f>
        <v>0</v>
      </c>
      <c r="AK51" s="191">
        <f>SUM(AB51,AD51,AF51,AH51,AJ51)</f>
        <v>0</v>
      </c>
      <c r="AL51" s="196"/>
      <c r="AM51" s="195" t="str">
        <f>IF(ISBLANK(AL51),"", AL51*AL38)</f>
        <v/>
      </c>
      <c r="AN51" s="196"/>
      <c r="AO51" s="195" t="str">
        <f>IF(ISBLANK(AN51),"", AN51*AN38)</f>
        <v/>
      </c>
      <c r="AP51" s="190"/>
      <c r="AQ51" s="195" t="str">
        <f>IF(ISBLANK(AP51),"", AP51*AP38)</f>
        <v/>
      </c>
      <c r="AR51" s="191">
        <f>SUM(AM51,AO51,AQ51)</f>
        <v>0</v>
      </c>
      <c r="AS51" s="196"/>
      <c r="AT51" s="195" t="str">
        <f>IF(ISBLANK(AS51),"", AS51*AS38)</f>
        <v/>
      </c>
      <c r="AU51" s="196">
        <v>7</v>
      </c>
      <c r="AV51" s="195">
        <f>IF(ISBLANK(AU51),"", AU51*AU38)</f>
        <v>117663</v>
      </c>
      <c r="AW51" s="191">
        <f>SUM(AT51,AV51)</f>
        <v>117663</v>
      </c>
      <c r="AX51" s="196">
        <v>77</v>
      </c>
      <c r="AY51" s="195">
        <f>IF(ISBLANK(AX51),"", AX51*AX38)</f>
        <v>84392</v>
      </c>
      <c r="AZ51" s="196"/>
      <c r="BA51" s="195" t="str">
        <f>IF(ISBLANK(AZ51),"", AZ51*AZ38)</f>
        <v/>
      </c>
      <c r="BB51" s="190"/>
      <c r="BC51" s="195" t="str">
        <f>IF(ISBLANK(BB51),"", BB51*BB38)</f>
        <v/>
      </c>
      <c r="BD51" s="192">
        <f>SUM(AY51,BA51,BC51)</f>
        <v>84392</v>
      </c>
      <c r="BE51" s="197">
        <f>SUM(L51,S51,Z51,AK51,AR51,AW51,BD51)</f>
        <v>2277663</v>
      </c>
      <c r="BF51" s="198">
        <f>BE51/BE59</f>
        <v>2.7105282652759764E-2</v>
      </c>
    </row>
    <row r="52" spans="1:58" ht="15.75" customHeight="1" thickTop="1" x14ac:dyDescent="0.25">
      <c r="A52" s="199" t="s">
        <v>132</v>
      </c>
      <c r="B52" s="200" t="str">
        <f t="shared" ref="B52:K52" si="37">IF(COUNT(B48:B51) = 0, "", SUM(B48:B51))</f>
        <v/>
      </c>
      <c r="C52" s="201" t="str">
        <f t="shared" si="37"/>
        <v/>
      </c>
      <c r="D52" s="202" t="str">
        <f t="shared" si="37"/>
        <v/>
      </c>
      <c r="E52" s="201" t="str">
        <f t="shared" si="37"/>
        <v/>
      </c>
      <c r="F52" s="202">
        <f t="shared" si="37"/>
        <v>486</v>
      </c>
      <c r="G52" s="201">
        <f t="shared" si="37"/>
        <v>2841642</v>
      </c>
      <c r="H52" s="202">
        <f t="shared" si="37"/>
        <v>137</v>
      </c>
      <c r="I52" s="201">
        <f t="shared" si="37"/>
        <v>400451</v>
      </c>
      <c r="J52" s="200">
        <f t="shared" si="37"/>
        <v>18</v>
      </c>
      <c r="K52" s="201">
        <f t="shared" si="37"/>
        <v>26316</v>
      </c>
      <c r="L52" s="203">
        <f>SUM(L48:L51)</f>
        <v>3268409</v>
      </c>
      <c r="M52" s="200" t="str">
        <f t="shared" ref="M52:R52" si="38">IF(COUNT(M48:M51) = 0, "", SUM(M48:M51))</f>
        <v/>
      </c>
      <c r="N52" s="201" t="str">
        <f t="shared" si="38"/>
        <v/>
      </c>
      <c r="O52" s="202" t="str">
        <f t="shared" si="38"/>
        <v/>
      </c>
      <c r="P52" s="201" t="str">
        <f t="shared" si="38"/>
        <v/>
      </c>
      <c r="Q52" s="202">
        <f t="shared" si="38"/>
        <v>754</v>
      </c>
      <c r="R52" s="201">
        <f t="shared" si="38"/>
        <v>3306290</v>
      </c>
      <c r="S52" s="203">
        <f>SUM(S48:S51)</f>
        <v>3306290</v>
      </c>
      <c r="T52" s="202">
        <f t="shared" ref="T52:Y52" si="39">IF(COUNT(T48:T51) = 0, "", SUM(T48:T51))</f>
        <v>86</v>
      </c>
      <c r="U52" s="201">
        <f t="shared" si="39"/>
        <v>1257062</v>
      </c>
      <c r="V52" s="202">
        <f t="shared" si="39"/>
        <v>83</v>
      </c>
      <c r="W52" s="201">
        <f t="shared" si="39"/>
        <v>849256</v>
      </c>
      <c r="X52" s="200">
        <f t="shared" si="39"/>
        <v>15</v>
      </c>
      <c r="Y52" s="201">
        <f t="shared" si="39"/>
        <v>76740</v>
      </c>
      <c r="Z52" s="203">
        <f>SUM(Z48:Z51)</f>
        <v>2183058</v>
      </c>
      <c r="AA52" s="200" t="str">
        <f t="shared" ref="AA52:AJ52" si="40">IF(COUNT(AA48:AA51) = 0, "", SUM(AA48:AA51))</f>
        <v/>
      </c>
      <c r="AB52" s="201" t="str">
        <f t="shared" si="40"/>
        <v/>
      </c>
      <c r="AC52" s="202" t="str">
        <f t="shared" si="40"/>
        <v/>
      </c>
      <c r="AD52" s="201" t="str">
        <f t="shared" si="40"/>
        <v/>
      </c>
      <c r="AE52" s="202">
        <f t="shared" si="40"/>
        <v>0</v>
      </c>
      <c r="AF52" s="201">
        <f t="shared" si="40"/>
        <v>0</v>
      </c>
      <c r="AG52" s="202" t="str">
        <f t="shared" si="40"/>
        <v/>
      </c>
      <c r="AH52" s="201" t="str">
        <f t="shared" si="40"/>
        <v/>
      </c>
      <c r="AI52" s="200">
        <f t="shared" si="40"/>
        <v>0</v>
      </c>
      <c r="AJ52" s="201">
        <f t="shared" si="40"/>
        <v>0</v>
      </c>
      <c r="AK52" s="203">
        <f>SUM(AK48:AK51)</f>
        <v>0</v>
      </c>
      <c r="AL52" s="202" t="str">
        <f t="shared" ref="AL52:AQ52" si="41">IF(COUNT(AL48:AL51) = 0, "", SUM(AL48:AL51))</f>
        <v/>
      </c>
      <c r="AM52" s="201" t="str">
        <f t="shared" si="41"/>
        <v/>
      </c>
      <c r="AN52" s="202" t="str">
        <f t="shared" si="41"/>
        <v/>
      </c>
      <c r="AO52" s="201" t="str">
        <f t="shared" si="41"/>
        <v/>
      </c>
      <c r="AP52" s="200" t="str">
        <f t="shared" si="41"/>
        <v/>
      </c>
      <c r="AQ52" s="201" t="str">
        <f t="shared" si="41"/>
        <v/>
      </c>
      <c r="AR52" s="203">
        <f>SUM(AR48:AR51)</f>
        <v>0</v>
      </c>
      <c r="AS52" s="202" t="str">
        <f>IF(COUNT(AS48:AS51) = 0, "", SUM(AS48:AS51))</f>
        <v/>
      </c>
      <c r="AT52" s="201" t="str">
        <f>IF(COUNT(AT48:AT51) = 0, "", SUM(AT48:AT51))</f>
        <v/>
      </c>
      <c r="AU52" s="202">
        <f>IF(COUNT(AU48:AU51) = 0, "", SUM(AU48:AU51))</f>
        <v>61</v>
      </c>
      <c r="AV52" s="201">
        <f>IF(COUNT(AV48:AV51) = 0, "", SUM(AV48:AV51))</f>
        <v>1025349</v>
      </c>
      <c r="AW52" s="203">
        <f>SUM(AW48:AW51)</f>
        <v>1025349</v>
      </c>
      <c r="AX52" s="202">
        <f t="shared" ref="AX52:BC52" si="42">IF(COUNT(AX48:AX51) = 0, "", SUM(AX48:AX51))</f>
        <v>77</v>
      </c>
      <c r="AY52" s="201">
        <f t="shared" si="42"/>
        <v>84392</v>
      </c>
      <c r="AZ52" s="202" t="str">
        <f t="shared" si="42"/>
        <v/>
      </c>
      <c r="BA52" s="201" t="str">
        <f t="shared" si="42"/>
        <v/>
      </c>
      <c r="BB52" s="200">
        <f t="shared" si="42"/>
        <v>246</v>
      </c>
      <c r="BC52" s="201">
        <f t="shared" si="42"/>
        <v>449442</v>
      </c>
      <c r="BD52" s="204">
        <f>SUM(BD48:BD51)</f>
        <v>533834</v>
      </c>
      <c r="BE52" s="205">
        <f>SUM(L52,S52,Z52,AK52,AR52,AW52,BD52)</f>
        <v>10316940</v>
      </c>
      <c r="BF52" s="206">
        <f>BE52/BE59</f>
        <v>0.12277653665689935</v>
      </c>
    </row>
    <row r="53" spans="1:58" x14ac:dyDescent="0.25">
      <c r="A53" s="207"/>
      <c r="B53" s="215"/>
      <c r="C53" s="216"/>
      <c r="D53" s="217"/>
      <c r="E53" s="216"/>
      <c r="F53" s="217"/>
      <c r="G53" s="216"/>
      <c r="H53" s="217"/>
      <c r="I53" s="216"/>
      <c r="J53" s="215"/>
      <c r="K53" s="216"/>
      <c r="L53" s="218"/>
      <c r="M53" s="215"/>
      <c r="N53" s="216"/>
      <c r="O53" s="217"/>
      <c r="P53" s="216"/>
      <c r="Q53" s="217"/>
      <c r="R53" s="216"/>
      <c r="S53" s="218"/>
      <c r="T53" s="217"/>
      <c r="U53" s="216"/>
      <c r="V53" s="217"/>
      <c r="W53" s="216"/>
      <c r="X53" s="215"/>
      <c r="Y53" s="216"/>
      <c r="Z53" s="218"/>
      <c r="AA53" s="215"/>
      <c r="AB53" s="216"/>
      <c r="AC53" s="217"/>
      <c r="AD53" s="216"/>
      <c r="AE53" s="217"/>
      <c r="AF53" s="216"/>
      <c r="AG53" s="217"/>
      <c r="AH53" s="216"/>
      <c r="AI53" s="215"/>
      <c r="AJ53" s="216"/>
      <c r="AK53" s="218"/>
      <c r="AL53" s="217"/>
      <c r="AM53" s="216"/>
      <c r="AN53" s="217"/>
      <c r="AO53" s="216"/>
      <c r="AP53" s="215"/>
      <c r="AQ53" s="216"/>
      <c r="AR53" s="218"/>
      <c r="AS53" s="217"/>
      <c r="AT53" s="216"/>
      <c r="AU53" s="217"/>
      <c r="AV53" s="216"/>
      <c r="AW53" s="218"/>
      <c r="AX53" s="217"/>
      <c r="AY53" s="216"/>
      <c r="AZ53" s="217"/>
      <c r="BA53" s="216"/>
      <c r="BB53" s="215"/>
      <c r="BC53" s="216"/>
      <c r="BD53" s="219"/>
      <c r="BE53" s="213"/>
      <c r="BF53" s="214"/>
    </row>
    <row r="54" spans="1:58" x14ac:dyDescent="0.25">
      <c r="A54" s="122" t="s">
        <v>71</v>
      </c>
      <c r="B54" s="190"/>
      <c r="C54" s="195" t="str">
        <f>IF(ISBLANK(B54),"", B54*B38)</f>
        <v/>
      </c>
      <c r="D54" s="196"/>
      <c r="E54" s="195" t="str">
        <f>IF(ISBLANK(D54),"", D54*D38)</f>
        <v/>
      </c>
      <c r="F54" s="196">
        <v>294</v>
      </c>
      <c r="G54" s="195">
        <f>IF(ISBLANK(F54),"", F54*F38)</f>
        <v>1719018</v>
      </c>
      <c r="H54" s="196">
        <v>303</v>
      </c>
      <c r="I54" s="195">
        <f>IF(ISBLANK(H54),"", H54*H38)</f>
        <v>885669</v>
      </c>
      <c r="J54" s="190">
        <v>11</v>
      </c>
      <c r="K54" s="195">
        <f>IF(ISBLANK(J54),"", J54*J38)</f>
        <v>16082</v>
      </c>
      <c r="L54" s="191">
        <f>SUM(C54,E54,G54,I54,K54)</f>
        <v>2620769</v>
      </c>
      <c r="M54" s="190"/>
      <c r="N54" s="195" t="str">
        <f>IF(ISBLANK(M54),"", M54*M38)</f>
        <v/>
      </c>
      <c r="O54" s="196"/>
      <c r="P54" s="195" t="str">
        <f>IF(ISBLANK(O54),"", O54*O38)</f>
        <v/>
      </c>
      <c r="Q54" s="196">
        <v>318</v>
      </c>
      <c r="R54" s="195">
        <f>IF(ISBLANK(Q54),"", Q54*Q38)</f>
        <v>1394430</v>
      </c>
      <c r="S54" s="191">
        <f>SUM(N54,P54,R54)</f>
        <v>1394430</v>
      </c>
      <c r="T54" s="196">
        <v>26</v>
      </c>
      <c r="U54" s="195">
        <f>IF(ISBLANK(T54),"", T54*T38)</f>
        <v>380042</v>
      </c>
      <c r="V54" s="196">
        <v>21</v>
      </c>
      <c r="W54" s="195">
        <f>IF(ISBLANK(V54),"", V54*V38)</f>
        <v>214872</v>
      </c>
      <c r="X54" s="190">
        <v>0</v>
      </c>
      <c r="Y54" s="195">
        <f>IF(ISBLANK(X54),"", X54*X38)</f>
        <v>0</v>
      </c>
      <c r="Z54" s="191">
        <f>SUM(U54,W54,Y54)</f>
        <v>594914</v>
      </c>
      <c r="AA54" s="190"/>
      <c r="AB54" s="195" t="str">
        <f>IF(ISBLANK(AA54),"", AA54*AA38)</f>
        <v/>
      </c>
      <c r="AC54" s="196"/>
      <c r="AD54" s="195" t="str">
        <f>IF(ISBLANK(AC54),"", AC54*AC38)</f>
        <v/>
      </c>
      <c r="AE54" s="196"/>
      <c r="AF54" s="195" t="str">
        <f>IF(ISBLANK(AE54),"", AE54*AE38)</f>
        <v/>
      </c>
      <c r="AG54" s="196"/>
      <c r="AH54" s="195" t="str">
        <f>IF(ISBLANK(AG54),"", AG54*AG38)</f>
        <v/>
      </c>
      <c r="AI54" s="190"/>
      <c r="AJ54" s="195" t="str">
        <f>IF(ISBLANK(AI54),"", AI54*AI38)</f>
        <v/>
      </c>
      <c r="AK54" s="191">
        <f>SUM(AB54,AD54,AF54,AH54,AJ54)</f>
        <v>0</v>
      </c>
      <c r="AL54" s="196"/>
      <c r="AM54" s="195" t="str">
        <f>IF(ISBLANK(AL54),"", AL54*AL38)</f>
        <v/>
      </c>
      <c r="AN54" s="196"/>
      <c r="AO54" s="195" t="str">
        <f>IF(ISBLANK(AN54),"", AN54*AN38)</f>
        <v/>
      </c>
      <c r="AP54" s="190"/>
      <c r="AQ54" s="195" t="str">
        <f>IF(ISBLANK(AP54),"", AP54*AP38)</f>
        <v/>
      </c>
      <c r="AR54" s="191">
        <f>SUM(AM54,AO54,AQ54)</f>
        <v>0</v>
      </c>
      <c r="AS54" s="196"/>
      <c r="AT54" s="195" t="str">
        <f>IF(ISBLANK(AS54),"", AS54*AS38)</f>
        <v/>
      </c>
      <c r="AU54" s="196">
        <v>230</v>
      </c>
      <c r="AV54" s="195">
        <f>IF(ISBLANK(AU54),"", AU54*AU38)</f>
        <v>3866070</v>
      </c>
      <c r="AW54" s="191">
        <f>SUM(AT54,AV54)</f>
        <v>3866070</v>
      </c>
      <c r="AX54" s="196"/>
      <c r="AY54" s="195" t="str">
        <f>IF(ISBLANK(AX54),"", AX54*AX38)</f>
        <v/>
      </c>
      <c r="AZ54" s="196"/>
      <c r="BA54" s="195" t="str">
        <f>IF(ISBLANK(AZ54),"", AZ54*AZ38)</f>
        <v/>
      </c>
      <c r="BB54" s="190">
        <v>135</v>
      </c>
      <c r="BC54" s="195">
        <f>IF(ISBLANK(BB54),"", BB54*BB38)</f>
        <v>246645</v>
      </c>
      <c r="BD54" s="192">
        <f>SUM(AY54,BA54,BC54)</f>
        <v>246645</v>
      </c>
      <c r="BE54" s="193">
        <f t="shared" ref="BE54:BE59" si="43">SUM(L54,S54,Z54,AK54,AR54,AW54,BD54)</f>
        <v>8722828</v>
      </c>
      <c r="BF54" s="194">
        <f>BE54/BE59</f>
        <v>0.10380583891093949</v>
      </c>
    </row>
    <row r="55" spans="1:58" x14ac:dyDescent="0.25">
      <c r="A55" s="122" t="s">
        <v>72</v>
      </c>
      <c r="B55" s="190"/>
      <c r="C55" s="195" t="str">
        <f>IF(ISBLANK(B55),"", B55*B38)</f>
        <v/>
      </c>
      <c r="D55" s="196"/>
      <c r="E55" s="195" t="str">
        <f>IF(ISBLANK(D55),"", D55*D38)</f>
        <v/>
      </c>
      <c r="F55" s="196">
        <v>0</v>
      </c>
      <c r="G55" s="195">
        <f>IF(ISBLANK(F55),"", F55*F38)</f>
        <v>0</v>
      </c>
      <c r="H55" s="196">
        <v>9</v>
      </c>
      <c r="I55" s="195">
        <f>IF(ISBLANK(H55),"", H55*H38)</f>
        <v>26307</v>
      </c>
      <c r="J55" s="190">
        <v>0</v>
      </c>
      <c r="K55" s="195">
        <f>IF(ISBLANK(J55),"", J55*J38)</f>
        <v>0</v>
      </c>
      <c r="L55" s="191">
        <f>SUM(C55,E55,G55,I55,K55)</f>
        <v>26307</v>
      </c>
      <c r="M55" s="190"/>
      <c r="N55" s="195" t="str">
        <f>IF(ISBLANK(M55),"", M55*M38)</f>
        <v/>
      </c>
      <c r="O55" s="196"/>
      <c r="P55" s="195" t="str">
        <f>IF(ISBLANK(O55),"", O55*O38)</f>
        <v/>
      </c>
      <c r="Q55" s="196">
        <v>70</v>
      </c>
      <c r="R55" s="195">
        <f>IF(ISBLANK(Q55),"", Q55*Q38)</f>
        <v>306950</v>
      </c>
      <c r="S55" s="191">
        <f>SUM(N55,P55,R55)</f>
        <v>306950</v>
      </c>
      <c r="T55" s="196"/>
      <c r="U55" s="195" t="str">
        <f>IF(ISBLANK(T55),"", T55*T38)</f>
        <v/>
      </c>
      <c r="V55" s="196"/>
      <c r="W55" s="195" t="str">
        <f>IF(ISBLANK(V55),"", V55*V38)</f>
        <v/>
      </c>
      <c r="X55" s="190"/>
      <c r="Y55" s="195" t="str">
        <f>IF(ISBLANK(X55),"", X55*X38)</f>
        <v/>
      </c>
      <c r="Z55" s="191">
        <f>SUM(U55,W55,Y55)</f>
        <v>0</v>
      </c>
      <c r="AA55" s="190"/>
      <c r="AB55" s="195" t="str">
        <f>IF(ISBLANK(AA55),"", AA55*AA38)</f>
        <v/>
      </c>
      <c r="AC55" s="196"/>
      <c r="AD55" s="195" t="str">
        <f>IF(ISBLANK(AC55),"", AC55*AC38)</f>
        <v/>
      </c>
      <c r="AE55" s="196">
        <v>328</v>
      </c>
      <c r="AF55" s="195">
        <f>IF(ISBLANK(AE55),"", AE55*AE38)</f>
        <v>191880</v>
      </c>
      <c r="AG55" s="196"/>
      <c r="AH55" s="195" t="str">
        <f>IF(ISBLANK(AG55),"", AG55*AG38)</f>
        <v/>
      </c>
      <c r="AI55" s="190">
        <v>177</v>
      </c>
      <c r="AJ55" s="195">
        <f>IF(ISBLANK(AI55),"", AI55*AI38)</f>
        <v>193992</v>
      </c>
      <c r="AK55" s="191">
        <f>SUM(AB55,AD55,AF55,AH55,AJ55)</f>
        <v>385872</v>
      </c>
      <c r="AL55" s="196"/>
      <c r="AM55" s="195" t="str">
        <f>IF(ISBLANK(AL55),"", AL55*AL38)</f>
        <v/>
      </c>
      <c r="AN55" s="196"/>
      <c r="AO55" s="195" t="str">
        <f>IF(ISBLANK(AN55),"", AN55*AN38)</f>
        <v/>
      </c>
      <c r="AP55" s="190"/>
      <c r="AQ55" s="195" t="str">
        <f>IF(ISBLANK(AP55),"", AP55*AP38)</f>
        <v/>
      </c>
      <c r="AR55" s="191">
        <f>SUM(AM55,AO55,AQ55)</f>
        <v>0</v>
      </c>
      <c r="AS55" s="196"/>
      <c r="AT55" s="195" t="str">
        <f>IF(ISBLANK(AS55),"", AS55*AS38)</f>
        <v/>
      </c>
      <c r="AU55" s="196">
        <v>0</v>
      </c>
      <c r="AV55" s="195">
        <f>IF(ISBLANK(AU55),"", AU55*AU38)</f>
        <v>0</v>
      </c>
      <c r="AW55" s="191">
        <f>SUM(AT55,AV55)</f>
        <v>0</v>
      </c>
      <c r="AX55" s="196"/>
      <c r="AY55" s="195" t="str">
        <f>IF(ISBLANK(AX55),"", AX55*AX38)</f>
        <v/>
      </c>
      <c r="AZ55" s="196"/>
      <c r="BA55" s="195" t="str">
        <f>IF(ISBLANK(AZ55),"", AZ55*AZ38)</f>
        <v/>
      </c>
      <c r="BB55" s="190">
        <v>74</v>
      </c>
      <c r="BC55" s="195">
        <f>IF(ISBLANK(BB55),"", BB55*BB38)</f>
        <v>135198</v>
      </c>
      <c r="BD55" s="192">
        <f>SUM(AY55,BA55,BC55)</f>
        <v>135198</v>
      </c>
      <c r="BE55" s="193">
        <f t="shared" si="43"/>
        <v>854327</v>
      </c>
      <c r="BF55" s="194">
        <f>BE55/BE59</f>
        <v>1.016690125487585E-2</v>
      </c>
    </row>
    <row r="56" spans="1:58" x14ac:dyDescent="0.25">
      <c r="A56" s="122" t="s">
        <v>73</v>
      </c>
      <c r="B56" s="190"/>
      <c r="C56" s="195" t="str">
        <f>IF(ISBLANK(B56),"", B56*B38)</f>
        <v/>
      </c>
      <c r="D56" s="196"/>
      <c r="E56" s="195" t="str">
        <f>IF(ISBLANK(D56),"", D56*D38)</f>
        <v/>
      </c>
      <c r="F56" s="196">
        <v>137</v>
      </c>
      <c r="G56" s="195">
        <f>IF(ISBLANK(F56),"", F56*F38)</f>
        <v>801039</v>
      </c>
      <c r="H56" s="196">
        <v>47</v>
      </c>
      <c r="I56" s="195">
        <f>IF(ISBLANK(H56),"", H56*H38)</f>
        <v>137381</v>
      </c>
      <c r="J56" s="190">
        <v>8</v>
      </c>
      <c r="K56" s="195">
        <f>IF(ISBLANK(J56),"", J56*J38)</f>
        <v>11696</v>
      </c>
      <c r="L56" s="191">
        <f>SUM(C56,E56,G56,I56,K56)</f>
        <v>950116</v>
      </c>
      <c r="M56" s="190"/>
      <c r="N56" s="195" t="str">
        <f>IF(ISBLANK(M56),"", M56*M38)</f>
        <v/>
      </c>
      <c r="O56" s="196"/>
      <c r="P56" s="195" t="str">
        <f>IF(ISBLANK(O56),"", O56*O38)</f>
        <v/>
      </c>
      <c r="Q56" s="196">
        <v>109</v>
      </c>
      <c r="R56" s="195">
        <f>IF(ISBLANK(Q56),"", Q56*Q38)</f>
        <v>477965</v>
      </c>
      <c r="S56" s="191">
        <f>SUM(N56,P56,R56)</f>
        <v>477965</v>
      </c>
      <c r="T56" s="196"/>
      <c r="U56" s="195" t="str">
        <f>IF(ISBLANK(T56),"", T56*T38)</f>
        <v/>
      </c>
      <c r="V56" s="196"/>
      <c r="W56" s="195" t="str">
        <f>IF(ISBLANK(V56),"", V56*V38)</f>
        <v/>
      </c>
      <c r="X56" s="190"/>
      <c r="Y56" s="195" t="str">
        <f>IF(ISBLANK(X56),"", X56*X38)</f>
        <v/>
      </c>
      <c r="Z56" s="191">
        <f>SUM(U56,W56,Y56)</f>
        <v>0</v>
      </c>
      <c r="AA56" s="190"/>
      <c r="AB56" s="195" t="str">
        <f>IF(ISBLANK(AA56),"", AA56*AA38)</f>
        <v/>
      </c>
      <c r="AC56" s="196"/>
      <c r="AD56" s="195" t="str">
        <f>IF(ISBLANK(AC56),"", AC56*AC38)</f>
        <v/>
      </c>
      <c r="AE56" s="196">
        <v>86</v>
      </c>
      <c r="AF56" s="195">
        <f>IF(ISBLANK(AE56),"", AE56*AE38)</f>
        <v>50310</v>
      </c>
      <c r="AG56" s="196"/>
      <c r="AH56" s="195" t="str">
        <f>IF(ISBLANK(AG56),"", AG56*AG38)</f>
        <v/>
      </c>
      <c r="AI56" s="190">
        <v>83</v>
      </c>
      <c r="AJ56" s="195">
        <f>IF(ISBLANK(AI56),"", AI56*AI38)</f>
        <v>90968</v>
      </c>
      <c r="AK56" s="191">
        <f>SUM(AB56,AD56,AF56,AH56,AJ56)</f>
        <v>141278</v>
      </c>
      <c r="AL56" s="196"/>
      <c r="AM56" s="195" t="str">
        <f>IF(ISBLANK(AL56),"", AL56*AL38)</f>
        <v/>
      </c>
      <c r="AN56" s="196"/>
      <c r="AO56" s="195" t="str">
        <f>IF(ISBLANK(AN56),"", AN56*AN38)</f>
        <v/>
      </c>
      <c r="AP56" s="190"/>
      <c r="AQ56" s="195" t="str">
        <f>IF(ISBLANK(AP56),"", AP56*AP38)</f>
        <v/>
      </c>
      <c r="AR56" s="191">
        <f>SUM(AM56,AO56,AQ56)</f>
        <v>0</v>
      </c>
      <c r="AS56" s="196"/>
      <c r="AT56" s="195" t="str">
        <f>IF(ISBLANK(AS56),"", AS56*AS38)</f>
        <v/>
      </c>
      <c r="AU56" s="196">
        <v>37</v>
      </c>
      <c r="AV56" s="195">
        <f>IF(ISBLANK(AU56),"", AU56*AU38)</f>
        <v>621933</v>
      </c>
      <c r="AW56" s="191">
        <f>SUM(AT56,AV56)</f>
        <v>621933</v>
      </c>
      <c r="AX56" s="196"/>
      <c r="AY56" s="195" t="str">
        <f>IF(ISBLANK(AX56),"", AX56*AX38)</f>
        <v/>
      </c>
      <c r="AZ56" s="196">
        <v>75</v>
      </c>
      <c r="BA56" s="195">
        <f>IF(ISBLANK(AZ56),"", AZ56*AZ38)</f>
        <v>109650</v>
      </c>
      <c r="BB56" s="190"/>
      <c r="BC56" s="195" t="str">
        <f>IF(ISBLANK(BB56),"", BB56*BB38)</f>
        <v/>
      </c>
      <c r="BD56" s="192">
        <f>SUM(AY56,BA56,BC56)</f>
        <v>109650</v>
      </c>
      <c r="BE56" s="193">
        <f t="shared" si="43"/>
        <v>2300942</v>
      </c>
      <c r="BF56" s="194">
        <f>BE56/BE59</f>
        <v>2.7382313923353174E-2</v>
      </c>
    </row>
    <row r="57" spans="1:58" x14ac:dyDescent="0.25">
      <c r="A57" s="122" t="s">
        <v>74</v>
      </c>
      <c r="B57" s="190">
        <v>23</v>
      </c>
      <c r="C57" s="195">
        <f>IF(ISBLANK(B57),"", B57*B38)</f>
        <v>33626</v>
      </c>
      <c r="D57" s="196">
        <v>323</v>
      </c>
      <c r="E57" s="195">
        <f>IF(ISBLANK(D57),"", D57*D38)</f>
        <v>944129</v>
      </c>
      <c r="F57" s="196">
        <v>60</v>
      </c>
      <c r="G57" s="195">
        <f>IF(ISBLANK(F57),"", F57*F38)</f>
        <v>350820</v>
      </c>
      <c r="H57" s="196"/>
      <c r="I57" s="195" t="str">
        <f>IF(ISBLANK(H57),"", H57*H38)</f>
        <v/>
      </c>
      <c r="J57" s="190"/>
      <c r="K57" s="195" t="str">
        <f>IF(ISBLANK(J57),"", J57*J38)</f>
        <v/>
      </c>
      <c r="L57" s="191">
        <f>SUM(C57,E57,G57,I57,K57)</f>
        <v>1328575</v>
      </c>
      <c r="M57" s="190">
        <v>20</v>
      </c>
      <c r="N57" s="195">
        <f>IF(ISBLANK(M57),"", M57*M38)</f>
        <v>21920</v>
      </c>
      <c r="O57" s="196">
        <v>155</v>
      </c>
      <c r="P57" s="195">
        <f>IF(ISBLANK(O57),"", O57*O38)</f>
        <v>339915</v>
      </c>
      <c r="Q57" s="196">
        <v>21</v>
      </c>
      <c r="R57" s="195">
        <f>IF(ISBLANK(Q57),"", Q57*Q38)</f>
        <v>92085</v>
      </c>
      <c r="S57" s="191">
        <f>SUM(N57,P57,R57)</f>
        <v>453920</v>
      </c>
      <c r="T57" s="196"/>
      <c r="U57" s="195" t="str">
        <f>IF(ISBLANK(T57),"", T57*T38)</f>
        <v/>
      </c>
      <c r="V57" s="196"/>
      <c r="W57" s="195" t="str">
        <f>IF(ISBLANK(V57),"", V57*V38)</f>
        <v/>
      </c>
      <c r="X57" s="190"/>
      <c r="Y57" s="195" t="str">
        <f>IF(ISBLANK(X57),"", X57*X38)</f>
        <v/>
      </c>
      <c r="Z57" s="191">
        <f>SUM(U57,W57,Y57)</f>
        <v>0</v>
      </c>
      <c r="AA57" s="190">
        <v>0</v>
      </c>
      <c r="AB57" s="195">
        <f>IF(ISBLANK(AA57),"", AA57*AA38)</f>
        <v>0</v>
      </c>
      <c r="AC57" s="196">
        <v>0</v>
      </c>
      <c r="AD57" s="195">
        <f>IF(ISBLANK(AC57),"", AC57*AC38)</f>
        <v>0</v>
      </c>
      <c r="AE57" s="196"/>
      <c r="AF57" s="195" t="str">
        <f>IF(ISBLANK(AE57),"", AE57*AE38)</f>
        <v/>
      </c>
      <c r="AG57" s="196">
        <v>0</v>
      </c>
      <c r="AH57" s="195">
        <f>IF(ISBLANK(AG57),"", AG57*AG38)</f>
        <v>0</v>
      </c>
      <c r="AI57" s="190"/>
      <c r="AJ57" s="195" t="str">
        <f>IF(ISBLANK(AI57),"", AI57*AI38)</f>
        <v/>
      </c>
      <c r="AK57" s="191">
        <f>SUM(AB57,AD57,AF57,AH57,AJ57)</f>
        <v>0</v>
      </c>
      <c r="AL57" s="196">
        <v>0</v>
      </c>
      <c r="AM57" s="195">
        <f>IF(ISBLANK(AL57),"", AL57*AL38)</f>
        <v>0</v>
      </c>
      <c r="AN57" s="196">
        <v>0</v>
      </c>
      <c r="AO57" s="195">
        <f>IF(ISBLANK(AN57),"", AN57*AN38)</f>
        <v>0</v>
      </c>
      <c r="AP57" s="190">
        <v>0</v>
      </c>
      <c r="AQ57" s="195">
        <f>IF(ISBLANK(AP57),"", AP57*AP38)</f>
        <v>0</v>
      </c>
      <c r="AR57" s="191">
        <f>SUM(AM57,AO57,AQ57)</f>
        <v>0</v>
      </c>
      <c r="AS57" s="196">
        <v>0</v>
      </c>
      <c r="AT57" s="195">
        <f>IF(ISBLANK(AS57),"", AS57*AS38)</f>
        <v>0</v>
      </c>
      <c r="AU57" s="196">
        <v>10</v>
      </c>
      <c r="AV57" s="195">
        <f>IF(ISBLANK(AU57),"", AU57*AU38)</f>
        <v>168090</v>
      </c>
      <c r="AW57" s="191">
        <f>SUM(AT57,AV57)</f>
        <v>168090</v>
      </c>
      <c r="AX57" s="196"/>
      <c r="AY57" s="195" t="str">
        <f>IF(ISBLANK(AX57),"", AX57*AX38)</f>
        <v/>
      </c>
      <c r="AZ57" s="196"/>
      <c r="BA57" s="195" t="str">
        <f>IF(ISBLANK(AZ57),"", AZ57*AZ38)</f>
        <v/>
      </c>
      <c r="BB57" s="190">
        <v>62</v>
      </c>
      <c r="BC57" s="195">
        <f>IF(ISBLANK(BB57),"", BB57*BB38)</f>
        <v>113274</v>
      </c>
      <c r="BD57" s="192">
        <f>SUM(AY57,BA57,BC57)</f>
        <v>113274</v>
      </c>
      <c r="BE57" s="193">
        <f t="shared" si="43"/>
        <v>2063859</v>
      </c>
      <c r="BF57" s="194">
        <f>BE57/BE59</f>
        <v>2.4560912457392562E-2</v>
      </c>
    </row>
    <row r="58" spans="1:58" ht="15.75" customHeight="1" thickBot="1" x14ac:dyDescent="0.3">
      <c r="A58" s="134" t="s">
        <v>75</v>
      </c>
      <c r="B58" s="190">
        <v>1382</v>
      </c>
      <c r="C58" s="195">
        <f>IF(ISBLANK(B58),"", B58*B38)</f>
        <v>2020484</v>
      </c>
      <c r="D58" s="196">
        <v>2571</v>
      </c>
      <c r="E58" s="195">
        <f>IF(ISBLANK(D58),"", D58*D38)</f>
        <v>7515033</v>
      </c>
      <c r="F58" s="196"/>
      <c r="G58" s="195" t="str">
        <f>IF(ISBLANK(F58),"", F58*F38)</f>
        <v/>
      </c>
      <c r="H58" s="196"/>
      <c r="I58" s="195" t="str">
        <f>IF(ISBLANK(H58),"", H58*H38)</f>
        <v/>
      </c>
      <c r="J58" s="190"/>
      <c r="K58" s="195" t="str">
        <f>IF(ISBLANK(J58),"", J58*J38)</f>
        <v/>
      </c>
      <c r="L58" s="191">
        <f>SUM(C58,E58,G58,I58,K58)</f>
        <v>9535517</v>
      </c>
      <c r="M58" s="190">
        <v>1162</v>
      </c>
      <c r="N58" s="195">
        <f>IF(ISBLANK(M58),"", M58*M38)</f>
        <v>1273552</v>
      </c>
      <c r="O58" s="196">
        <v>2071</v>
      </c>
      <c r="P58" s="195">
        <f>IF(ISBLANK(O58),"", O58*O38)</f>
        <v>4541703</v>
      </c>
      <c r="Q58" s="196"/>
      <c r="R58" s="195" t="str">
        <f>IF(ISBLANK(Q58),"", Q58*Q38)</f>
        <v/>
      </c>
      <c r="S58" s="191">
        <f>SUM(N58,P58,R58)</f>
        <v>5815255</v>
      </c>
      <c r="T58" s="196"/>
      <c r="U58" s="195" t="str">
        <f>IF(ISBLANK(T58),"", T58*T38)</f>
        <v/>
      </c>
      <c r="V58" s="196"/>
      <c r="W58" s="195" t="str">
        <f>IF(ISBLANK(V58),"", V58*V38)</f>
        <v/>
      </c>
      <c r="X58" s="190"/>
      <c r="Y58" s="195" t="str">
        <f>IF(ISBLANK(X58),"", X58*X38)</f>
        <v/>
      </c>
      <c r="Z58" s="191">
        <f>SUM(U58,W58,Y58)</f>
        <v>0</v>
      </c>
      <c r="AA58" s="190">
        <v>4156</v>
      </c>
      <c r="AB58" s="195">
        <f>IF(ISBLANK(AA58),"", AA58*AA38)</f>
        <v>910164</v>
      </c>
      <c r="AC58" s="196">
        <v>4819</v>
      </c>
      <c r="AD58" s="195">
        <f>IF(ISBLANK(AC58),"", AC58*AC38)</f>
        <v>2115541</v>
      </c>
      <c r="AE58" s="196"/>
      <c r="AF58" s="195" t="str">
        <f>IF(ISBLANK(AE58),"", AE58*AE38)</f>
        <v/>
      </c>
      <c r="AG58" s="196">
        <v>4357</v>
      </c>
      <c r="AH58" s="195">
        <f>IF(ISBLANK(AG58),"", AG58*AG38)</f>
        <v>3821089</v>
      </c>
      <c r="AI58" s="190"/>
      <c r="AJ58" s="195" t="str">
        <f>IF(ISBLANK(AI58),"", AI58*AI38)</f>
        <v/>
      </c>
      <c r="AK58" s="191">
        <f>SUM(AB58,AD58,AF58,AH58,AJ58)</f>
        <v>6846794</v>
      </c>
      <c r="AL58" s="196">
        <v>836</v>
      </c>
      <c r="AM58" s="195">
        <f>IF(ISBLANK(AL58),"", AL58*AL38)</f>
        <v>794200</v>
      </c>
      <c r="AN58" s="196">
        <v>0</v>
      </c>
      <c r="AO58" s="195">
        <f>IF(ISBLANK(AN58),"", AN58*AN38)</f>
        <v>0</v>
      </c>
      <c r="AP58" s="190">
        <v>0</v>
      </c>
      <c r="AQ58" s="195">
        <f>IF(ISBLANK(AP58),"", AP58*AP38)</f>
        <v>0</v>
      </c>
      <c r="AR58" s="191">
        <f>SUM(AM58,AO58,AQ58)</f>
        <v>794200</v>
      </c>
      <c r="AS58" s="196">
        <v>0</v>
      </c>
      <c r="AT58" s="195">
        <f>IF(ISBLANK(AS58),"", AS58*AS38)</f>
        <v>0</v>
      </c>
      <c r="AU58" s="196"/>
      <c r="AV58" s="195" t="str">
        <f>IF(ISBLANK(AU58),"", AU58*AU38)</f>
        <v/>
      </c>
      <c r="AW58" s="191">
        <f>SUM(AT58,AV58)</f>
        <v>0</v>
      </c>
      <c r="AX58" s="196"/>
      <c r="AY58" s="195" t="str">
        <f>IF(ISBLANK(AX58),"", AX58*AX38)</f>
        <v/>
      </c>
      <c r="AZ58" s="196"/>
      <c r="BA58" s="195" t="str">
        <f>IF(ISBLANK(AZ58),"", AZ58*AZ38)</f>
        <v/>
      </c>
      <c r="BB58" s="190">
        <v>624</v>
      </c>
      <c r="BC58" s="195">
        <f>IF(ISBLANK(BB58),"", BB58*BB38)</f>
        <v>1140048</v>
      </c>
      <c r="BD58" s="192">
        <f>SUM(AY58,BA58,BC58)</f>
        <v>1140048</v>
      </c>
      <c r="BE58" s="197">
        <f t="shared" si="43"/>
        <v>24131814</v>
      </c>
      <c r="BF58" s="194">
        <f>BE58/BE59</f>
        <v>0.28718016642226057</v>
      </c>
    </row>
    <row r="59" spans="1:58" x14ac:dyDescent="0.25">
      <c r="A59" s="220" t="s">
        <v>47</v>
      </c>
      <c r="B59" s="221">
        <f t="shared" ref="B59:AG59" si="44">SUM(B46,B52,B54:B58)</f>
        <v>1405</v>
      </c>
      <c r="C59" s="222">
        <f t="shared" si="44"/>
        <v>2054110</v>
      </c>
      <c r="D59" s="223">
        <f t="shared" si="44"/>
        <v>2894</v>
      </c>
      <c r="E59" s="222">
        <f t="shared" si="44"/>
        <v>8459162</v>
      </c>
      <c r="F59" s="223">
        <f t="shared" si="44"/>
        <v>2487</v>
      </c>
      <c r="G59" s="222">
        <f t="shared" si="44"/>
        <v>14541489</v>
      </c>
      <c r="H59" s="223">
        <f t="shared" si="44"/>
        <v>707</v>
      </c>
      <c r="I59" s="222">
        <f t="shared" si="44"/>
        <v>2066561</v>
      </c>
      <c r="J59" s="223">
        <f t="shared" si="44"/>
        <v>37</v>
      </c>
      <c r="K59" s="222">
        <f t="shared" si="44"/>
        <v>54094</v>
      </c>
      <c r="L59" s="224">
        <f t="shared" si="44"/>
        <v>27175416</v>
      </c>
      <c r="M59" s="221">
        <f t="shared" si="44"/>
        <v>1182</v>
      </c>
      <c r="N59" s="222">
        <f t="shared" si="44"/>
        <v>1295472</v>
      </c>
      <c r="O59" s="223">
        <f t="shared" si="44"/>
        <v>2226</v>
      </c>
      <c r="P59" s="222">
        <f t="shared" si="44"/>
        <v>4881618</v>
      </c>
      <c r="Q59" s="223">
        <f t="shared" si="44"/>
        <v>2543</v>
      </c>
      <c r="R59" s="222">
        <f t="shared" si="44"/>
        <v>11151055</v>
      </c>
      <c r="S59" s="224">
        <f t="shared" si="44"/>
        <v>17328145</v>
      </c>
      <c r="T59" s="223">
        <f t="shared" si="44"/>
        <v>545</v>
      </c>
      <c r="U59" s="222">
        <f t="shared" si="44"/>
        <v>7966265</v>
      </c>
      <c r="V59" s="223">
        <f t="shared" si="44"/>
        <v>141</v>
      </c>
      <c r="W59" s="222">
        <f t="shared" si="44"/>
        <v>1442712</v>
      </c>
      <c r="X59" s="223">
        <f t="shared" si="44"/>
        <v>18</v>
      </c>
      <c r="Y59" s="222">
        <f t="shared" si="44"/>
        <v>92088</v>
      </c>
      <c r="Z59" s="224">
        <f t="shared" si="44"/>
        <v>9501065</v>
      </c>
      <c r="AA59" s="221">
        <f t="shared" si="44"/>
        <v>4156</v>
      </c>
      <c r="AB59" s="222">
        <f t="shared" si="44"/>
        <v>910164</v>
      </c>
      <c r="AC59" s="223">
        <f t="shared" si="44"/>
        <v>4819</v>
      </c>
      <c r="AD59" s="222">
        <f t="shared" si="44"/>
        <v>2115541</v>
      </c>
      <c r="AE59" s="223">
        <f t="shared" si="44"/>
        <v>1045</v>
      </c>
      <c r="AF59" s="222">
        <f t="shared" si="44"/>
        <v>611325</v>
      </c>
      <c r="AG59" s="223">
        <f t="shared" si="44"/>
        <v>4357</v>
      </c>
      <c r="AH59" s="222">
        <f t="shared" ref="AH59:BD59" si="45">SUM(AH46,AH52,AH54:AH58)</f>
        <v>3821089</v>
      </c>
      <c r="AI59" s="223">
        <f t="shared" si="45"/>
        <v>675</v>
      </c>
      <c r="AJ59" s="222">
        <f t="shared" si="45"/>
        <v>739800</v>
      </c>
      <c r="AK59" s="224">
        <f t="shared" si="45"/>
        <v>8197919</v>
      </c>
      <c r="AL59" s="223">
        <f t="shared" si="45"/>
        <v>836</v>
      </c>
      <c r="AM59" s="222">
        <f t="shared" si="45"/>
        <v>794200</v>
      </c>
      <c r="AN59" s="223">
        <f t="shared" si="45"/>
        <v>0</v>
      </c>
      <c r="AO59" s="222">
        <f t="shared" si="45"/>
        <v>0</v>
      </c>
      <c r="AP59" s="223">
        <f t="shared" si="45"/>
        <v>0</v>
      </c>
      <c r="AQ59" s="222">
        <f t="shared" si="45"/>
        <v>0</v>
      </c>
      <c r="AR59" s="224">
        <f t="shared" si="45"/>
        <v>794200</v>
      </c>
      <c r="AS59" s="223">
        <f t="shared" si="45"/>
        <v>0</v>
      </c>
      <c r="AT59" s="222">
        <f t="shared" si="45"/>
        <v>0</v>
      </c>
      <c r="AU59" s="223">
        <f t="shared" si="45"/>
        <v>1060</v>
      </c>
      <c r="AV59" s="222">
        <f t="shared" si="45"/>
        <v>17817540</v>
      </c>
      <c r="AW59" s="224">
        <f t="shared" si="45"/>
        <v>17817540</v>
      </c>
      <c r="AX59" s="223">
        <f t="shared" si="45"/>
        <v>77</v>
      </c>
      <c r="AY59" s="222">
        <f t="shared" si="45"/>
        <v>84392</v>
      </c>
      <c r="AZ59" s="223">
        <f t="shared" si="45"/>
        <v>175</v>
      </c>
      <c r="BA59" s="222">
        <f t="shared" si="45"/>
        <v>255850</v>
      </c>
      <c r="BB59" s="223">
        <f t="shared" si="45"/>
        <v>1574</v>
      </c>
      <c r="BC59" s="222">
        <f t="shared" si="45"/>
        <v>2875698</v>
      </c>
      <c r="BD59" s="225">
        <f t="shared" si="45"/>
        <v>3215940</v>
      </c>
      <c r="BE59" s="226">
        <f t="shared" si="43"/>
        <v>84030225</v>
      </c>
      <c r="BF59" s="227"/>
    </row>
    <row r="60" spans="1:58" ht="30.75" customHeight="1" thickBot="1" x14ac:dyDescent="0.3">
      <c r="A60" s="228" t="s">
        <v>128</v>
      </c>
      <c r="B60" s="535">
        <f>C59/BE59</f>
        <v>2.4444894679265704E-2</v>
      </c>
      <c r="C60" s="536"/>
      <c r="D60" s="536">
        <f>E59/BE59</f>
        <v>0.10066808698893762</v>
      </c>
      <c r="E60" s="536"/>
      <c r="F60" s="536">
        <f>G59/BE59</f>
        <v>0.17305069693672723</v>
      </c>
      <c r="G60" s="536"/>
      <c r="H60" s="536">
        <f>I59/BE59</f>
        <v>2.4593067553966445E-2</v>
      </c>
      <c r="I60" s="536"/>
      <c r="J60" s="536">
        <f>K59/BE59</f>
        <v>6.4374455738991539E-4</v>
      </c>
      <c r="K60" s="536"/>
      <c r="L60" s="229">
        <f>L59/BE59</f>
        <v>0.3234004907162869</v>
      </c>
      <c r="M60" s="535">
        <f>N59/BE59</f>
        <v>1.5416738441435806E-2</v>
      </c>
      <c r="N60" s="536"/>
      <c r="O60" s="536">
        <f>P59/BE59</f>
        <v>5.809359667905209E-2</v>
      </c>
      <c r="P60" s="536"/>
      <c r="Q60" s="536">
        <f>R59/BE59</f>
        <v>0.1327029054129035</v>
      </c>
      <c r="R60" s="536"/>
      <c r="S60" s="229">
        <f>S59/BE59</f>
        <v>0.20621324053339141</v>
      </c>
      <c r="T60" s="536">
        <f>U59/BE59</f>
        <v>9.4802376168813068E-2</v>
      </c>
      <c r="U60" s="536"/>
      <c r="V60" s="536">
        <f>W59/BE59</f>
        <v>1.7168965095595068E-2</v>
      </c>
      <c r="W60" s="536"/>
      <c r="X60" s="536">
        <f>Y59/BE59</f>
        <v>1.0958913890805361E-3</v>
      </c>
      <c r="Y60" s="536"/>
      <c r="Z60" s="229">
        <f>Z59/BE59</f>
        <v>0.11306723265348867</v>
      </c>
      <c r="AA60" s="535">
        <f>AB59/BE59</f>
        <v>1.0831388348656689E-2</v>
      </c>
      <c r="AB60" s="536"/>
      <c r="AC60" s="536">
        <f>AD59/BE59</f>
        <v>2.5175953057367157E-2</v>
      </c>
      <c r="AD60" s="536"/>
      <c r="AE60" s="536">
        <f>AF59/BE59</f>
        <v>7.2750608486410696E-3</v>
      </c>
      <c r="AF60" s="536"/>
      <c r="AG60" s="536">
        <f>AH59/BE59</f>
        <v>4.5472792676682708E-2</v>
      </c>
      <c r="AH60" s="536"/>
      <c r="AI60" s="536">
        <f>AJ59/BE59</f>
        <v>8.8039749982818678E-3</v>
      </c>
      <c r="AJ60" s="536"/>
      <c r="AK60" s="229">
        <f>AK59/BE59</f>
        <v>9.7559169929629486E-2</v>
      </c>
      <c r="AL60" s="536">
        <f>AM59/BE59</f>
        <v>9.451361102508056E-3</v>
      </c>
      <c r="AM60" s="536"/>
      <c r="AN60" s="536">
        <f>AO59/BE59</f>
        <v>0</v>
      </c>
      <c r="AO60" s="536"/>
      <c r="AP60" s="536">
        <f>AQ59/BE59</f>
        <v>0</v>
      </c>
      <c r="AQ60" s="536"/>
      <c r="AR60" s="229">
        <f>AR59/BE59</f>
        <v>9.451361102508056E-3</v>
      </c>
      <c r="AS60" s="536">
        <f>AT59/BE59</f>
        <v>0</v>
      </c>
      <c r="AT60" s="536"/>
      <c r="AU60" s="536">
        <f>AV59/BE59</f>
        <v>0.2120372758730564</v>
      </c>
      <c r="AV60" s="536"/>
      <c r="AW60" s="229">
        <f>AW59/BE59</f>
        <v>0.2120372758730564</v>
      </c>
      <c r="AX60" s="588">
        <f>AY59/BE59</f>
        <v>1.0043052961003021E-3</v>
      </c>
      <c r="AY60" s="589"/>
      <c r="AZ60" s="590">
        <f>BA59/BE59</f>
        <v>3.0447377714387888E-3</v>
      </c>
      <c r="BA60" s="589"/>
      <c r="BB60" s="590">
        <f>BC59/BE59</f>
        <v>3.4222186124099989E-2</v>
      </c>
      <c r="BC60" s="589"/>
      <c r="BD60" s="230">
        <f>BD59/BE59</f>
        <v>3.8271229191639076E-2</v>
      </c>
      <c r="BE60" s="231"/>
      <c r="BF60" s="232"/>
    </row>
  </sheetData>
  <mergeCells count="192">
    <mergeCell ref="BF35:BF38"/>
    <mergeCell ref="M36:S36"/>
    <mergeCell ref="T36:Z36"/>
    <mergeCell ref="AA36:AK36"/>
    <mergeCell ref="AL36:AR36"/>
    <mergeCell ref="AS36:AW36"/>
    <mergeCell ref="J38:K38"/>
    <mergeCell ref="A35:A38"/>
    <mergeCell ref="B35:L35"/>
    <mergeCell ref="M35:S35"/>
    <mergeCell ref="T35:Z35"/>
    <mergeCell ref="AA35:AK35"/>
    <mergeCell ref="AL35:AR35"/>
    <mergeCell ref="AS35:AW35"/>
    <mergeCell ref="AX35:BD35"/>
    <mergeCell ref="BE35:BE38"/>
    <mergeCell ref="O38:P38"/>
    <mergeCell ref="Q38:R38"/>
    <mergeCell ref="T38:U38"/>
    <mergeCell ref="V38:W38"/>
    <mergeCell ref="AU37:AV37"/>
    <mergeCell ref="AU38:AV38"/>
    <mergeCell ref="AX36:BD36"/>
    <mergeCell ref="M37:N37"/>
    <mergeCell ref="AX60:AY60"/>
    <mergeCell ref="AZ60:BA60"/>
    <mergeCell ref="BB60:BC60"/>
    <mergeCell ref="AL60:AM60"/>
    <mergeCell ref="AN60:AO60"/>
    <mergeCell ref="AP60:AQ60"/>
    <mergeCell ref="AS60:AT60"/>
    <mergeCell ref="AU60:AV60"/>
    <mergeCell ref="AA60:AB60"/>
    <mergeCell ref="AC60:AD60"/>
    <mergeCell ref="AE60:AF60"/>
    <mergeCell ref="AG60:AH60"/>
    <mergeCell ref="AI60:AJ60"/>
    <mergeCell ref="AN37:AO37"/>
    <mergeCell ref="AP37:AQ37"/>
    <mergeCell ref="AR37:AR38"/>
    <mergeCell ref="AS37:AT37"/>
    <mergeCell ref="AS38:AT38"/>
    <mergeCell ref="X38:Y38"/>
    <mergeCell ref="AA38:AB38"/>
    <mergeCell ref="AC38:AD38"/>
    <mergeCell ref="AE38:AF38"/>
    <mergeCell ref="AG38:AH38"/>
    <mergeCell ref="AI38:AJ38"/>
    <mergeCell ref="AL38:AM38"/>
    <mergeCell ref="AN38:AO38"/>
    <mergeCell ref="AP38:AQ38"/>
    <mergeCell ref="AA37:AB37"/>
    <mergeCell ref="AC37:AD37"/>
    <mergeCell ref="AE37:AF37"/>
    <mergeCell ref="AG37:AH37"/>
    <mergeCell ref="AI37:AJ37"/>
    <mergeCell ref="AK37:AK38"/>
    <mergeCell ref="AL37:AM37"/>
    <mergeCell ref="Z37:Z38"/>
    <mergeCell ref="O60:P60"/>
    <mergeCell ref="Q60:R60"/>
    <mergeCell ref="T60:U60"/>
    <mergeCell ref="V60:W60"/>
    <mergeCell ref="X60:Y60"/>
    <mergeCell ref="O37:P37"/>
    <mergeCell ref="Q37:R37"/>
    <mergeCell ref="S37:S38"/>
    <mergeCell ref="T37:U37"/>
    <mergeCell ref="V37:W37"/>
    <mergeCell ref="X37:Y37"/>
    <mergeCell ref="AW37:AW38"/>
    <mergeCell ref="AX37:AY37"/>
    <mergeCell ref="AZ37:BA37"/>
    <mergeCell ref="BB37:BC37"/>
    <mergeCell ref="BD37:BD38"/>
    <mergeCell ref="AX38:AY38"/>
    <mergeCell ref="AZ38:BA38"/>
    <mergeCell ref="BB38:BC38"/>
    <mergeCell ref="BE6:BE9"/>
    <mergeCell ref="BF6:BF9"/>
    <mergeCell ref="AS31:AT31"/>
    <mergeCell ref="AU31:AV31"/>
    <mergeCell ref="AX6:BD6"/>
    <mergeCell ref="AX7:BD7"/>
    <mergeCell ref="AX8:AY8"/>
    <mergeCell ref="AZ8:BA8"/>
    <mergeCell ref="BB8:BC8"/>
    <mergeCell ref="BD8:BD9"/>
    <mergeCell ref="AX9:AY9"/>
    <mergeCell ref="AZ9:BA9"/>
    <mergeCell ref="BB9:BC9"/>
    <mergeCell ref="AX31:AY31"/>
    <mergeCell ref="AZ31:BA31"/>
    <mergeCell ref="BB31:BC31"/>
    <mergeCell ref="AS6:AW6"/>
    <mergeCell ref="AS7:AW7"/>
    <mergeCell ref="AS8:AT8"/>
    <mergeCell ref="AU8:AV8"/>
    <mergeCell ref="AW8:AW9"/>
    <mergeCell ref="AS9:AT9"/>
    <mergeCell ref="AU9:AV9"/>
    <mergeCell ref="AL31:AM31"/>
    <mergeCell ref="AN31:AO31"/>
    <mergeCell ref="AP31:AQ31"/>
    <mergeCell ref="AA6:AK6"/>
    <mergeCell ref="AA7:AK7"/>
    <mergeCell ref="AA8:AB8"/>
    <mergeCell ref="AC8:AD8"/>
    <mergeCell ref="AE8:AF8"/>
    <mergeCell ref="AG8:AH8"/>
    <mergeCell ref="AI8:AJ8"/>
    <mergeCell ref="AK8:AK9"/>
    <mergeCell ref="AA9:AB9"/>
    <mergeCell ref="AL6:AR6"/>
    <mergeCell ref="AL7:AR7"/>
    <mergeCell ref="AL8:AM8"/>
    <mergeCell ref="AN8:AO8"/>
    <mergeCell ref="AP8:AQ8"/>
    <mergeCell ref="AR8:AR9"/>
    <mergeCell ref="AL9:AM9"/>
    <mergeCell ref="AN9:AO9"/>
    <mergeCell ref="AP9:AQ9"/>
    <mergeCell ref="AC9:AD9"/>
    <mergeCell ref="AE9:AF9"/>
    <mergeCell ref="AG9:AH9"/>
    <mergeCell ref="AI9:AJ9"/>
    <mergeCell ref="T31:U31"/>
    <mergeCell ref="V31:W31"/>
    <mergeCell ref="X31:Y31"/>
    <mergeCell ref="AA31:AB31"/>
    <mergeCell ref="AC31:AD31"/>
    <mergeCell ref="AE31:AF31"/>
    <mergeCell ref="AG31:AH31"/>
    <mergeCell ref="AI31:AJ31"/>
    <mergeCell ref="M31:N31"/>
    <mergeCell ref="O31:P31"/>
    <mergeCell ref="Q31:R31"/>
    <mergeCell ref="S8:S9"/>
    <mergeCell ref="M9:N9"/>
    <mergeCell ref="O9:P9"/>
    <mergeCell ref="Q9:R9"/>
    <mergeCell ref="T6:Z6"/>
    <mergeCell ref="T7:Z7"/>
    <mergeCell ref="T8:U8"/>
    <mergeCell ref="V8:W8"/>
    <mergeCell ref="X8:Y8"/>
    <mergeCell ref="Z8:Z9"/>
    <mergeCell ref="T9:U9"/>
    <mergeCell ref="V9:W9"/>
    <mergeCell ref="X9:Y9"/>
    <mergeCell ref="B60:C60"/>
    <mergeCell ref="D60:E60"/>
    <mergeCell ref="F60:G60"/>
    <mergeCell ref="H60:I60"/>
    <mergeCell ref="J60:K60"/>
    <mergeCell ref="M60:N60"/>
    <mergeCell ref="B36:L36"/>
    <mergeCell ref="B37:C37"/>
    <mergeCell ref="D37:E37"/>
    <mergeCell ref="F37:G37"/>
    <mergeCell ref="H37:I37"/>
    <mergeCell ref="J37:K37"/>
    <mergeCell ref="L37:L38"/>
    <mergeCell ref="B38:C38"/>
    <mergeCell ref="D38:E38"/>
    <mergeCell ref="F38:G38"/>
    <mergeCell ref="H38:I38"/>
    <mergeCell ref="M38:N38"/>
    <mergeCell ref="B31:C31"/>
    <mergeCell ref="D31:E31"/>
    <mergeCell ref="F31:G31"/>
    <mergeCell ref="H31:I31"/>
    <mergeCell ref="J31:K31"/>
    <mergeCell ref="H9:I9"/>
    <mergeCell ref="J8:K8"/>
    <mergeCell ref="J9:K9"/>
    <mergeCell ref="B9:C9"/>
    <mergeCell ref="D9:E9"/>
    <mergeCell ref="D8:E8"/>
    <mergeCell ref="F8:G8"/>
    <mergeCell ref="F9:G9"/>
    <mergeCell ref="B8:C8"/>
    <mergeCell ref="H8:I8"/>
    <mergeCell ref="L8:L9"/>
    <mergeCell ref="B6:L6"/>
    <mergeCell ref="B7:L7"/>
    <mergeCell ref="A6:A9"/>
    <mergeCell ref="M6:S6"/>
    <mergeCell ref="M7:S7"/>
    <mergeCell ref="M8:N8"/>
    <mergeCell ref="O8:P8"/>
    <mergeCell ref="Q8:R8"/>
  </mergeCells>
  <pageMargins left="0.7" right="0.7" top="0.75" bottom="0.75" header="0.3" footer="0.3"/>
  <pageSetup scale="50" orientation="landscape" r:id="rId1"/>
  <headerFooter>
    <oddFooter>Page &amp;P</oddFooter>
  </headerFooter>
  <colBreaks count="2" manualBreakCount="2">
    <brk id="19" max="59" man="1"/>
    <brk id="37" max="59" man="1"/>
    <brk id="19" max="16384" man="1"/>
    <brk id="37" max="16384" man="1"/>
  </colBreaks>
  <ignoredErrors>
    <ignoredError sqref="B17 D17 F17 H17 J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</sheetPr>
  <dimension ref="A1:V33"/>
  <sheetViews>
    <sheetView zoomScale="80" zoomScaleNormal="80" workbookViewId="0">
      <pane xSplit="2" topLeftCell="C1" activePane="topRight" state="frozenSplit"/>
      <selection pane="topRight"/>
    </sheetView>
  </sheetViews>
  <sheetFormatPr defaultRowHeight="15" x14ac:dyDescent="0.25"/>
  <cols>
    <col min="1" max="1" width="10.85546875" style="1" customWidth="1"/>
    <col min="2" max="2" width="7.140625" style="1" hidden="1" customWidth="1"/>
    <col min="3" max="3" width="15.7109375" style="1" customWidth="1"/>
    <col min="4" max="6" width="12.7109375" style="1" customWidth="1"/>
    <col min="7" max="7" width="15.28515625" style="1" customWidth="1"/>
    <col min="8" max="9" width="12.7109375" style="1" customWidth="1"/>
    <col min="10" max="11" width="15.28515625" style="1" customWidth="1"/>
    <col min="12" max="12" width="9.140625" style="1" customWidth="1"/>
    <col min="13" max="13" width="1.5703125" style="1" customWidth="1"/>
    <col min="14" max="16" width="12.7109375" style="1" customWidth="1"/>
    <col min="17" max="17" width="15.28515625" style="1" customWidth="1"/>
    <col min="18" max="19" width="12.7109375" style="1" customWidth="1"/>
    <col min="20" max="21" width="15.28515625" style="1" customWidth="1"/>
  </cols>
  <sheetData>
    <row r="1" spans="1:22" ht="15.75" customHeight="1" x14ac:dyDescent="0.25">
      <c r="A1" s="12" t="s">
        <v>133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2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2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2" x14ac:dyDescent="0.25">
      <c r="A4" s="14" t="s">
        <v>134</v>
      </c>
    </row>
    <row r="5" spans="1:22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2" ht="15.75" customHeight="1" thickBot="1" x14ac:dyDescent="0.3">
      <c r="A6" s="458"/>
      <c r="B6" s="233"/>
      <c r="C6" s="452" t="s">
        <v>135</v>
      </c>
      <c r="D6" s="618" t="s">
        <v>3</v>
      </c>
      <c r="E6" s="460"/>
      <c r="F6" s="460"/>
      <c r="G6" s="460"/>
      <c r="H6" s="460"/>
      <c r="I6" s="460"/>
      <c r="J6" s="460"/>
      <c r="K6" s="460"/>
      <c r="L6" s="461"/>
      <c r="M6" s="15"/>
      <c r="N6" s="618" t="s">
        <v>4</v>
      </c>
      <c r="O6" s="460"/>
      <c r="P6" s="460"/>
      <c r="Q6" s="460"/>
      <c r="R6" s="460"/>
      <c r="S6" s="460"/>
      <c r="T6" s="460"/>
      <c r="U6" s="460"/>
      <c r="V6" s="461"/>
    </row>
    <row r="7" spans="1:22" ht="15" customHeight="1" x14ac:dyDescent="0.25">
      <c r="A7" s="606"/>
      <c r="C7" s="457"/>
      <c r="D7" s="621" t="s">
        <v>136</v>
      </c>
      <c r="E7" s="622"/>
      <c r="F7" s="622"/>
      <c r="G7" s="622"/>
      <c r="H7" s="623"/>
      <c r="I7" s="607" t="s">
        <v>137</v>
      </c>
      <c r="J7" s="608"/>
      <c r="K7" s="615" t="s">
        <v>138</v>
      </c>
      <c r="L7" s="603" t="s">
        <v>139</v>
      </c>
      <c r="M7" s="19"/>
      <c r="N7" s="621" t="s">
        <v>136</v>
      </c>
      <c r="O7" s="622"/>
      <c r="P7" s="622"/>
      <c r="Q7" s="622"/>
      <c r="R7" s="623"/>
      <c r="S7" s="607" t="s">
        <v>137</v>
      </c>
      <c r="T7" s="608"/>
      <c r="U7" s="615" t="s">
        <v>140</v>
      </c>
      <c r="V7" s="603" t="s">
        <v>141</v>
      </c>
    </row>
    <row r="8" spans="1:22" ht="24" customHeight="1" x14ac:dyDescent="0.25">
      <c r="A8" s="606"/>
      <c r="C8" s="457"/>
      <c r="D8" s="234" t="s">
        <v>142</v>
      </c>
      <c r="E8" s="609" t="s">
        <v>143</v>
      </c>
      <c r="F8" s="611" t="s">
        <v>144</v>
      </c>
      <c r="G8" s="611" t="s">
        <v>34</v>
      </c>
      <c r="H8" s="619" t="s">
        <v>145</v>
      </c>
      <c r="I8" s="235" t="s">
        <v>146</v>
      </c>
      <c r="J8" s="613" t="s">
        <v>34</v>
      </c>
      <c r="K8" s="616"/>
      <c r="L8" s="604"/>
      <c r="M8" s="19"/>
      <c r="N8" s="234" t="s">
        <v>142</v>
      </c>
      <c r="O8" s="609" t="s">
        <v>143</v>
      </c>
      <c r="P8" s="611" t="s">
        <v>144</v>
      </c>
      <c r="Q8" s="611" t="s">
        <v>34</v>
      </c>
      <c r="R8" s="619" t="s">
        <v>145</v>
      </c>
      <c r="S8" s="235" t="s">
        <v>146</v>
      </c>
      <c r="T8" s="613" t="s">
        <v>34</v>
      </c>
      <c r="U8" s="616"/>
      <c r="V8" s="604"/>
    </row>
    <row r="9" spans="1:22" ht="24" customHeight="1" thickBot="1" x14ac:dyDescent="0.3">
      <c r="A9" s="459"/>
      <c r="C9" s="457"/>
      <c r="D9" s="236">
        <v>3.0799E-2</v>
      </c>
      <c r="E9" s="610"/>
      <c r="F9" s="612"/>
      <c r="G9" s="612"/>
      <c r="H9" s="620"/>
      <c r="I9" s="237">
        <v>1.9047000000000001E-2</v>
      </c>
      <c r="J9" s="614"/>
      <c r="K9" s="617"/>
      <c r="L9" s="605"/>
      <c r="M9" s="19"/>
      <c r="N9" s="236">
        <v>3.7449999999999997E-2</v>
      </c>
      <c r="O9" s="610"/>
      <c r="P9" s="612"/>
      <c r="Q9" s="612"/>
      <c r="R9" s="620"/>
      <c r="S9" s="237">
        <v>3.8106000000000001E-2</v>
      </c>
      <c r="T9" s="614"/>
      <c r="U9" s="617"/>
      <c r="V9" s="605"/>
    </row>
    <row r="10" spans="1:22" x14ac:dyDescent="0.25">
      <c r="A10" s="238" t="s">
        <v>50</v>
      </c>
      <c r="B10" s="238">
        <v>1</v>
      </c>
      <c r="C10" s="239">
        <v>184795242</v>
      </c>
      <c r="D10" s="66">
        <f t="shared" ref="D10:D17" si="0">IF($B10 = 1, ROUND(D$9*$C10, 0), "")</f>
        <v>5691509</v>
      </c>
      <c r="E10" s="154">
        <f t="shared" ref="E10:E17" si="1">IF($B10 = 1, F10-D10, "")</f>
        <v>6446049</v>
      </c>
      <c r="F10" s="64">
        <v>12137558</v>
      </c>
      <c r="G10" s="154">
        <f t="shared" ref="G10:G17" si="2">IF($B10 = 1, $C10+E10, "")</f>
        <v>191241291</v>
      </c>
      <c r="H10" s="128">
        <f t="shared" ref="H10:H17" si="3">IF($B10 = 1, F10/G10, "")</f>
        <v>6.3467245679699996E-2</v>
      </c>
      <c r="I10" s="66" t="str">
        <f t="shared" ref="I10:I17" si="4">IF($B10 = 0, ROUND(I$9*$C10, 0), "")</f>
        <v/>
      </c>
      <c r="J10" s="240" t="str">
        <f t="shared" ref="J10:J17" si="5">IF($B10 = 0, $C10+I10, "")</f>
        <v/>
      </c>
      <c r="K10" s="64">
        <f t="shared" ref="K10:K17" si="6">IF($B10 = 1, G10, J10)</f>
        <v>191241291</v>
      </c>
      <c r="L10" s="155">
        <f t="shared" ref="L10:L18" si="7">(K10-$C10)/$C10</f>
        <v>3.4882115633691479E-2</v>
      </c>
      <c r="M10" s="19"/>
      <c r="N10" s="66">
        <f t="shared" ref="N10:N17" si="8">IF($B10 = 1, ROUND(N$9*$C10, 0), "")</f>
        <v>6920582</v>
      </c>
      <c r="O10" s="154">
        <f t="shared" ref="O10:O17" si="9">IF($B10 = 1, P10-N10, "")</f>
        <v>11477213</v>
      </c>
      <c r="P10" s="64">
        <v>18397795</v>
      </c>
      <c r="Q10" s="154">
        <f t="shared" ref="Q10:Q17" si="10">IF($B10 = 1, $C10+O10, "")</f>
        <v>196272455</v>
      </c>
      <c r="R10" s="128">
        <f t="shared" ref="R10:R17" si="11">IF($B10 = 1, P10/Q10, "")</f>
        <v>9.3736000805614825E-2</v>
      </c>
      <c r="S10" s="66" t="str">
        <f t="shared" ref="S10:S17" si="12">IF($B10 = 0, ROUND(S$9*$C10, 0), "")</f>
        <v/>
      </c>
      <c r="T10" s="240" t="str">
        <f t="shared" ref="T10:T17" si="13">IF($B10 = 0, $C10+S10, "")</f>
        <v/>
      </c>
      <c r="U10" s="64">
        <f t="shared" ref="U10:U17" si="14">IF($B10 = 1, Q10, T10)</f>
        <v>196272455</v>
      </c>
      <c r="V10" s="155">
        <f t="shared" ref="V10:V18" si="15">(U10-$C10)/$C10</f>
        <v>6.2107730024780615E-2</v>
      </c>
    </row>
    <row r="11" spans="1:22" x14ac:dyDescent="0.25">
      <c r="A11" s="241" t="s">
        <v>55</v>
      </c>
      <c r="B11" s="241">
        <v>1</v>
      </c>
      <c r="C11" s="63">
        <v>8988877</v>
      </c>
      <c r="D11" s="66">
        <f t="shared" si="0"/>
        <v>276848</v>
      </c>
      <c r="E11" s="154">
        <f t="shared" si="1"/>
        <v>856586</v>
      </c>
      <c r="F11" s="64">
        <v>1133434</v>
      </c>
      <c r="G11" s="154">
        <f t="shared" si="2"/>
        <v>9845463</v>
      </c>
      <c r="H11" s="128">
        <f t="shared" si="3"/>
        <v>0.11512246808504588</v>
      </c>
      <c r="I11" s="66" t="str">
        <f t="shared" si="4"/>
        <v/>
      </c>
      <c r="J11" s="240" t="str">
        <f t="shared" si="5"/>
        <v/>
      </c>
      <c r="K11" s="64">
        <f t="shared" si="6"/>
        <v>9845463</v>
      </c>
      <c r="L11" s="155">
        <f t="shared" si="7"/>
        <v>9.5293995011835178E-2</v>
      </c>
      <c r="M11" s="19"/>
      <c r="N11" s="66">
        <f t="shared" si="8"/>
        <v>336633</v>
      </c>
      <c r="O11" s="154">
        <f t="shared" si="9"/>
        <v>1381458</v>
      </c>
      <c r="P11" s="64">
        <v>1718091</v>
      </c>
      <c r="Q11" s="154">
        <f t="shared" si="10"/>
        <v>10370335</v>
      </c>
      <c r="R11" s="128">
        <f t="shared" si="11"/>
        <v>0.16567362577968792</v>
      </c>
      <c r="S11" s="66" t="str">
        <f t="shared" si="12"/>
        <v/>
      </c>
      <c r="T11" s="240" t="str">
        <f t="shared" si="13"/>
        <v/>
      </c>
      <c r="U11" s="64">
        <f t="shared" si="14"/>
        <v>10370335</v>
      </c>
      <c r="V11" s="155">
        <f t="shared" si="15"/>
        <v>0.15368527125246012</v>
      </c>
    </row>
    <row r="12" spans="1:22" x14ac:dyDescent="0.25">
      <c r="A12" s="241" t="s">
        <v>56</v>
      </c>
      <c r="B12" s="241">
        <v>1</v>
      </c>
      <c r="C12" s="63">
        <v>12064986</v>
      </c>
      <c r="D12" s="66">
        <f t="shared" si="0"/>
        <v>371590</v>
      </c>
      <c r="E12" s="154">
        <f t="shared" si="1"/>
        <v>322810</v>
      </c>
      <c r="F12" s="64">
        <v>694400</v>
      </c>
      <c r="G12" s="154">
        <f t="shared" si="2"/>
        <v>12387796</v>
      </c>
      <c r="H12" s="128">
        <f t="shared" si="3"/>
        <v>5.605516913581722E-2</v>
      </c>
      <c r="I12" s="66" t="str">
        <f t="shared" si="4"/>
        <v/>
      </c>
      <c r="J12" s="240" t="str">
        <f t="shared" si="5"/>
        <v/>
      </c>
      <c r="K12" s="64">
        <f t="shared" si="6"/>
        <v>12387796</v>
      </c>
      <c r="L12" s="155">
        <f t="shared" si="7"/>
        <v>2.6755936558898619E-2</v>
      </c>
      <c r="M12" s="19"/>
      <c r="N12" s="66">
        <f t="shared" si="8"/>
        <v>451834</v>
      </c>
      <c r="O12" s="154">
        <f t="shared" si="9"/>
        <v>600753</v>
      </c>
      <c r="P12" s="64">
        <v>1052587</v>
      </c>
      <c r="Q12" s="154">
        <f t="shared" si="10"/>
        <v>12665739</v>
      </c>
      <c r="R12" s="128">
        <f t="shared" si="11"/>
        <v>8.3105060036370554E-2</v>
      </c>
      <c r="S12" s="66" t="str">
        <f t="shared" si="12"/>
        <v/>
      </c>
      <c r="T12" s="240" t="str">
        <f t="shared" si="13"/>
        <v/>
      </c>
      <c r="U12" s="64">
        <f t="shared" si="14"/>
        <v>12665739</v>
      </c>
      <c r="V12" s="155">
        <f t="shared" si="15"/>
        <v>4.9793095491366506E-2</v>
      </c>
    </row>
    <row r="13" spans="1:22" x14ac:dyDescent="0.25">
      <c r="A13" s="241" t="s">
        <v>57</v>
      </c>
      <c r="B13" s="241">
        <v>1</v>
      </c>
      <c r="C13" s="63">
        <v>16720237</v>
      </c>
      <c r="D13" s="66">
        <f t="shared" si="0"/>
        <v>514967</v>
      </c>
      <c r="E13" s="154">
        <f t="shared" si="1"/>
        <v>436588</v>
      </c>
      <c r="F13" s="64">
        <v>951555</v>
      </c>
      <c r="G13" s="154">
        <f t="shared" si="2"/>
        <v>17156825</v>
      </c>
      <c r="H13" s="128">
        <f t="shared" si="3"/>
        <v>5.5462184873949577E-2</v>
      </c>
      <c r="I13" s="66" t="str">
        <f t="shared" si="4"/>
        <v/>
      </c>
      <c r="J13" s="240" t="str">
        <f t="shared" si="5"/>
        <v/>
      </c>
      <c r="K13" s="64">
        <f t="shared" si="6"/>
        <v>17156825</v>
      </c>
      <c r="L13" s="155">
        <f t="shared" si="7"/>
        <v>2.6111352368988549E-2</v>
      </c>
      <c r="M13" s="19"/>
      <c r="N13" s="66">
        <f t="shared" si="8"/>
        <v>626173</v>
      </c>
      <c r="O13" s="154">
        <f t="shared" si="9"/>
        <v>816201</v>
      </c>
      <c r="P13" s="64">
        <v>1442374</v>
      </c>
      <c r="Q13" s="154">
        <f t="shared" si="10"/>
        <v>17536438</v>
      </c>
      <c r="R13" s="128">
        <f t="shared" si="11"/>
        <v>8.2250112594131147E-2</v>
      </c>
      <c r="S13" s="66" t="str">
        <f t="shared" si="12"/>
        <v/>
      </c>
      <c r="T13" s="240" t="str">
        <f t="shared" si="13"/>
        <v/>
      </c>
      <c r="U13" s="64">
        <f t="shared" si="14"/>
        <v>17536438</v>
      </c>
      <c r="V13" s="155">
        <f t="shared" si="15"/>
        <v>4.8815157344958685E-2</v>
      </c>
    </row>
    <row r="14" spans="1:22" x14ac:dyDescent="0.25">
      <c r="A14" s="241" t="s">
        <v>58</v>
      </c>
      <c r="B14" s="241">
        <v>1</v>
      </c>
      <c r="C14" s="63">
        <v>95960976</v>
      </c>
      <c r="D14" s="66">
        <f t="shared" si="0"/>
        <v>2955502</v>
      </c>
      <c r="E14" s="154">
        <f t="shared" si="1"/>
        <v>3907190</v>
      </c>
      <c r="F14" s="64">
        <v>6862692</v>
      </c>
      <c r="G14" s="154">
        <f t="shared" si="2"/>
        <v>99868166</v>
      </c>
      <c r="H14" s="128">
        <f t="shared" si="3"/>
        <v>6.8717513046149259E-2</v>
      </c>
      <c r="I14" s="66" t="str">
        <f t="shared" si="4"/>
        <v/>
      </c>
      <c r="J14" s="240" t="str">
        <f t="shared" si="5"/>
        <v/>
      </c>
      <c r="K14" s="64">
        <f t="shared" si="6"/>
        <v>99868166</v>
      </c>
      <c r="L14" s="155">
        <f t="shared" si="7"/>
        <v>4.0716447069066908E-2</v>
      </c>
      <c r="M14" s="19"/>
      <c r="N14" s="66">
        <f t="shared" si="8"/>
        <v>3593739</v>
      </c>
      <c r="O14" s="154">
        <f t="shared" si="9"/>
        <v>6808720</v>
      </c>
      <c r="P14" s="64">
        <v>10402459</v>
      </c>
      <c r="Q14" s="154">
        <f t="shared" si="10"/>
        <v>102769696</v>
      </c>
      <c r="R14" s="128">
        <f t="shared" si="11"/>
        <v>0.10122107396328194</v>
      </c>
      <c r="S14" s="66" t="str">
        <f t="shared" si="12"/>
        <v/>
      </c>
      <c r="T14" s="240" t="str">
        <f t="shared" si="13"/>
        <v/>
      </c>
      <c r="U14" s="64">
        <f t="shared" si="14"/>
        <v>102769696</v>
      </c>
      <c r="V14" s="155">
        <f t="shared" si="15"/>
        <v>7.0953009064851524E-2</v>
      </c>
    </row>
    <row r="15" spans="1:22" x14ac:dyDescent="0.25">
      <c r="A15" s="241" t="s">
        <v>59</v>
      </c>
      <c r="B15" s="241">
        <v>1</v>
      </c>
      <c r="C15" s="63">
        <v>22254859</v>
      </c>
      <c r="D15" s="66">
        <f t="shared" si="0"/>
        <v>685427</v>
      </c>
      <c r="E15" s="154">
        <f t="shared" si="1"/>
        <v>355527</v>
      </c>
      <c r="F15" s="64">
        <v>1040954</v>
      </c>
      <c r="G15" s="154">
        <f t="shared" si="2"/>
        <v>22610386</v>
      </c>
      <c r="H15" s="128">
        <f t="shared" si="3"/>
        <v>4.6038754048692489E-2</v>
      </c>
      <c r="I15" s="66" t="str">
        <f t="shared" si="4"/>
        <v/>
      </c>
      <c r="J15" s="240" t="str">
        <f t="shared" si="5"/>
        <v/>
      </c>
      <c r="K15" s="64">
        <f t="shared" si="6"/>
        <v>22610386</v>
      </c>
      <c r="L15" s="155">
        <f t="shared" si="7"/>
        <v>1.5975252865003547E-2</v>
      </c>
      <c r="M15" s="19"/>
      <c r="N15" s="66">
        <f t="shared" si="8"/>
        <v>833444</v>
      </c>
      <c r="O15" s="154">
        <f t="shared" si="9"/>
        <v>744479</v>
      </c>
      <c r="P15" s="64">
        <v>1577923</v>
      </c>
      <c r="Q15" s="154">
        <f t="shared" si="10"/>
        <v>22999338</v>
      </c>
      <c r="R15" s="128">
        <f t="shared" si="11"/>
        <v>6.8607322523804817E-2</v>
      </c>
      <c r="S15" s="66" t="str">
        <f t="shared" si="12"/>
        <v/>
      </c>
      <c r="T15" s="240" t="str">
        <f t="shared" si="13"/>
        <v/>
      </c>
      <c r="U15" s="64">
        <f t="shared" si="14"/>
        <v>22999338</v>
      </c>
      <c r="V15" s="155">
        <f t="shared" si="15"/>
        <v>3.3452424928866097E-2</v>
      </c>
    </row>
    <row r="16" spans="1:22" x14ac:dyDescent="0.25">
      <c r="A16" s="241" t="s">
        <v>60</v>
      </c>
      <c r="B16" s="241">
        <v>1</v>
      </c>
      <c r="C16" s="63">
        <v>19093240</v>
      </c>
      <c r="D16" s="66">
        <f t="shared" si="0"/>
        <v>588053</v>
      </c>
      <c r="E16" s="154">
        <f t="shared" si="1"/>
        <v>103496</v>
      </c>
      <c r="F16" s="64">
        <v>691549</v>
      </c>
      <c r="G16" s="154">
        <f t="shared" si="2"/>
        <v>19196736</v>
      </c>
      <c r="H16" s="128">
        <f t="shared" si="3"/>
        <v>3.6024301214539804E-2</v>
      </c>
      <c r="I16" s="66" t="str">
        <f t="shared" si="4"/>
        <v/>
      </c>
      <c r="J16" s="240" t="str">
        <f t="shared" si="5"/>
        <v/>
      </c>
      <c r="K16" s="64">
        <f t="shared" si="6"/>
        <v>19196736</v>
      </c>
      <c r="L16" s="155">
        <f t="shared" si="7"/>
        <v>5.4205572233942487E-3</v>
      </c>
      <c r="M16" s="19"/>
      <c r="N16" s="66">
        <f t="shared" si="8"/>
        <v>715042</v>
      </c>
      <c r="O16" s="154">
        <f t="shared" si="9"/>
        <v>333244</v>
      </c>
      <c r="P16" s="64">
        <v>1048286</v>
      </c>
      <c r="Q16" s="154">
        <f t="shared" si="10"/>
        <v>19426484</v>
      </c>
      <c r="R16" s="128">
        <f t="shared" si="11"/>
        <v>5.3961694766793619E-2</v>
      </c>
      <c r="S16" s="66" t="str">
        <f t="shared" si="12"/>
        <v/>
      </c>
      <c r="T16" s="240" t="str">
        <f t="shared" si="13"/>
        <v/>
      </c>
      <c r="U16" s="64">
        <f t="shared" si="14"/>
        <v>19426484</v>
      </c>
      <c r="V16" s="155">
        <f t="shared" si="15"/>
        <v>1.7453507105132497E-2</v>
      </c>
    </row>
    <row r="17" spans="1:22" ht="15.75" customHeight="1" thickBot="1" x14ac:dyDescent="0.3">
      <c r="A17" s="241" t="s">
        <v>61</v>
      </c>
      <c r="B17" s="241">
        <v>0</v>
      </c>
      <c r="C17" s="63">
        <v>112414221</v>
      </c>
      <c r="D17" s="66" t="str">
        <f t="shared" si="0"/>
        <v/>
      </c>
      <c r="E17" s="154" t="str">
        <f t="shared" si="1"/>
        <v/>
      </c>
      <c r="F17" s="64"/>
      <c r="G17" s="154" t="str">
        <f t="shared" si="2"/>
        <v/>
      </c>
      <c r="H17" s="128" t="str">
        <f t="shared" si="3"/>
        <v/>
      </c>
      <c r="I17" s="66">
        <f t="shared" si="4"/>
        <v>2141154</v>
      </c>
      <c r="J17" s="240">
        <f t="shared" si="5"/>
        <v>114555375</v>
      </c>
      <c r="K17" s="64">
        <f t="shared" si="6"/>
        <v>114555375</v>
      </c>
      <c r="L17" s="155">
        <f t="shared" si="7"/>
        <v>1.9047002958816037E-2</v>
      </c>
      <c r="M17" s="19"/>
      <c r="N17" s="66" t="str">
        <f t="shared" si="8"/>
        <v/>
      </c>
      <c r="O17" s="154" t="str">
        <f t="shared" si="9"/>
        <v/>
      </c>
      <c r="P17" s="64"/>
      <c r="Q17" s="154" t="str">
        <f t="shared" si="10"/>
        <v/>
      </c>
      <c r="R17" s="128" t="str">
        <f t="shared" si="11"/>
        <v/>
      </c>
      <c r="S17" s="66">
        <f t="shared" si="12"/>
        <v>4283656</v>
      </c>
      <c r="T17" s="240">
        <f t="shared" si="13"/>
        <v>116697877</v>
      </c>
      <c r="U17" s="64">
        <f t="shared" si="14"/>
        <v>116697877</v>
      </c>
      <c r="V17" s="155">
        <f t="shared" si="15"/>
        <v>3.8105997283030588E-2</v>
      </c>
    </row>
    <row r="18" spans="1:22" ht="15.75" customHeight="1" thickTop="1" x14ac:dyDescent="0.25">
      <c r="A18" s="242" t="s">
        <v>131</v>
      </c>
      <c r="B18" s="242"/>
      <c r="C18" s="243">
        <f>SUM(C10:C17)</f>
        <v>472292638</v>
      </c>
      <c r="D18" s="244">
        <f>SUM(D10:D17)</f>
        <v>11083896</v>
      </c>
      <c r="E18" s="245">
        <f>SUM(E10:E17)</f>
        <v>12428246</v>
      </c>
      <c r="F18" s="246">
        <f>SUM(F10:F17)</f>
        <v>23512142</v>
      </c>
      <c r="G18" s="245">
        <f>SUM(G10:G17)</f>
        <v>372306663</v>
      </c>
      <c r="H18" s="247">
        <f>F18/G18</f>
        <v>6.3152622116784407E-2</v>
      </c>
      <c r="I18" s="244">
        <f>SUM(I10:I17)</f>
        <v>2141154</v>
      </c>
      <c r="J18" s="248">
        <f>SUM(J10:J17)</f>
        <v>114555375</v>
      </c>
      <c r="K18" s="246">
        <f>SUM(G18,J18)</f>
        <v>486862038</v>
      </c>
      <c r="L18" s="247">
        <f t="shared" si="7"/>
        <v>3.0848247098867545E-2</v>
      </c>
      <c r="M18" s="207"/>
      <c r="N18" s="244">
        <f>SUM(N10:N17)</f>
        <v>13477447</v>
      </c>
      <c r="O18" s="245">
        <f>SUM(O10:O17)</f>
        <v>22162068</v>
      </c>
      <c r="P18" s="246">
        <f>SUM(P10:P17)</f>
        <v>35639515</v>
      </c>
      <c r="Q18" s="245">
        <f>SUM(Q10:Q17)</f>
        <v>382040485</v>
      </c>
      <c r="R18" s="247">
        <f>P18/Q18</f>
        <v>9.3287272944384408E-2</v>
      </c>
      <c r="S18" s="244">
        <f>SUM(S10:S17)</f>
        <v>4283656</v>
      </c>
      <c r="T18" s="248">
        <f>SUM(T10:T17)</f>
        <v>116697877</v>
      </c>
      <c r="U18" s="246">
        <f>SUM(Q18,T18)</f>
        <v>498738362</v>
      </c>
      <c r="V18" s="247">
        <f t="shared" si="15"/>
        <v>5.5994360005247427E-2</v>
      </c>
    </row>
    <row r="19" spans="1:22" x14ac:dyDescent="0.25">
      <c r="A19" s="249"/>
      <c r="B19" s="249"/>
      <c r="C19" s="250"/>
      <c r="D19" s="251"/>
      <c r="E19" s="252"/>
      <c r="F19" s="253"/>
      <c r="G19" s="252"/>
      <c r="H19" s="254"/>
      <c r="I19" s="251"/>
      <c r="J19" s="255"/>
      <c r="K19" s="253"/>
      <c r="L19" s="256"/>
      <c r="M19" s="19"/>
      <c r="N19" s="251"/>
      <c r="O19" s="252"/>
      <c r="P19" s="253"/>
      <c r="Q19" s="252"/>
      <c r="R19" s="254"/>
      <c r="S19" s="251"/>
      <c r="T19" s="255"/>
      <c r="U19" s="253"/>
      <c r="V19" s="256"/>
    </row>
    <row r="20" spans="1:22" x14ac:dyDescent="0.25">
      <c r="A20" s="241" t="s">
        <v>65</v>
      </c>
      <c r="B20" s="241">
        <v>1</v>
      </c>
      <c r="C20" s="63">
        <v>244792248</v>
      </c>
      <c r="D20" s="66">
        <f>IF($B20 = 1, ROUND(D$9*$C20, 0), "")</f>
        <v>7539356</v>
      </c>
      <c r="E20" s="154">
        <f>IF($B20 = 1, F20-D20, "")</f>
        <v>-3848283</v>
      </c>
      <c r="F20" s="64">
        <v>3691073</v>
      </c>
      <c r="G20" s="154">
        <f>IF($B20 = 1, $C20+E20, "")</f>
        <v>240943965</v>
      </c>
      <c r="H20" s="128">
        <f>IF($B20 = 1, F20/G20, "")</f>
        <v>1.5319217478636578E-2</v>
      </c>
      <c r="I20" s="66" t="str">
        <f>IF($B20 = 0, ROUND(I$9*$C20, 0), "")</f>
        <v/>
      </c>
      <c r="J20" s="240" t="str">
        <f>IF($B20 = 0, $C20+I20, "")</f>
        <v/>
      </c>
      <c r="K20" s="64">
        <f>IF($B20 = 1, G20, J20)</f>
        <v>240943965</v>
      </c>
      <c r="L20" s="155">
        <f>(K20-$C20)/$C20</f>
        <v>-1.5720608113374571E-2</v>
      </c>
      <c r="M20" s="19"/>
      <c r="N20" s="66">
        <f>IF($B20 = 1, ROUND(N$9*$C20, 0), "")</f>
        <v>9167470</v>
      </c>
      <c r="O20" s="154">
        <f>IF($B20 = 1, P20-N20, "")</f>
        <v>-3572507</v>
      </c>
      <c r="P20" s="64">
        <v>5594963</v>
      </c>
      <c r="Q20" s="154">
        <f>IF($B20 = 1, $C20+O20, "")</f>
        <v>241219741</v>
      </c>
      <c r="R20" s="128">
        <f>IF($B20 = 1, P20/Q20, "")</f>
        <v>2.3194465663571043E-2</v>
      </c>
      <c r="S20" s="66" t="str">
        <f>IF($B20 = 0, ROUND(S$9*$C20, 0), "")</f>
        <v/>
      </c>
      <c r="T20" s="240" t="str">
        <f>IF($B20 = 0, $C20+S20, "")</f>
        <v/>
      </c>
      <c r="U20" s="64">
        <f>IF($B20 = 1, Q20, T20)</f>
        <v>241219741</v>
      </c>
      <c r="V20" s="155">
        <f>(U20-$C20)/$C20</f>
        <v>-1.4594036490894108E-2</v>
      </c>
    </row>
    <row r="21" spans="1:22" x14ac:dyDescent="0.25">
      <c r="A21" s="241" t="s">
        <v>66</v>
      </c>
      <c r="B21" s="241">
        <v>1</v>
      </c>
      <c r="C21" s="63">
        <v>27843362</v>
      </c>
      <c r="D21" s="66">
        <f>IF($B21 = 1, ROUND(D$9*$C21, 0), "")</f>
        <v>857548</v>
      </c>
      <c r="E21" s="154">
        <f>IF($B21 = 1, F21-D21, "")</f>
        <v>159303</v>
      </c>
      <c r="F21" s="64">
        <v>1016851</v>
      </c>
      <c r="G21" s="154">
        <f>IF($B21 = 1, $C21+E21, "")</f>
        <v>28002665</v>
      </c>
      <c r="H21" s="128">
        <f>IF($B21 = 1, F21/G21, "")</f>
        <v>3.631265095661431E-2</v>
      </c>
      <c r="I21" s="66" t="str">
        <f>IF($B21 = 0, ROUND(I$9*$C21, 0), "")</f>
        <v/>
      </c>
      <c r="J21" s="240" t="str">
        <f>IF($B21 = 0, $C21+I21, "")</f>
        <v/>
      </c>
      <c r="K21" s="64">
        <f>IF($B21 = 1, G21, J21)</f>
        <v>28002665</v>
      </c>
      <c r="L21" s="155">
        <f>(K21-$C21)/$C21</f>
        <v>5.7213995924773739E-3</v>
      </c>
      <c r="M21" s="19"/>
      <c r="N21" s="66">
        <f>IF($B21 = 1, ROUND(N$9*$C21, 0), "")</f>
        <v>1042734</v>
      </c>
      <c r="O21" s="154">
        <f>IF($B21 = 1, P21-N21, "")</f>
        <v>498608</v>
      </c>
      <c r="P21" s="64">
        <v>1541342</v>
      </c>
      <c r="Q21" s="154">
        <f>IF($B21 = 1, $C21+O21, "")</f>
        <v>28341970</v>
      </c>
      <c r="R21" s="128">
        <f>IF($B21 = 1, P21/Q21, "")</f>
        <v>5.4383728442306586E-2</v>
      </c>
      <c r="S21" s="66" t="str">
        <f>IF($B21 = 0, ROUND(S$9*$C21, 0), "")</f>
        <v/>
      </c>
      <c r="T21" s="240" t="str">
        <f>IF($B21 = 0, $C21+S21, "")</f>
        <v/>
      </c>
      <c r="U21" s="64">
        <f>IF($B21 = 1, Q21, T21)</f>
        <v>28341970</v>
      </c>
      <c r="V21" s="155">
        <f>(U21-$C21)/$C21</f>
        <v>1.7907607565494425E-2</v>
      </c>
    </row>
    <row r="22" spans="1:22" x14ac:dyDescent="0.25">
      <c r="A22" s="241" t="s">
        <v>67</v>
      </c>
      <c r="B22" s="241">
        <v>1</v>
      </c>
      <c r="C22" s="63">
        <v>13453989</v>
      </c>
      <c r="D22" s="66">
        <f>IF($B22 = 1, ROUND(D$9*$C22, 0), "")</f>
        <v>414369</v>
      </c>
      <c r="E22" s="154">
        <f>IF($B22 = 1, F22-D22, "")</f>
        <v>181307</v>
      </c>
      <c r="F22" s="64">
        <v>595676</v>
      </c>
      <c r="G22" s="154">
        <f>IF($B22 = 1, $C22+E22, "")</f>
        <v>13635296</v>
      </c>
      <c r="H22" s="128">
        <f>IF($B22 = 1, F22/G22, "")</f>
        <v>4.3686327014829746E-2</v>
      </c>
      <c r="I22" s="66" t="str">
        <f>IF($B22 = 0, ROUND(I$9*$C22, 0), "")</f>
        <v/>
      </c>
      <c r="J22" s="240" t="str">
        <f>IF($B22 = 0, $C22+I22, "")</f>
        <v/>
      </c>
      <c r="K22" s="64">
        <f>IF($B22 = 1, G22, J22)</f>
        <v>13635296</v>
      </c>
      <c r="L22" s="155">
        <f>(K22-$C22)/$C22</f>
        <v>1.347607761534516E-2</v>
      </c>
      <c r="M22" s="19"/>
      <c r="N22" s="66">
        <f>IF($B22 = 1, ROUND(N$9*$C22, 0), "")</f>
        <v>503852</v>
      </c>
      <c r="O22" s="154">
        <f>IF($B22 = 1, P22-N22, "")</f>
        <v>399120</v>
      </c>
      <c r="P22" s="64">
        <v>902972</v>
      </c>
      <c r="Q22" s="154">
        <f>IF($B22 = 1, $C22+O22, "")</f>
        <v>13853109</v>
      </c>
      <c r="R22" s="128">
        <f>IF($B22 = 1, P22/Q22, "")</f>
        <v>6.5181902488459453E-2</v>
      </c>
      <c r="S22" s="66" t="str">
        <f>IF($B22 = 0, ROUND(S$9*$C22, 0), "")</f>
        <v/>
      </c>
      <c r="T22" s="240" t="str">
        <f>IF($B22 = 0, $C22+S22, "")</f>
        <v/>
      </c>
      <c r="U22" s="64">
        <f>IF($B22 = 1, Q22, T22)</f>
        <v>13853109</v>
      </c>
      <c r="V22" s="155">
        <f>(U22-$C22)/$C22</f>
        <v>2.9665551235399403E-2</v>
      </c>
    </row>
    <row r="23" spans="1:22" ht="15.75" customHeight="1" thickBot="1" x14ac:dyDescent="0.3">
      <c r="A23" s="241" t="s">
        <v>68</v>
      </c>
      <c r="B23" s="241">
        <v>1</v>
      </c>
      <c r="C23" s="63">
        <v>41018966</v>
      </c>
      <c r="D23" s="66">
        <f>IF($B23 = 1, ROUND(D$9*$C23, 0), "")</f>
        <v>1263343</v>
      </c>
      <c r="E23" s="154">
        <f>IF($B23 = 1, F23-D23, "")</f>
        <v>239270</v>
      </c>
      <c r="F23" s="64">
        <v>1502613</v>
      </c>
      <c r="G23" s="154">
        <f>IF($B23 = 1, $C23+E23, "")</f>
        <v>41258236</v>
      </c>
      <c r="H23" s="128">
        <f>IF($B23 = 1, F23/G23, "")</f>
        <v>3.6419710236763395E-2</v>
      </c>
      <c r="I23" s="66" t="str">
        <f>IF($B23 = 0, ROUND(I$9*$C23, 0), "")</f>
        <v/>
      </c>
      <c r="J23" s="240" t="str">
        <f>IF($B23 = 0, $C23+I23, "")</f>
        <v/>
      </c>
      <c r="K23" s="64">
        <f>IF($B23 = 1, G23, J23)</f>
        <v>41258236</v>
      </c>
      <c r="L23" s="155">
        <f>(K23-$C23)/$C23</f>
        <v>5.8331553262459127E-3</v>
      </c>
      <c r="M23" s="19"/>
      <c r="N23" s="66">
        <f>IF($B23 = 1, ROUND(N$9*$C23, 0), "")</f>
        <v>1536160</v>
      </c>
      <c r="O23" s="154">
        <f>IF($B23 = 1, P23-N23, "")</f>
        <v>741503</v>
      </c>
      <c r="P23" s="64">
        <v>2277663</v>
      </c>
      <c r="Q23" s="154">
        <f>IF($B23 = 1, $C23+O23, "")</f>
        <v>41760469</v>
      </c>
      <c r="R23" s="128">
        <f>IF($B23 = 1, P23/Q23, "")</f>
        <v>5.4541125962929198E-2</v>
      </c>
      <c r="S23" s="66" t="str">
        <f>IF($B23 = 0, ROUND(S$9*$C23, 0), "")</f>
        <v/>
      </c>
      <c r="T23" s="240" t="str">
        <f>IF($B23 = 0, $C23+S23, "")</f>
        <v/>
      </c>
      <c r="U23" s="64">
        <f>IF($B23 = 1, Q23, T23)</f>
        <v>41760469</v>
      </c>
      <c r="V23" s="155">
        <f>(U23-$C23)/$C23</f>
        <v>1.8077076833189799E-2</v>
      </c>
    </row>
    <row r="24" spans="1:22" ht="15.75" customHeight="1" thickTop="1" x14ac:dyDescent="0.25">
      <c r="A24" s="242" t="s">
        <v>132</v>
      </c>
      <c r="B24" s="242"/>
      <c r="C24" s="243">
        <f>SUM(C20:C23)</f>
        <v>327108565</v>
      </c>
      <c r="D24" s="244">
        <f>SUM(D20:D23)</f>
        <v>10074616</v>
      </c>
      <c r="E24" s="245">
        <f>SUM(E20:E23)</f>
        <v>-3268403</v>
      </c>
      <c r="F24" s="246">
        <f>SUM(F20:F23)</f>
        <v>6806213</v>
      </c>
      <c r="G24" s="245">
        <f>SUM(G20:G23)</f>
        <v>323840162</v>
      </c>
      <c r="H24" s="247">
        <f>F24/G24</f>
        <v>2.1017198601821351E-2</v>
      </c>
      <c r="I24" s="244">
        <f>SUM(I20:I23)</f>
        <v>0</v>
      </c>
      <c r="J24" s="248">
        <f>SUM(J20:J23)</f>
        <v>0</v>
      </c>
      <c r="K24" s="246">
        <f>SUM(G24,J24)</f>
        <v>323840162</v>
      </c>
      <c r="L24" s="247">
        <f>(K24-$C24)/$C24</f>
        <v>-9.9917989001602567E-3</v>
      </c>
      <c r="M24" s="207"/>
      <c r="N24" s="244">
        <f>SUM(N20:N23)</f>
        <v>12250216</v>
      </c>
      <c r="O24" s="245">
        <f>SUM(O20:O23)</f>
        <v>-1933276</v>
      </c>
      <c r="P24" s="246">
        <f>SUM(P20:P23)</f>
        <v>10316940</v>
      </c>
      <c r="Q24" s="245">
        <f>SUM(Q20:Q23)</f>
        <v>325175289</v>
      </c>
      <c r="R24" s="247">
        <f>P24/Q24</f>
        <v>3.1727318615529854E-2</v>
      </c>
      <c r="S24" s="244">
        <f>SUM(S20:S23)</f>
        <v>0</v>
      </c>
      <c r="T24" s="248">
        <f>SUM(T20:T23)</f>
        <v>0</v>
      </c>
      <c r="U24" s="246">
        <f>SUM(Q24,T24)</f>
        <v>325175289</v>
      </c>
      <c r="V24" s="247">
        <f>(U24-$C24)/$C24</f>
        <v>-5.9101968179891594E-3</v>
      </c>
    </row>
    <row r="25" spans="1:22" x14ac:dyDescent="0.25">
      <c r="A25" s="249"/>
      <c r="B25" s="249"/>
      <c r="C25" s="250"/>
      <c r="D25" s="251"/>
      <c r="E25" s="252"/>
      <c r="F25" s="253"/>
      <c r="G25" s="252"/>
      <c r="H25" s="254"/>
      <c r="I25" s="251"/>
      <c r="J25" s="255"/>
      <c r="K25" s="253"/>
      <c r="L25" s="256"/>
      <c r="M25" s="19"/>
      <c r="N25" s="251"/>
      <c r="O25" s="252"/>
      <c r="P25" s="253"/>
      <c r="Q25" s="252"/>
      <c r="R25" s="254"/>
      <c r="S25" s="251"/>
      <c r="T25" s="255"/>
      <c r="U25" s="253"/>
      <c r="V25" s="256"/>
    </row>
    <row r="26" spans="1:22" x14ac:dyDescent="0.25">
      <c r="A26" s="241" t="s">
        <v>71</v>
      </c>
      <c r="B26" s="241">
        <v>1</v>
      </c>
      <c r="C26" s="63">
        <v>122060675</v>
      </c>
      <c r="D26" s="66">
        <f>IF($B26 = 1, ROUND(D$9*$C26, 0), "")</f>
        <v>3759347</v>
      </c>
      <c r="E26" s="154">
        <f>IF($B26 = 1, F26-D26, "")</f>
        <v>1995519</v>
      </c>
      <c r="F26" s="64">
        <v>5754866</v>
      </c>
      <c r="G26" s="154">
        <f>IF($B26 = 1, $C26+E26, "")</f>
        <v>124056194</v>
      </c>
      <c r="H26" s="128">
        <f>IF($B26 = 1, F26/G26, "")</f>
        <v>4.6389187145302879E-2</v>
      </c>
      <c r="I26" s="66" t="str">
        <f>IF($B26 = 0, ROUND(I$9*$C26, 0), "")</f>
        <v/>
      </c>
      <c r="J26" s="240" t="str">
        <f>IF($B26 = 0, $C26+I26, "")</f>
        <v/>
      </c>
      <c r="K26" s="64">
        <f>IF($B26 = 1, G26, J26)</f>
        <v>124056194</v>
      </c>
      <c r="L26" s="155">
        <f t="shared" ref="L26:L31" si="16">(K26-$C26)/$C26</f>
        <v>1.6348582375117948E-2</v>
      </c>
      <c r="M26" s="19"/>
      <c r="N26" s="66">
        <f>IF($B26 = 1, ROUND(N$9*$C26, 0), "")</f>
        <v>4571172</v>
      </c>
      <c r="O26" s="154">
        <f>IF($B26 = 1, P26-N26, "")</f>
        <v>4151656</v>
      </c>
      <c r="P26" s="64">
        <v>8722828</v>
      </c>
      <c r="Q26" s="154">
        <f>IF($B26 = 1, $C26+O26, "")</f>
        <v>126212331</v>
      </c>
      <c r="R26" s="128">
        <f>IF($B26 = 1, P26/Q26, "")</f>
        <v>6.9112327859628869E-2</v>
      </c>
      <c r="S26" s="66" t="str">
        <f>IF($B26 = 0, ROUND(S$9*$C26, 0), "")</f>
        <v/>
      </c>
      <c r="T26" s="240" t="str">
        <f>IF($B26 = 0, $C26+S26, "")</f>
        <v/>
      </c>
      <c r="U26" s="64">
        <f>IF($B26 = 1, Q26, T26)</f>
        <v>126212331</v>
      </c>
      <c r="V26" s="155">
        <f t="shared" ref="V26:V31" si="17">(U26-$C26)/$C26</f>
        <v>3.4013051296005042E-2</v>
      </c>
    </row>
    <row r="27" spans="1:22" x14ac:dyDescent="0.25">
      <c r="A27" s="241" t="s">
        <v>72</v>
      </c>
      <c r="B27" s="241">
        <v>1</v>
      </c>
      <c r="C27" s="63">
        <v>67308231</v>
      </c>
      <c r="D27" s="66">
        <f>IF($B27 = 1, ROUND(D$9*$C27, 0), "")</f>
        <v>2073026</v>
      </c>
      <c r="E27" s="154">
        <f>IF($B27 = 1, F27-D27, "")</f>
        <v>-1509406</v>
      </c>
      <c r="F27" s="64">
        <v>563620</v>
      </c>
      <c r="G27" s="154">
        <f>IF($B27 = 1, $C27+E27, "")</f>
        <v>65798825</v>
      </c>
      <c r="H27" s="128">
        <f>IF($B27 = 1, F27/G27, "")</f>
        <v>8.565806456270305E-3</v>
      </c>
      <c r="I27" s="66" t="str">
        <f>IF($B27 = 0, ROUND(I$9*$C27, 0), "")</f>
        <v/>
      </c>
      <c r="J27" s="240" t="str">
        <f>IF($B27 = 0, $C27+I27, "")</f>
        <v/>
      </c>
      <c r="K27" s="64">
        <f>IF($B27 = 1, G27, J27)</f>
        <v>65798825</v>
      </c>
      <c r="L27" s="155">
        <f t="shared" si="16"/>
        <v>-2.2425281092293154E-2</v>
      </c>
      <c r="M27" s="19"/>
      <c r="N27" s="66">
        <f>IF($B27 = 1, ROUND(N$9*$C27, 0), "")</f>
        <v>2520693</v>
      </c>
      <c r="O27" s="154">
        <f>IF($B27 = 1, P27-N27, "")</f>
        <v>-1666366</v>
      </c>
      <c r="P27" s="64">
        <v>854327</v>
      </c>
      <c r="Q27" s="154">
        <f>IF($B27 = 1, $C27+O27, "")</f>
        <v>65641865</v>
      </c>
      <c r="R27" s="128">
        <f>IF($B27 = 1, P27/Q27, "")</f>
        <v>1.3014971466761342E-2</v>
      </c>
      <c r="S27" s="66" t="str">
        <f>IF($B27 = 0, ROUND(S$9*$C27, 0), "")</f>
        <v/>
      </c>
      <c r="T27" s="240" t="str">
        <f>IF($B27 = 0, $C27+S27, "")</f>
        <v/>
      </c>
      <c r="U27" s="64">
        <f>IF($B27 = 1, Q27, T27)</f>
        <v>65641865</v>
      </c>
      <c r="V27" s="155">
        <f t="shared" si="17"/>
        <v>-2.4757239571487177E-2</v>
      </c>
    </row>
    <row r="28" spans="1:22" x14ac:dyDescent="0.25">
      <c r="A28" s="241" t="s">
        <v>73</v>
      </c>
      <c r="B28" s="241">
        <v>1</v>
      </c>
      <c r="C28" s="63">
        <v>44146854</v>
      </c>
      <c r="D28" s="66">
        <f>IF($B28 = 1, ROUND(D$9*$C28, 0), "")</f>
        <v>1359679</v>
      </c>
      <c r="E28" s="154">
        <f>IF($B28 = 1, F28-D28, "")</f>
        <v>158277</v>
      </c>
      <c r="F28" s="64">
        <v>1517956</v>
      </c>
      <c r="G28" s="154">
        <f>IF($B28 = 1, $C28+E28, "")</f>
        <v>44305131</v>
      </c>
      <c r="H28" s="128">
        <f>IF($B28 = 1, F28/G28, "")</f>
        <v>3.4261404170094878E-2</v>
      </c>
      <c r="I28" s="66" t="str">
        <f>IF($B28 = 0, ROUND(I$9*$C28, 0), "")</f>
        <v/>
      </c>
      <c r="J28" s="240" t="str">
        <f>IF($B28 = 0, $C28+I28, "")</f>
        <v/>
      </c>
      <c r="K28" s="64">
        <f>IF($B28 = 1, G28, J28)</f>
        <v>44305131</v>
      </c>
      <c r="L28" s="155">
        <f t="shared" si="16"/>
        <v>3.5852384860764939E-3</v>
      </c>
      <c r="M28" s="19"/>
      <c r="N28" s="66">
        <f>IF($B28 = 1, ROUND(N$9*$C28, 0), "")</f>
        <v>1653300</v>
      </c>
      <c r="O28" s="154">
        <f>IF($B28 = 1, P28-N28, "")</f>
        <v>647642</v>
      </c>
      <c r="P28" s="64">
        <v>2300942</v>
      </c>
      <c r="Q28" s="154">
        <f>IF($B28 = 1, $C28+O28, "")</f>
        <v>44794496</v>
      </c>
      <c r="R28" s="128">
        <f>IF($B28 = 1, P28/Q28, "")</f>
        <v>5.1366623256571521E-2</v>
      </c>
      <c r="S28" s="66" t="str">
        <f>IF($B28 = 0, ROUND(S$9*$C28, 0), "")</f>
        <v/>
      </c>
      <c r="T28" s="240" t="str">
        <f>IF($B28 = 0, $C28+S28, "")</f>
        <v/>
      </c>
      <c r="U28" s="64">
        <f>IF($B28 = 1, Q28, T28)</f>
        <v>44794496</v>
      </c>
      <c r="V28" s="155">
        <f t="shared" si="17"/>
        <v>1.4670173326507026E-2</v>
      </c>
    </row>
    <row r="29" spans="1:22" x14ac:dyDescent="0.25">
      <c r="A29" s="241" t="s">
        <v>74</v>
      </c>
      <c r="B29" s="241">
        <v>1</v>
      </c>
      <c r="C29" s="63">
        <v>39026180</v>
      </c>
      <c r="D29" s="66">
        <f>IF($B29 = 1, ROUND(D$9*$C29, 0), "")</f>
        <v>1201967</v>
      </c>
      <c r="E29" s="154">
        <f>IF($B29 = 1, F29-D29, "")</f>
        <v>159800</v>
      </c>
      <c r="F29" s="64">
        <v>1361767</v>
      </c>
      <c r="G29" s="154">
        <f>IF($B29 = 1, $C29+E29, "")</f>
        <v>39185980</v>
      </c>
      <c r="H29" s="128">
        <f>IF($B29 = 1, F29/G29, "")</f>
        <v>3.4751383020151592E-2</v>
      </c>
      <c r="I29" s="66" t="str">
        <f>IF($B29 = 0, ROUND(I$9*$C29, 0), "")</f>
        <v/>
      </c>
      <c r="J29" s="240" t="str">
        <f>IF($B29 = 0, $C29+I29, "")</f>
        <v/>
      </c>
      <c r="K29" s="64">
        <f>IF($B29 = 1, G29, J29)</f>
        <v>39185980</v>
      </c>
      <c r="L29" s="155">
        <f t="shared" si="16"/>
        <v>4.0946872074079498E-3</v>
      </c>
      <c r="M29" s="19"/>
      <c r="N29" s="66">
        <f>IF($B29 = 1, ROUND(N$9*$C29, 0), "")</f>
        <v>1461530</v>
      </c>
      <c r="O29" s="154">
        <f>IF($B29 = 1, P29-N29, "")</f>
        <v>602329</v>
      </c>
      <c r="P29" s="64">
        <v>2063859</v>
      </c>
      <c r="Q29" s="154">
        <f>IF($B29 = 1, $C29+O29, "")</f>
        <v>39628509</v>
      </c>
      <c r="R29" s="128">
        <f>IF($B29 = 1, P29/Q29, "")</f>
        <v>5.208015774704014E-2</v>
      </c>
      <c r="S29" s="66" t="str">
        <f>IF($B29 = 0, ROUND(S$9*$C29, 0), "")</f>
        <v/>
      </c>
      <c r="T29" s="240" t="str">
        <f>IF($B29 = 0, $C29+S29, "")</f>
        <v/>
      </c>
      <c r="U29" s="64">
        <f>IF($B29 = 1, Q29, T29)</f>
        <v>39628509</v>
      </c>
      <c r="V29" s="155">
        <f t="shared" si="17"/>
        <v>1.5433972784423175E-2</v>
      </c>
    </row>
    <row r="30" spans="1:22" ht="15.75" customHeight="1" thickBot="1" x14ac:dyDescent="0.3">
      <c r="A30" s="241" t="s">
        <v>75</v>
      </c>
      <c r="B30" s="241">
        <v>1</v>
      </c>
      <c r="C30" s="63">
        <v>200314691</v>
      </c>
      <c r="D30" s="66">
        <f>IF($B30 = 1, ROUND(D$9*$C30, 0), "")</f>
        <v>6169492</v>
      </c>
      <c r="E30" s="154">
        <f>IF($B30 = 1, F30-D30, "")</f>
        <v>9753184</v>
      </c>
      <c r="F30" s="64">
        <v>15922676</v>
      </c>
      <c r="G30" s="154">
        <f>IF($B30 = 1, $C30+E30, "")</f>
        <v>210067875</v>
      </c>
      <c r="H30" s="128">
        <f>IF($B30 = 1, F30/G30, "")</f>
        <v>7.5797767745306124E-2</v>
      </c>
      <c r="I30" s="66" t="str">
        <f>IF($B30 = 0, ROUND(I$9*$C30, 0), "")</f>
        <v/>
      </c>
      <c r="J30" s="240" t="str">
        <f>IF($B30 = 0, $C30+I30, "")</f>
        <v/>
      </c>
      <c r="K30" s="64">
        <f>IF($B30 = 1, G30, J30)</f>
        <v>210067875</v>
      </c>
      <c r="L30" s="155">
        <f t="shared" si="16"/>
        <v>4.8689309562422456E-2</v>
      </c>
      <c r="M30" s="19"/>
      <c r="N30" s="66">
        <f>IF($B30 = 1, ROUND(N$9*$C30, 0), "")</f>
        <v>7501785</v>
      </c>
      <c r="O30" s="154">
        <f>IF($B30 = 1, P30-N30, "")</f>
        <v>16630029</v>
      </c>
      <c r="P30" s="64">
        <v>24131814</v>
      </c>
      <c r="Q30" s="154">
        <f>IF($B30 = 1, $C30+O30, "")</f>
        <v>216944720</v>
      </c>
      <c r="R30" s="128">
        <f>IF($B30 = 1, P30/Q30, "")</f>
        <v>0.11123485282333674</v>
      </c>
      <c r="S30" s="66" t="str">
        <f>IF($B30 = 0, ROUND(S$9*$C30, 0), "")</f>
        <v/>
      </c>
      <c r="T30" s="240" t="str">
        <f>IF($B30 = 0, $C30+S30, "")</f>
        <v/>
      </c>
      <c r="U30" s="64">
        <f>IF($B30 = 1, Q30, T30)</f>
        <v>216944720</v>
      </c>
      <c r="V30" s="155">
        <f t="shared" si="17"/>
        <v>8.3019517525052614E-2</v>
      </c>
    </row>
    <row r="31" spans="1:22" ht="15.75" customHeight="1" thickBot="1" x14ac:dyDescent="0.3">
      <c r="A31" s="257" t="s">
        <v>47</v>
      </c>
      <c r="B31" s="258"/>
      <c r="C31" s="259">
        <f>SUM(C18,C24,C26:C30)</f>
        <v>1272257834</v>
      </c>
      <c r="D31" s="102">
        <f>SUM(D18,D24,D26:D30)</f>
        <v>35722023</v>
      </c>
      <c r="E31" s="260">
        <f>SUM(E18,E24,E26:E30)</f>
        <v>19717217</v>
      </c>
      <c r="F31" s="261">
        <f>SUM(F18,F24,F26:F30)</f>
        <v>55439240</v>
      </c>
      <c r="G31" s="260">
        <f>SUM(G18,G24,G26:G30)</f>
        <v>1179560830</v>
      </c>
      <c r="H31" s="262">
        <f>F31/G31</f>
        <v>4.6999899106517466E-2</v>
      </c>
      <c r="I31" s="102">
        <f>SUM(I18,I24,I26:I30)</f>
        <v>2141154</v>
      </c>
      <c r="J31" s="263">
        <f>SUM(J18,J24,J26:J30)</f>
        <v>114555375</v>
      </c>
      <c r="K31" s="261">
        <f>SUM(K18,K24,K26:K30)</f>
        <v>1294116205</v>
      </c>
      <c r="L31" s="262">
        <f t="shared" si="16"/>
        <v>1.7180771393858832E-2</v>
      </c>
      <c r="M31" s="71"/>
      <c r="N31" s="102">
        <f>SUM(N18,N24,N26:N30)</f>
        <v>43436143</v>
      </c>
      <c r="O31" s="260">
        <f>SUM(O18,O24,O26:O30)</f>
        <v>40594082</v>
      </c>
      <c r="P31" s="261">
        <f>SUM(P18,P24,P26:P30)</f>
        <v>84030225</v>
      </c>
      <c r="Q31" s="260">
        <f>SUM(Q18,Q24,Q26:Q30)</f>
        <v>1200437695</v>
      </c>
      <c r="R31" s="262">
        <f>P31/Q31</f>
        <v>6.9999655417351758E-2</v>
      </c>
      <c r="S31" s="102">
        <f>SUM(S18,S24,S26:S30)</f>
        <v>4283656</v>
      </c>
      <c r="T31" s="263">
        <f>SUM(T18,T24,T26:T30)</f>
        <v>116697877</v>
      </c>
      <c r="U31" s="261">
        <f>SUM(U18,U24,U26:U30)</f>
        <v>1317135572</v>
      </c>
      <c r="V31" s="262">
        <f t="shared" si="17"/>
        <v>3.5274090518982018E-2</v>
      </c>
    </row>
    <row r="33" spans="1:21" ht="15.75" customHeight="1" x14ac:dyDescent="0.25">
      <c r="A33" s="13" t="s">
        <v>147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</sheetData>
  <mergeCells count="22">
    <mergeCell ref="U7:U9"/>
    <mergeCell ref="P8:P9"/>
    <mergeCell ref="Q8:Q9"/>
    <mergeCell ref="N6:V6"/>
    <mergeCell ref="N7:R7"/>
    <mergeCell ref="S7:T7"/>
    <mergeCell ref="V7:V9"/>
    <mergeCell ref="R8:R9"/>
    <mergeCell ref="T8:T9"/>
    <mergeCell ref="O8:O9"/>
    <mergeCell ref="L7:L9"/>
    <mergeCell ref="A6:A9"/>
    <mergeCell ref="I7:J7"/>
    <mergeCell ref="C6:C9"/>
    <mergeCell ref="E8:E9"/>
    <mergeCell ref="G8:G9"/>
    <mergeCell ref="J8:J9"/>
    <mergeCell ref="K7:K9"/>
    <mergeCell ref="D6:L6"/>
    <mergeCell ref="H8:H9"/>
    <mergeCell ref="D7:H7"/>
    <mergeCell ref="F8:F9"/>
  </mergeCells>
  <pageMargins left="0.7" right="0.7" top="0.75" bottom="0.75" header="0.3" footer="0.3"/>
  <pageSetup scale="45" orientation="landscape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</sheetPr>
  <dimension ref="A1:N28"/>
  <sheetViews>
    <sheetView zoomScale="80" zoomScaleNormal="80" workbookViewId="0"/>
  </sheetViews>
  <sheetFormatPr defaultRowHeight="15" x14ac:dyDescent="0.25"/>
  <cols>
    <col min="1" max="1" width="13.140625" style="1" customWidth="1"/>
    <col min="2" max="2" width="12.7109375" style="1" customWidth="1"/>
    <col min="3" max="4" width="15.7109375" style="1" customWidth="1"/>
    <col min="5" max="5" width="12.28515625" style="1" customWidth="1"/>
    <col min="6" max="7" width="15.7109375" style="1" customWidth="1"/>
    <col min="8" max="8" width="12.28515625" style="1" customWidth="1"/>
    <col min="9" max="9" width="9.140625" style="1" customWidth="1"/>
    <col min="10" max="10" width="1.5703125" style="1" customWidth="1"/>
    <col min="11" max="12" width="15.7109375" style="1" customWidth="1"/>
    <col min="13" max="13" width="12.28515625" style="1" customWidth="1"/>
  </cols>
  <sheetData>
    <row r="1" spans="1:14" ht="15.75" customHeight="1" x14ac:dyDescent="0.25">
      <c r="A1" s="12" t="s">
        <v>148</v>
      </c>
      <c r="B1"/>
      <c r="C1"/>
      <c r="D1"/>
      <c r="E1"/>
      <c r="F1"/>
      <c r="G1"/>
      <c r="H1"/>
      <c r="I1"/>
      <c r="J1"/>
      <c r="K1"/>
      <c r="L1"/>
      <c r="M1"/>
    </row>
    <row r="2" spans="1:14" ht="15.75" customHeight="1" x14ac:dyDescent="0.25">
      <c r="A2" s="13" t="s">
        <v>31</v>
      </c>
      <c r="B2"/>
      <c r="C2"/>
      <c r="D2"/>
      <c r="E2"/>
      <c r="F2"/>
      <c r="G2"/>
      <c r="H2"/>
      <c r="I2"/>
      <c r="J2"/>
      <c r="K2"/>
      <c r="L2"/>
      <c r="M2"/>
    </row>
    <row r="3" spans="1:14" ht="15.75" customHeight="1" x14ac:dyDescent="0.25">
      <c r="A3" s="13"/>
      <c r="B3"/>
      <c r="C3"/>
      <c r="D3"/>
      <c r="E3"/>
      <c r="F3"/>
      <c r="G3"/>
      <c r="H3"/>
      <c r="I3"/>
      <c r="J3"/>
      <c r="K3"/>
      <c r="L3"/>
      <c r="M3"/>
    </row>
    <row r="4" spans="1:14" x14ac:dyDescent="0.25">
      <c r="A4" s="14" t="s">
        <v>149</v>
      </c>
    </row>
    <row r="5" spans="1:14" ht="15.75" customHeight="1" thickBot="1" x14ac:dyDescent="0.3">
      <c r="A5"/>
      <c r="B5"/>
      <c r="C5"/>
      <c r="D5"/>
      <c r="E5"/>
      <c r="F5"/>
      <c r="G5"/>
      <c r="H5"/>
      <c r="I5"/>
      <c r="J5"/>
      <c r="K5"/>
      <c r="L5"/>
      <c r="M5"/>
    </row>
    <row r="6" spans="1:14" ht="15.75" customHeight="1" thickBot="1" x14ac:dyDescent="0.3">
      <c r="A6" s="458"/>
      <c r="B6" s="624" t="s">
        <v>150</v>
      </c>
      <c r="C6" s="626" t="s">
        <v>151</v>
      </c>
      <c r="D6" s="627"/>
      <c r="E6" s="628"/>
      <c r="F6" s="629" t="s">
        <v>3</v>
      </c>
      <c r="G6" s="630"/>
      <c r="H6" s="630"/>
      <c r="I6" s="603"/>
      <c r="J6" s="265"/>
      <c r="K6" s="629" t="s">
        <v>4</v>
      </c>
      <c r="L6" s="630"/>
      <c r="M6" s="630"/>
      <c r="N6" s="603"/>
    </row>
    <row r="7" spans="1:14" ht="48" customHeight="1" thickBot="1" x14ac:dyDescent="0.3">
      <c r="A7" s="606"/>
      <c r="B7" s="625"/>
      <c r="C7" s="266" t="s">
        <v>152</v>
      </c>
      <c r="D7" s="267" t="s">
        <v>153</v>
      </c>
      <c r="E7" s="264" t="s">
        <v>154</v>
      </c>
      <c r="F7" s="16" t="s">
        <v>152</v>
      </c>
      <c r="G7" s="17" t="s">
        <v>153</v>
      </c>
      <c r="H7" s="17" t="s">
        <v>154</v>
      </c>
      <c r="I7" s="268" t="s">
        <v>139</v>
      </c>
      <c r="J7" s="269"/>
      <c r="K7" s="16" t="s">
        <v>152</v>
      </c>
      <c r="L7" s="17" t="s">
        <v>153</v>
      </c>
      <c r="M7" s="17" t="s">
        <v>154</v>
      </c>
      <c r="N7" s="268" t="s">
        <v>141</v>
      </c>
    </row>
    <row r="8" spans="1:14" x14ac:dyDescent="0.25">
      <c r="A8" s="238" t="s">
        <v>50</v>
      </c>
      <c r="B8" s="270">
        <v>22651</v>
      </c>
      <c r="C8" s="66">
        <v>184795242</v>
      </c>
      <c r="D8" s="154">
        <v>0</v>
      </c>
      <c r="E8" s="240">
        <f t="shared" ref="E8:E15" si="0">ROUND(SUM(C8,D8)/$B8, 0)</f>
        <v>8158</v>
      </c>
      <c r="F8" s="66">
        <v>191241291</v>
      </c>
      <c r="G8" s="154">
        <v>0</v>
      </c>
      <c r="H8" s="154">
        <f t="shared" ref="H8:H15" si="1">ROUND(SUM(F8,G8)/$B8, 0)</f>
        <v>8443</v>
      </c>
      <c r="I8" s="155">
        <f t="shared" ref="I8:I15" si="2">(H8-$E8)/$E8</f>
        <v>3.4935033096347143E-2</v>
      </c>
      <c r="J8" s="271"/>
      <c r="K8" s="66">
        <v>196272455</v>
      </c>
      <c r="L8" s="154">
        <v>0</v>
      </c>
      <c r="M8" s="154">
        <f t="shared" ref="M8:M15" si="3">ROUND(SUM(K8,L8)/$B8, 0)</f>
        <v>8665</v>
      </c>
      <c r="N8" s="155">
        <f t="shared" ref="N8:N15" si="4">(M8-$E8)/$E8</f>
        <v>6.2147585192449131E-2</v>
      </c>
    </row>
    <row r="9" spans="1:14" x14ac:dyDescent="0.25">
      <c r="A9" s="241" t="s">
        <v>55</v>
      </c>
      <c r="B9" s="270">
        <v>2141</v>
      </c>
      <c r="C9" s="66">
        <v>8988877</v>
      </c>
      <c r="D9" s="154">
        <v>0</v>
      </c>
      <c r="E9" s="240">
        <f t="shared" si="0"/>
        <v>4198</v>
      </c>
      <c r="F9" s="66">
        <v>9845463</v>
      </c>
      <c r="G9" s="154">
        <v>0</v>
      </c>
      <c r="H9" s="154">
        <f t="shared" si="1"/>
        <v>4599</v>
      </c>
      <c r="I9" s="155">
        <f t="shared" si="2"/>
        <v>9.5521676989042403E-2</v>
      </c>
      <c r="J9" s="271"/>
      <c r="K9" s="66">
        <v>10370335</v>
      </c>
      <c r="L9" s="154">
        <v>0</v>
      </c>
      <c r="M9" s="154">
        <f t="shared" si="3"/>
        <v>4844</v>
      </c>
      <c r="N9" s="155">
        <f t="shared" si="4"/>
        <v>0.15388280133396856</v>
      </c>
    </row>
    <row r="10" spans="1:14" x14ac:dyDescent="0.25">
      <c r="A10" s="241" t="s">
        <v>56</v>
      </c>
      <c r="B10" s="270">
        <v>2296</v>
      </c>
      <c r="C10" s="66">
        <v>12064986</v>
      </c>
      <c r="D10" s="154">
        <v>0</v>
      </c>
      <c r="E10" s="240">
        <f t="shared" si="0"/>
        <v>5255</v>
      </c>
      <c r="F10" s="66">
        <v>12387796</v>
      </c>
      <c r="G10" s="154">
        <v>0</v>
      </c>
      <c r="H10" s="154">
        <f t="shared" si="1"/>
        <v>5395</v>
      </c>
      <c r="I10" s="155">
        <f t="shared" si="2"/>
        <v>2.6641294005708849E-2</v>
      </c>
      <c r="J10" s="271"/>
      <c r="K10" s="66">
        <v>12665739</v>
      </c>
      <c r="L10" s="154">
        <v>0</v>
      </c>
      <c r="M10" s="154">
        <f t="shared" si="3"/>
        <v>5516</v>
      </c>
      <c r="N10" s="155">
        <f t="shared" si="4"/>
        <v>4.9666983824928637E-2</v>
      </c>
    </row>
    <row r="11" spans="1:14" x14ac:dyDescent="0.25">
      <c r="A11" s="241" t="s">
        <v>57</v>
      </c>
      <c r="B11" s="270">
        <v>4187</v>
      </c>
      <c r="C11" s="66">
        <v>16720237</v>
      </c>
      <c r="D11" s="154">
        <v>0</v>
      </c>
      <c r="E11" s="240">
        <f t="shared" si="0"/>
        <v>3993</v>
      </c>
      <c r="F11" s="66">
        <v>17156825</v>
      </c>
      <c r="G11" s="154">
        <v>0</v>
      </c>
      <c r="H11" s="154">
        <f t="shared" si="1"/>
        <v>4098</v>
      </c>
      <c r="I11" s="155">
        <f t="shared" si="2"/>
        <v>2.6296018031555221E-2</v>
      </c>
      <c r="J11" s="271"/>
      <c r="K11" s="66">
        <v>17536438</v>
      </c>
      <c r="L11" s="154">
        <v>0</v>
      </c>
      <c r="M11" s="154">
        <f t="shared" si="3"/>
        <v>4188</v>
      </c>
      <c r="N11" s="155">
        <f t="shared" si="4"/>
        <v>4.8835462058602556E-2</v>
      </c>
    </row>
    <row r="12" spans="1:14" x14ac:dyDescent="0.25">
      <c r="A12" s="241" t="s">
        <v>58</v>
      </c>
      <c r="B12" s="270">
        <v>20697</v>
      </c>
      <c r="C12" s="66">
        <v>95960976</v>
      </c>
      <c r="D12" s="154">
        <v>0</v>
      </c>
      <c r="E12" s="240">
        <f t="shared" si="0"/>
        <v>4636</v>
      </c>
      <c r="F12" s="66">
        <v>99868166</v>
      </c>
      <c r="G12" s="154">
        <v>0</v>
      </c>
      <c r="H12" s="154">
        <f t="shared" si="1"/>
        <v>4825</v>
      </c>
      <c r="I12" s="155">
        <f t="shared" si="2"/>
        <v>4.0767903364969799E-2</v>
      </c>
      <c r="J12" s="271"/>
      <c r="K12" s="66">
        <v>102769696</v>
      </c>
      <c r="L12" s="154">
        <v>0</v>
      </c>
      <c r="M12" s="154">
        <f t="shared" si="3"/>
        <v>4965</v>
      </c>
      <c r="N12" s="155">
        <f t="shared" si="4"/>
        <v>7.0966350301984463E-2</v>
      </c>
    </row>
    <row r="13" spans="1:14" x14ac:dyDescent="0.25">
      <c r="A13" s="241" t="s">
        <v>59</v>
      </c>
      <c r="B13" s="270">
        <v>4821</v>
      </c>
      <c r="C13" s="66">
        <v>22254859</v>
      </c>
      <c r="D13" s="154">
        <v>0</v>
      </c>
      <c r="E13" s="240">
        <f t="shared" si="0"/>
        <v>4616</v>
      </c>
      <c r="F13" s="66">
        <v>22610386</v>
      </c>
      <c r="G13" s="154">
        <v>0</v>
      </c>
      <c r="H13" s="154">
        <f t="shared" si="1"/>
        <v>4690</v>
      </c>
      <c r="I13" s="155">
        <f t="shared" si="2"/>
        <v>1.6031195840554593E-2</v>
      </c>
      <c r="J13" s="271"/>
      <c r="K13" s="66">
        <v>22999338</v>
      </c>
      <c r="L13" s="154">
        <v>0</v>
      </c>
      <c r="M13" s="154">
        <f t="shared" si="3"/>
        <v>4771</v>
      </c>
      <c r="N13" s="155">
        <f t="shared" si="4"/>
        <v>3.3578856152512999E-2</v>
      </c>
    </row>
    <row r="14" spans="1:14" ht="15.75" customHeight="1" thickBot="1" x14ac:dyDescent="0.3">
      <c r="A14" s="241" t="s">
        <v>60</v>
      </c>
      <c r="B14" s="270">
        <v>3469</v>
      </c>
      <c r="C14" s="66">
        <v>19093240</v>
      </c>
      <c r="D14" s="154">
        <v>0</v>
      </c>
      <c r="E14" s="240">
        <f t="shared" si="0"/>
        <v>5504</v>
      </c>
      <c r="F14" s="66">
        <v>19196736</v>
      </c>
      <c r="G14" s="154">
        <v>0</v>
      </c>
      <c r="H14" s="154">
        <f t="shared" si="1"/>
        <v>5534</v>
      </c>
      <c r="I14" s="155">
        <f t="shared" si="2"/>
        <v>5.4505813953488374E-3</v>
      </c>
      <c r="J14" s="271"/>
      <c r="K14" s="66">
        <v>19426484</v>
      </c>
      <c r="L14" s="154">
        <v>0</v>
      </c>
      <c r="M14" s="154">
        <f t="shared" si="3"/>
        <v>5600</v>
      </c>
      <c r="N14" s="155">
        <f t="shared" si="4"/>
        <v>1.7441860465116279E-2</v>
      </c>
    </row>
    <row r="15" spans="1:14" ht="15.75" customHeight="1" thickTop="1" x14ac:dyDescent="0.25">
      <c r="A15" s="242" t="s">
        <v>131</v>
      </c>
      <c r="B15" s="272">
        <f>SUM(B8:B14)</f>
        <v>60262</v>
      </c>
      <c r="C15" s="244">
        <f>SUM(C8:C14)</f>
        <v>359878417</v>
      </c>
      <c r="D15" s="245">
        <f>SUM(D8:D14)</f>
        <v>0</v>
      </c>
      <c r="E15" s="273">
        <f t="shared" si="0"/>
        <v>5972</v>
      </c>
      <c r="F15" s="244">
        <f>SUM(F8:F14)</f>
        <v>372306663</v>
      </c>
      <c r="G15" s="245">
        <f>SUM(G8:G14)</f>
        <v>0</v>
      </c>
      <c r="H15" s="245">
        <f t="shared" si="1"/>
        <v>6178</v>
      </c>
      <c r="I15" s="247">
        <f t="shared" si="2"/>
        <v>3.449430676490288E-2</v>
      </c>
      <c r="J15" s="274"/>
      <c r="K15" s="244">
        <f>SUM(K8:K14)</f>
        <v>382040485</v>
      </c>
      <c r="L15" s="245">
        <f>SUM(L8:L14)</f>
        <v>0</v>
      </c>
      <c r="M15" s="245">
        <f t="shared" si="3"/>
        <v>6340</v>
      </c>
      <c r="N15" s="247">
        <f t="shared" si="4"/>
        <v>6.1620897521768254E-2</v>
      </c>
    </row>
    <row r="16" spans="1:14" x14ac:dyDescent="0.25">
      <c r="A16" s="249"/>
      <c r="B16" s="275"/>
      <c r="C16" s="251"/>
      <c r="D16" s="252"/>
      <c r="E16" s="255"/>
      <c r="F16" s="251"/>
      <c r="G16" s="252"/>
      <c r="H16" s="252"/>
      <c r="I16" s="276"/>
      <c r="J16" s="271"/>
      <c r="K16" s="251"/>
      <c r="L16" s="252"/>
      <c r="M16" s="252"/>
      <c r="N16" s="276"/>
    </row>
    <row r="17" spans="1:14" x14ac:dyDescent="0.25">
      <c r="A17" s="241" t="s">
        <v>65</v>
      </c>
      <c r="B17" s="270">
        <v>19369</v>
      </c>
      <c r="C17" s="66">
        <v>244792248</v>
      </c>
      <c r="D17" s="154">
        <v>-78886749</v>
      </c>
      <c r="E17" s="240">
        <f>ROUND(SUM(C17,D17)/$B17, 0)</f>
        <v>8566</v>
      </c>
      <c r="F17" s="66">
        <v>240943965</v>
      </c>
      <c r="G17" s="154">
        <v>-80070050</v>
      </c>
      <c r="H17" s="154">
        <f>ROUND(SUM(F17,G17)/$B17, 0)</f>
        <v>8306</v>
      </c>
      <c r="I17" s="155">
        <f>(H17-$E17)/$E17</f>
        <v>-3.0352556619192155E-2</v>
      </c>
      <c r="J17" s="271"/>
      <c r="K17" s="66">
        <v>241219741</v>
      </c>
      <c r="L17" s="154">
        <v>-81271100</v>
      </c>
      <c r="M17" s="154">
        <f>ROUND(SUM(K17,L17)/$B17, 0)</f>
        <v>8258</v>
      </c>
      <c r="N17" s="155">
        <f>(M17-$E17)/$E17</f>
        <v>-3.5956105533504555E-2</v>
      </c>
    </row>
    <row r="18" spans="1:14" x14ac:dyDescent="0.25">
      <c r="A18" s="241" t="s">
        <v>66</v>
      </c>
      <c r="B18" s="270">
        <v>5265</v>
      </c>
      <c r="C18" s="66">
        <v>27843362</v>
      </c>
      <c r="D18" s="154">
        <v>0</v>
      </c>
      <c r="E18" s="240">
        <f>ROUND(SUM(C18,D18)/$B18, 0)</f>
        <v>5288</v>
      </c>
      <c r="F18" s="66">
        <v>28002665</v>
      </c>
      <c r="G18" s="154">
        <v>0</v>
      </c>
      <c r="H18" s="154">
        <f>ROUND(SUM(F18,G18)/$B18, 0)</f>
        <v>5319</v>
      </c>
      <c r="I18" s="155">
        <f>(H18-$E18)/$E18</f>
        <v>5.8623298033282905E-3</v>
      </c>
      <c r="J18" s="271"/>
      <c r="K18" s="66">
        <v>28341970</v>
      </c>
      <c r="L18" s="154">
        <v>0</v>
      </c>
      <c r="M18" s="154">
        <f>ROUND(SUM(K18,L18)/$B18, 0)</f>
        <v>5383</v>
      </c>
      <c r="N18" s="155">
        <f>(M18-$E18)/$E18</f>
        <v>1.796520423600605E-2</v>
      </c>
    </row>
    <row r="19" spans="1:14" x14ac:dyDescent="0.25">
      <c r="A19" s="241" t="s">
        <v>67</v>
      </c>
      <c r="B19" s="270">
        <v>2717</v>
      </c>
      <c r="C19" s="66">
        <v>13453989</v>
      </c>
      <c r="D19" s="154">
        <v>0</v>
      </c>
      <c r="E19" s="240">
        <f>ROUND(SUM(C19,D19)/$B19, 0)</f>
        <v>4952</v>
      </c>
      <c r="F19" s="66">
        <v>13635296</v>
      </c>
      <c r="G19" s="154">
        <v>0</v>
      </c>
      <c r="H19" s="154">
        <f>ROUND(SUM(F19,G19)/$B19, 0)</f>
        <v>5019</v>
      </c>
      <c r="I19" s="155">
        <f>(H19-$E19)/$E19</f>
        <v>1.352988691437803E-2</v>
      </c>
      <c r="J19" s="271"/>
      <c r="K19" s="66">
        <v>13853109</v>
      </c>
      <c r="L19" s="154">
        <v>0</v>
      </c>
      <c r="M19" s="154">
        <f>ROUND(SUM(K19,L19)/$B19, 0)</f>
        <v>5099</v>
      </c>
      <c r="N19" s="155">
        <f>(M19-$E19)/$E19</f>
        <v>2.9684975767366721E-2</v>
      </c>
    </row>
    <row r="20" spans="1:14" ht="15.75" customHeight="1" thickBot="1" x14ac:dyDescent="0.3">
      <c r="A20" s="241" t="s">
        <v>68</v>
      </c>
      <c r="B20" s="270">
        <v>8103</v>
      </c>
      <c r="C20" s="66">
        <v>41018966</v>
      </c>
      <c r="D20" s="154">
        <v>0</v>
      </c>
      <c r="E20" s="240">
        <f>ROUND(SUM(C20,D20)/$B20, 0)</f>
        <v>5062</v>
      </c>
      <c r="F20" s="66">
        <v>41258236</v>
      </c>
      <c r="G20" s="154">
        <v>0</v>
      </c>
      <c r="H20" s="154">
        <f>ROUND(SUM(F20,G20)/$B20, 0)</f>
        <v>5092</v>
      </c>
      <c r="I20" s="155">
        <f>(H20-$E20)/$E20</f>
        <v>5.9265112603713943E-3</v>
      </c>
      <c r="J20" s="271"/>
      <c r="K20" s="66">
        <v>41760469</v>
      </c>
      <c r="L20" s="154">
        <v>0</v>
      </c>
      <c r="M20" s="154">
        <f>ROUND(SUM(K20,L20)/$B20, 0)</f>
        <v>5154</v>
      </c>
      <c r="N20" s="155">
        <f>(M20-$E20)/$E20</f>
        <v>1.8174634531805612E-2</v>
      </c>
    </row>
    <row r="21" spans="1:14" ht="15.75" customHeight="1" thickTop="1" x14ac:dyDescent="0.25">
      <c r="A21" s="242" t="s">
        <v>132</v>
      </c>
      <c r="B21" s="272">
        <f>SUM(B17:B20)</f>
        <v>35454</v>
      </c>
      <c r="C21" s="244">
        <f>SUM(C17:C20)</f>
        <v>327108565</v>
      </c>
      <c r="D21" s="245">
        <f>SUM(D17:D20)</f>
        <v>-78886749</v>
      </c>
      <c r="E21" s="273">
        <f>ROUND(SUM(C21,D21)/$B21, 0)</f>
        <v>7001</v>
      </c>
      <c r="F21" s="244">
        <f>SUM(F17:F20)</f>
        <v>323840162</v>
      </c>
      <c r="G21" s="245">
        <f>SUM(G17:G20)</f>
        <v>-80070050</v>
      </c>
      <c r="H21" s="245">
        <f>ROUND(SUM(F21,G21)/$B21, 0)</f>
        <v>6876</v>
      </c>
      <c r="I21" s="247">
        <f>(H21-$E21)/$E21</f>
        <v>-1.7854592201114128E-2</v>
      </c>
      <c r="J21" s="274"/>
      <c r="K21" s="244">
        <f>SUM(K17:K20)</f>
        <v>325175289</v>
      </c>
      <c r="L21" s="245">
        <f>SUM(L17:L20)</f>
        <v>-81271100</v>
      </c>
      <c r="M21" s="245">
        <f>ROUND(SUM(K21,L21)/$B21, 0)</f>
        <v>6879</v>
      </c>
      <c r="N21" s="247">
        <f>(M21-$E21)/$E21</f>
        <v>-1.7426081988287389E-2</v>
      </c>
    </row>
    <row r="22" spans="1:14" x14ac:dyDescent="0.25">
      <c r="A22" s="249"/>
      <c r="B22" s="275"/>
      <c r="C22" s="251"/>
      <c r="D22" s="252"/>
      <c r="E22" s="255"/>
      <c r="F22" s="251"/>
      <c r="G22" s="252"/>
      <c r="H22" s="252"/>
      <c r="I22" s="276"/>
      <c r="J22" s="271"/>
      <c r="K22" s="251"/>
      <c r="L22" s="252"/>
      <c r="M22" s="252"/>
      <c r="N22" s="276"/>
    </row>
    <row r="23" spans="1:14" x14ac:dyDescent="0.25">
      <c r="A23" s="241" t="s">
        <v>71</v>
      </c>
      <c r="B23" s="270">
        <v>15467</v>
      </c>
      <c r="C23" s="66">
        <v>122060675</v>
      </c>
      <c r="D23" s="154">
        <v>0</v>
      </c>
      <c r="E23" s="240">
        <f t="shared" ref="E23:E28" si="5">ROUND(SUM(C23,D23)/$B23, 0)</f>
        <v>7892</v>
      </c>
      <c r="F23" s="66">
        <v>124056194</v>
      </c>
      <c r="G23" s="154">
        <v>0</v>
      </c>
      <c r="H23" s="154">
        <f t="shared" ref="H23:H28" si="6">ROUND(SUM(F23,G23)/$B23, 0)</f>
        <v>8021</v>
      </c>
      <c r="I23" s="155">
        <f t="shared" ref="I23:I28" si="7">(H23-$E23)/$E23</f>
        <v>1.6345666497719208E-2</v>
      </c>
      <c r="J23" s="271"/>
      <c r="K23" s="66">
        <v>126212331</v>
      </c>
      <c r="L23" s="154">
        <v>0</v>
      </c>
      <c r="M23" s="154">
        <f t="shared" ref="M23:M28" si="8">ROUND(SUM(K23,L23)/$B23, 0)</f>
        <v>8160</v>
      </c>
      <c r="N23" s="155">
        <f t="shared" ref="N23:N28" si="9">(M23-$E23)/$E23</f>
        <v>3.3958438925494168E-2</v>
      </c>
    </row>
    <row r="24" spans="1:14" x14ac:dyDescent="0.25">
      <c r="A24" s="241" t="s">
        <v>72</v>
      </c>
      <c r="B24" s="270">
        <v>8233</v>
      </c>
      <c r="C24" s="66">
        <v>67308231</v>
      </c>
      <c r="D24" s="154">
        <v>0</v>
      </c>
      <c r="E24" s="240">
        <f t="shared" si="5"/>
        <v>8175</v>
      </c>
      <c r="F24" s="66">
        <v>65798825</v>
      </c>
      <c r="G24" s="154">
        <v>0</v>
      </c>
      <c r="H24" s="154">
        <f t="shared" si="6"/>
        <v>7992</v>
      </c>
      <c r="I24" s="155">
        <f t="shared" si="7"/>
        <v>-2.238532110091743E-2</v>
      </c>
      <c r="J24" s="271"/>
      <c r="K24" s="66">
        <v>65641865</v>
      </c>
      <c r="L24" s="154">
        <v>0</v>
      </c>
      <c r="M24" s="154">
        <f t="shared" si="8"/>
        <v>7973</v>
      </c>
      <c r="N24" s="155">
        <f t="shared" si="9"/>
        <v>-2.470948012232416E-2</v>
      </c>
    </row>
    <row r="25" spans="1:14" x14ac:dyDescent="0.25">
      <c r="A25" s="241" t="s">
        <v>73</v>
      </c>
      <c r="B25" s="270">
        <v>7946</v>
      </c>
      <c r="C25" s="66">
        <v>44146854</v>
      </c>
      <c r="D25" s="154">
        <v>0</v>
      </c>
      <c r="E25" s="240">
        <f t="shared" si="5"/>
        <v>5556</v>
      </c>
      <c r="F25" s="66">
        <v>44305131</v>
      </c>
      <c r="G25" s="154">
        <v>0</v>
      </c>
      <c r="H25" s="154">
        <f t="shared" si="6"/>
        <v>5576</v>
      </c>
      <c r="I25" s="155">
        <f t="shared" si="7"/>
        <v>3.599712023038157E-3</v>
      </c>
      <c r="J25" s="271"/>
      <c r="K25" s="66">
        <v>44794496</v>
      </c>
      <c r="L25" s="154">
        <v>0</v>
      </c>
      <c r="M25" s="154">
        <f t="shared" si="8"/>
        <v>5637</v>
      </c>
      <c r="N25" s="155">
        <f t="shared" si="9"/>
        <v>1.4578833693304536E-2</v>
      </c>
    </row>
    <row r="26" spans="1:14" x14ac:dyDescent="0.25">
      <c r="A26" s="241" t="s">
        <v>74</v>
      </c>
      <c r="B26" s="270">
        <v>6153</v>
      </c>
      <c r="C26" s="66">
        <v>39026180</v>
      </c>
      <c r="D26" s="154">
        <v>0</v>
      </c>
      <c r="E26" s="240">
        <f t="shared" si="5"/>
        <v>6343</v>
      </c>
      <c r="F26" s="66">
        <v>39185980</v>
      </c>
      <c r="G26" s="154">
        <v>0</v>
      </c>
      <c r="H26" s="154">
        <f t="shared" si="6"/>
        <v>6369</v>
      </c>
      <c r="I26" s="155">
        <f t="shared" si="7"/>
        <v>4.0990067791265962E-3</v>
      </c>
      <c r="J26" s="271"/>
      <c r="K26" s="66">
        <v>39628509</v>
      </c>
      <c r="L26" s="154">
        <v>0</v>
      </c>
      <c r="M26" s="154">
        <f t="shared" si="8"/>
        <v>6441</v>
      </c>
      <c r="N26" s="155">
        <f t="shared" si="9"/>
        <v>1.5450102475169479E-2</v>
      </c>
    </row>
    <row r="27" spans="1:14" ht="15.75" customHeight="1" thickBot="1" x14ac:dyDescent="0.3">
      <c r="A27" s="241" t="s">
        <v>75</v>
      </c>
      <c r="B27" s="270">
        <v>62353</v>
      </c>
      <c r="C27" s="66">
        <v>200314691</v>
      </c>
      <c r="D27" s="154">
        <v>0</v>
      </c>
      <c r="E27" s="240">
        <f t="shared" si="5"/>
        <v>3213</v>
      </c>
      <c r="F27" s="66">
        <v>210067875</v>
      </c>
      <c r="G27" s="154">
        <v>0</v>
      </c>
      <c r="H27" s="154">
        <f t="shared" si="6"/>
        <v>3369</v>
      </c>
      <c r="I27" s="155">
        <f t="shared" si="7"/>
        <v>4.8552754435107377E-2</v>
      </c>
      <c r="J27" s="271"/>
      <c r="K27" s="66">
        <v>216944720</v>
      </c>
      <c r="L27" s="154">
        <v>0</v>
      </c>
      <c r="M27" s="154">
        <f t="shared" si="8"/>
        <v>3479</v>
      </c>
      <c r="N27" s="155">
        <f t="shared" si="9"/>
        <v>8.2788671023965144E-2</v>
      </c>
    </row>
    <row r="28" spans="1:14" ht="15.75" customHeight="1" thickBot="1" x14ac:dyDescent="0.3">
      <c r="A28" s="257" t="s">
        <v>47</v>
      </c>
      <c r="B28" s="277">
        <f>SUM(B15,B21,B23:B27)</f>
        <v>195868</v>
      </c>
      <c r="C28" s="102">
        <f>SUM(C15,C21,C23:C27)</f>
        <v>1159843613</v>
      </c>
      <c r="D28" s="260">
        <f>SUM(D15,D21,D23:D27)</f>
        <v>-78886749</v>
      </c>
      <c r="E28" s="278">
        <f t="shared" si="5"/>
        <v>5519</v>
      </c>
      <c r="F28" s="102">
        <f>SUM(F15,F21,F23:F27)</f>
        <v>1179560830</v>
      </c>
      <c r="G28" s="260">
        <f>SUM(G15,G21,G23:G27)</f>
        <v>-80070050</v>
      </c>
      <c r="H28" s="260">
        <f t="shared" si="6"/>
        <v>5613</v>
      </c>
      <c r="I28" s="279">
        <f t="shared" si="7"/>
        <v>1.703207102736003E-2</v>
      </c>
      <c r="J28" s="280"/>
      <c r="K28" s="102">
        <f>SUM(K15,K21,K23:K27)</f>
        <v>1200437695</v>
      </c>
      <c r="L28" s="260">
        <f>SUM(L15,L21,L23:L27)</f>
        <v>-81271100</v>
      </c>
      <c r="M28" s="260">
        <f t="shared" si="8"/>
        <v>5714</v>
      </c>
      <c r="N28" s="279">
        <f t="shared" si="9"/>
        <v>3.5332487769523462E-2</v>
      </c>
    </row>
  </sheetData>
  <mergeCells count="5">
    <mergeCell ref="A6:A7"/>
    <mergeCell ref="B6:B7"/>
    <mergeCell ref="C6:E6"/>
    <mergeCell ref="F6:I6"/>
    <mergeCell ref="K6:N6"/>
  </mergeCells>
  <pageMargins left="0.7" right="0.7" top="0.75" bottom="0.75" header="0.3" footer="0.3"/>
  <pageSetup scale="55" orientation="landscape" r:id="rId1"/>
  <headerFoot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98"/>
  <sheetViews>
    <sheetView zoomScale="80" zoomScaleNormal="80" workbookViewId="0">
      <pane ySplit="8" topLeftCell="A9" activePane="bottomLeft" state="frozenSplit"/>
      <selection pane="bottomLeft"/>
    </sheetView>
  </sheetViews>
  <sheetFormatPr defaultRowHeight="15" x14ac:dyDescent="0.25"/>
  <cols>
    <col min="1" max="1" width="56.7109375" style="1" customWidth="1"/>
    <col min="2" max="2" width="14.28515625" style="1" customWidth="1"/>
    <col min="3" max="3" width="8" style="1" customWidth="1"/>
    <col min="4" max="4" width="12.28515625" style="1" customWidth="1"/>
    <col min="5" max="5" width="9.140625" style="1" customWidth="1"/>
    <col min="6" max="8" width="15.28515625" style="1" customWidth="1"/>
    <col min="9" max="9" width="13.42578125" style="1" customWidth="1"/>
    <col min="10" max="13" width="15.28515625" style="1" customWidth="1"/>
    <col min="14" max="25" width="9.140625" style="1" customWidth="1"/>
    <col min="26" max="26" width="9.28515625" style="1" customWidth="1"/>
    <col min="27" max="27" width="14" style="1" hidden="1" customWidth="1"/>
  </cols>
  <sheetData>
    <row r="1" spans="1:27" ht="16.5" customHeight="1" thickBot="1" x14ac:dyDescent="0.3">
      <c r="A1" s="12" t="s">
        <v>155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 s="1" t="s">
        <v>52</v>
      </c>
    </row>
    <row r="2" spans="1:27" ht="16.5" customHeight="1" thickBot="1" x14ac:dyDescent="0.3">
      <c r="A2" s="13" t="s">
        <v>31</v>
      </c>
      <c r="B2"/>
      <c r="C2"/>
      <c r="D2"/>
      <c r="E2"/>
      <c r="F2"/>
      <c r="G2"/>
      <c r="H2"/>
      <c r="I2"/>
      <c r="J2" s="508" t="s">
        <v>52</v>
      </c>
      <c r="K2" s="506"/>
      <c r="L2" s="506"/>
      <c r="M2" s="507"/>
      <c r="N2"/>
      <c r="O2"/>
      <c r="P2"/>
      <c r="Q2"/>
      <c r="R2"/>
      <c r="S2"/>
      <c r="T2"/>
      <c r="U2"/>
      <c r="V2"/>
      <c r="W2"/>
      <c r="X2"/>
      <c r="Y2"/>
      <c r="Z2"/>
      <c r="AA2" s="1" t="s">
        <v>156</v>
      </c>
    </row>
    <row r="3" spans="1:27" ht="15.75" customHeight="1" x14ac:dyDescent="0.25">
      <c r="A3" s="13"/>
      <c r="B3"/>
      <c r="C3"/>
      <c r="D3"/>
      <c r="E3"/>
      <c r="F3"/>
      <c r="G3"/>
      <c r="H3"/>
      <c r="I3"/>
      <c r="J3" s="281" t="s">
        <v>157</v>
      </c>
      <c r="K3" s="282">
        <v>5.7500000000000002E-2</v>
      </c>
      <c r="L3" s="283" t="s">
        <v>158</v>
      </c>
      <c r="M3" s="284" t="s">
        <v>159</v>
      </c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.75" customHeight="1" thickBot="1" x14ac:dyDescent="0.3">
      <c r="A4" s="14" t="s">
        <v>160</v>
      </c>
      <c r="B4"/>
      <c r="C4"/>
      <c r="D4"/>
      <c r="E4"/>
      <c r="F4"/>
      <c r="G4"/>
      <c r="H4"/>
      <c r="I4"/>
      <c r="J4" s="285" t="s">
        <v>161</v>
      </c>
      <c r="K4" s="286">
        <v>20</v>
      </c>
      <c r="L4" s="8"/>
      <c r="M4" s="287"/>
      <c r="N4"/>
      <c r="O4"/>
      <c r="P4"/>
      <c r="Q4"/>
      <c r="R4"/>
      <c r="S4"/>
      <c r="T4"/>
      <c r="U4"/>
      <c r="V4"/>
      <c r="W4"/>
      <c r="X4"/>
      <c r="Y4"/>
      <c r="Z4"/>
      <c r="AA4" s="1" t="s">
        <v>159</v>
      </c>
    </row>
    <row r="5" spans="1:27" ht="15.75" customHeight="1" thickBot="1" x14ac:dyDescent="0.3">
      <c r="A5" s="14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 s="1" t="s">
        <v>162</v>
      </c>
    </row>
    <row r="6" spans="1:27" ht="15" customHeight="1" thickBot="1" x14ac:dyDescent="0.3">
      <c r="A6" s="635" t="s">
        <v>163</v>
      </c>
      <c r="B6" s="636"/>
      <c r="C6" s="636"/>
      <c r="D6" s="636"/>
      <c r="E6" s="636"/>
      <c r="F6" s="636"/>
      <c r="G6" s="637"/>
      <c r="H6" s="638" t="s">
        <v>164</v>
      </c>
      <c r="I6" s="639"/>
      <c r="J6" s="618" t="s">
        <v>3</v>
      </c>
      <c r="K6" s="461"/>
      <c r="L6" s="460" t="s">
        <v>4</v>
      </c>
      <c r="M6" s="461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22.5" customHeight="1" x14ac:dyDescent="0.25">
      <c r="A7" s="640" t="s">
        <v>165</v>
      </c>
      <c r="B7" s="642" t="s">
        <v>166</v>
      </c>
      <c r="C7" s="644" t="s">
        <v>167</v>
      </c>
      <c r="D7" s="642" t="s">
        <v>168</v>
      </c>
      <c r="E7" s="644" t="s">
        <v>169</v>
      </c>
      <c r="F7" s="644" t="s">
        <v>170</v>
      </c>
      <c r="G7" s="648" t="s">
        <v>171</v>
      </c>
      <c r="H7" s="650" t="s">
        <v>172</v>
      </c>
      <c r="I7" s="652" t="s">
        <v>173</v>
      </c>
      <c r="J7" s="646" t="s">
        <v>52</v>
      </c>
      <c r="K7" s="288" t="s">
        <v>156</v>
      </c>
      <c r="L7" s="646" t="s">
        <v>52</v>
      </c>
      <c r="M7" s="288" t="s">
        <v>156</v>
      </c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24.75" customHeight="1" thickBot="1" x14ac:dyDescent="0.3">
      <c r="A8" s="641"/>
      <c r="B8" s="643"/>
      <c r="C8" s="645"/>
      <c r="D8" s="643"/>
      <c r="E8" s="645"/>
      <c r="F8" s="645"/>
      <c r="G8" s="649"/>
      <c r="H8" s="651"/>
      <c r="I8" s="653"/>
      <c r="J8" s="647"/>
      <c r="K8" s="289">
        <v>0.5</v>
      </c>
      <c r="L8" s="647"/>
      <c r="M8" s="289">
        <f>1-$K$8</f>
        <v>0.5</v>
      </c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x14ac:dyDescent="0.25">
      <c r="A9" s="290" t="s">
        <v>174</v>
      </c>
      <c r="B9" s="291"/>
      <c r="C9" s="291"/>
      <c r="D9" s="291"/>
      <c r="E9" s="291"/>
      <c r="F9" s="291"/>
      <c r="G9" s="292"/>
      <c r="H9" s="293"/>
      <c r="I9" s="292"/>
      <c r="J9" s="293"/>
      <c r="K9" s="292"/>
      <c r="L9" s="291"/>
      <c r="M9" s="292"/>
    </row>
    <row r="10" spans="1:27" ht="30" customHeight="1" x14ac:dyDescent="0.25">
      <c r="A10" s="294" t="s">
        <v>175</v>
      </c>
      <c r="B10" s="295" t="s">
        <v>176</v>
      </c>
      <c r="C10" s="296">
        <v>1</v>
      </c>
      <c r="D10" s="296" t="s">
        <v>162</v>
      </c>
      <c r="E10" s="296" t="s">
        <v>50</v>
      </c>
      <c r="F10" s="297">
        <v>48500000</v>
      </c>
      <c r="G10" s="298">
        <v>48500000</v>
      </c>
      <c r="H10" s="299">
        <v>48500000</v>
      </c>
      <c r="I10" s="300" t="s">
        <v>52</v>
      </c>
      <c r="J10" s="299">
        <f t="shared" ref="J10:J15" si="0">IF($I10 = "Debt Service", IF($M$3 = "Yes", 0, ROUND(-PMT($K$3,$K$4, $H10, 0, 0), 0)), "")</f>
        <v>0</v>
      </c>
      <c r="K10" s="301" t="str">
        <f t="shared" ref="K10:K15" si="1">IF($I10 = "Cash", ROUND($H10 * $K$8, 0), "")</f>
        <v/>
      </c>
      <c r="L10" s="299">
        <f t="shared" ref="L10:L15" si="2">IF($I10 = "Debt Service", ROUND(-PMT($K$3,$K$4, $H10, 0, 0), 0), "")</f>
        <v>4143040</v>
      </c>
      <c r="M10" s="301" t="str">
        <f t="shared" ref="M10:M15" si="3">IF($I10 = "Cash", $H10 - ROUND($H10 * $K$8, 0), "")</f>
        <v/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30" customHeight="1" x14ac:dyDescent="0.25">
      <c r="A11" s="302" t="s">
        <v>177</v>
      </c>
      <c r="B11" s="303" t="s">
        <v>178</v>
      </c>
      <c r="C11" s="304">
        <v>2</v>
      </c>
      <c r="D11" s="304" t="s">
        <v>162</v>
      </c>
      <c r="E11" s="303" t="s">
        <v>61</v>
      </c>
      <c r="F11" s="305">
        <v>45000000</v>
      </c>
      <c r="G11" s="301">
        <v>45000000</v>
      </c>
      <c r="H11" s="306">
        <v>0</v>
      </c>
      <c r="I11" s="307"/>
      <c r="J11" s="299" t="str">
        <f t="shared" si="0"/>
        <v/>
      </c>
      <c r="K11" s="301" t="str">
        <f t="shared" si="1"/>
        <v/>
      </c>
      <c r="L11" s="306" t="str">
        <f t="shared" si="2"/>
        <v/>
      </c>
      <c r="M11" s="301" t="str">
        <f t="shared" si="3"/>
        <v/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30" customHeight="1" x14ac:dyDescent="0.25">
      <c r="A12" s="302" t="s">
        <v>179</v>
      </c>
      <c r="B12" s="303" t="s">
        <v>180</v>
      </c>
      <c r="C12" s="304">
        <v>3</v>
      </c>
      <c r="D12" s="304" t="s">
        <v>162</v>
      </c>
      <c r="E12" s="303" t="s">
        <v>61</v>
      </c>
      <c r="F12" s="305">
        <v>30000000</v>
      </c>
      <c r="G12" s="301">
        <v>30000000</v>
      </c>
      <c r="H12" s="306">
        <v>0</v>
      </c>
      <c r="I12" s="307"/>
      <c r="J12" s="299" t="str">
        <f t="shared" si="0"/>
        <v/>
      </c>
      <c r="K12" s="301" t="str">
        <f t="shared" si="1"/>
        <v/>
      </c>
      <c r="L12" s="306" t="str">
        <f t="shared" si="2"/>
        <v/>
      </c>
      <c r="M12" s="301" t="str">
        <f t="shared" si="3"/>
        <v/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30" customHeight="1" x14ac:dyDescent="0.25">
      <c r="A13" s="302" t="s">
        <v>181</v>
      </c>
      <c r="B13" s="303" t="s">
        <v>182</v>
      </c>
      <c r="C13" s="304">
        <v>4</v>
      </c>
      <c r="D13" s="304" t="s">
        <v>162</v>
      </c>
      <c r="E13" s="303" t="s">
        <v>50</v>
      </c>
      <c r="F13" s="305">
        <v>33000000</v>
      </c>
      <c r="G13" s="301">
        <v>33000000</v>
      </c>
      <c r="H13" s="306">
        <v>0</v>
      </c>
      <c r="I13" s="307"/>
      <c r="J13" s="299" t="str">
        <f t="shared" si="0"/>
        <v/>
      </c>
      <c r="K13" s="301" t="str">
        <f t="shared" si="1"/>
        <v/>
      </c>
      <c r="L13" s="306" t="str">
        <f t="shared" si="2"/>
        <v/>
      </c>
      <c r="M13" s="301" t="str">
        <f t="shared" si="3"/>
        <v/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30" customHeight="1" x14ac:dyDescent="0.25">
      <c r="A14" s="302" t="s">
        <v>183</v>
      </c>
      <c r="B14" s="303" t="s">
        <v>184</v>
      </c>
      <c r="C14" s="304">
        <v>5</v>
      </c>
      <c r="D14" s="304" t="s">
        <v>162</v>
      </c>
      <c r="E14" s="303" t="s">
        <v>62</v>
      </c>
      <c r="F14" s="305">
        <v>27875000</v>
      </c>
      <c r="G14" s="301">
        <v>27875000</v>
      </c>
      <c r="H14" s="306">
        <v>0</v>
      </c>
      <c r="I14" s="307"/>
      <c r="J14" s="299" t="str">
        <f t="shared" si="0"/>
        <v/>
      </c>
      <c r="K14" s="301" t="str">
        <f t="shared" si="1"/>
        <v/>
      </c>
      <c r="L14" s="306" t="str">
        <f t="shared" si="2"/>
        <v/>
      </c>
      <c r="M14" s="301" t="str">
        <f t="shared" si="3"/>
        <v/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30" customHeight="1" x14ac:dyDescent="0.25">
      <c r="A15" s="302" t="s">
        <v>185</v>
      </c>
      <c r="B15" s="303" t="s">
        <v>186</v>
      </c>
      <c r="C15" s="304">
        <v>6</v>
      </c>
      <c r="D15" s="304" t="s">
        <v>159</v>
      </c>
      <c r="E15" s="303" t="s">
        <v>61</v>
      </c>
      <c r="F15" s="305">
        <v>19200000</v>
      </c>
      <c r="G15" s="301">
        <v>19200000</v>
      </c>
      <c r="H15" s="306">
        <v>32000000</v>
      </c>
      <c r="I15" s="307" t="s">
        <v>52</v>
      </c>
      <c r="J15" s="299">
        <f t="shared" si="0"/>
        <v>0</v>
      </c>
      <c r="K15" s="301" t="str">
        <f t="shared" si="1"/>
        <v/>
      </c>
      <c r="L15" s="306">
        <f t="shared" si="2"/>
        <v>2733552</v>
      </c>
      <c r="M15" s="301" t="str">
        <f t="shared" si="3"/>
        <v/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.75" customHeight="1" x14ac:dyDescent="0.25">
      <c r="A16" s="308" t="s">
        <v>187</v>
      </c>
      <c r="B16" s="309"/>
      <c r="C16" s="309"/>
      <c r="D16" s="309"/>
      <c r="E16" s="310"/>
      <c r="F16" s="311">
        <f>SUM(F10:F15)</f>
        <v>203575000</v>
      </c>
      <c r="G16" s="312">
        <f>SUM(G10:G15)</f>
        <v>203575000</v>
      </c>
      <c r="H16" s="631">
        <f>SUM(H10:H15)</f>
        <v>80500000</v>
      </c>
      <c r="I16" s="632"/>
      <c r="J16" s="313">
        <f>SUM(J10:J15)</f>
        <v>0</v>
      </c>
      <c r="K16" s="312">
        <f>SUM(K10:K15)</f>
        <v>0</v>
      </c>
      <c r="L16" s="313">
        <f>SUM(L10:L15)</f>
        <v>6876592</v>
      </c>
      <c r="M16" s="312">
        <f>SUM(M10:M15)</f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15.75" customHeight="1" x14ac:dyDescent="0.25">
      <c r="A17" s="290" t="s">
        <v>188</v>
      </c>
      <c r="B17" s="291"/>
      <c r="C17" s="291"/>
      <c r="D17" s="291"/>
      <c r="E17" s="291"/>
      <c r="F17" s="291"/>
      <c r="G17" s="292"/>
      <c r="H17" s="293"/>
      <c r="I17" s="292"/>
      <c r="J17" s="293"/>
      <c r="K17" s="292"/>
      <c r="L17" s="291"/>
      <c r="M17" s="292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30" customHeight="1" x14ac:dyDescent="0.25">
      <c r="A18" s="294" t="s">
        <v>189</v>
      </c>
      <c r="B18" s="295" t="s">
        <v>190</v>
      </c>
      <c r="C18" s="296">
        <v>1</v>
      </c>
      <c r="D18" s="296" t="s">
        <v>162</v>
      </c>
      <c r="E18" s="296" t="s">
        <v>65</v>
      </c>
      <c r="F18" s="297">
        <v>50000000</v>
      </c>
      <c r="G18" s="298">
        <v>30000000</v>
      </c>
      <c r="H18" s="299">
        <v>35000000</v>
      </c>
      <c r="I18" s="300" t="s">
        <v>52</v>
      </c>
      <c r="J18" s="299">
        <f t="shared" ref="J18:J24" si="4">IF($I18 = "Debt Service", IF($M$3 = "Yes", 0, ROUND(-PMT($K$3,$K$4, $H18, 0, 0), 0)), "")</f>
        <v>0</v>
      </c>
      <c r="K18" s="301" t="str">
        <f t="shared" ref="K18:K24" si="5">IF($I18 = "Cash", ROUND($H18 * $K$8, 0), "")</f>
        <v/>
      </c>
      <c r="L18" s="299">
        <f t="shared" ref="L18:L24" si="6">IF($I18 = "Debt Service", ROUND(-PMT($K$3,$K$4, $H18, 0, 0), 0), "")</f>
        <v>2989822</v>
      </c>
      <c r="M18" s="301" t="str">
        <f t="shared" ref="M18:M24" si="7">IF($I18 = "Cash", $H18 - ROUND($H18 * $K$8, 0), "")</f>
        <v/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30" customHeight="1" x14ac:dyDescent="0.25">
      <c r="A19" s="302" t="s">
        <v>191</v>
      </c>
      <c r="B19" s="303" t="s">
        <v>192</v>
      </c>
      <c r="C19" s="304">
        <v>2</v>
      </c>
      <c r="D19" s="304" t="s">
        <v>159</v>
      </c>
      <c r="E19" s="303" t="s">
        <v>66</v>
      </c>
      <c r="F19" s="305">
        <v>2400000</v>
      </c>
      <c r="G19" s="301">
        <v>2400000</v>
      </c>
      <c r="H19" s="306">
        <v>2400000</v>
      </c>
      <c r="I19" s="307" t="s">
        <v>156</v>
      </c>
      <c r="J19" s="299" t="str">
        <f t="shared" si="4"/>
        <v/>
      </c>
      <c r="K19" s="301">
        <f t="shared" si="5"/>
        <v>1200000</v>
      </c>
      <c r="L19" s="306" t="str">
        <f t="shared" si="6"/>
        <v/>
      </c>
      <c r="M19" s="301">
        <f t="shared" si="7"/>
        <v>1200000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30" customHeight="1" x14ac:dyDescent="0.25">
      <c r="A20" s="302" t="s">
        <v>193</v>
      </c>
      <c r="B20" s="303" t="s">
        <v>194</v>
      </c>
      <c r="C20" s="304">
        <v>3</v>
      </c>
      <c r="D20" s="304" t="s">
        <v>162</v>
      </c>
      <c r="E20" s="303" t="s">
        <v>66</v>
      </c>
      <c r="F20" s="305">
        <v>38100000</v>
      </c>
      <c r="G20" s="301">
        <v>38100000</v>
      </c>
      <c r="H20" s="306">
        <v>0</v>
      </c>
      <c r="I20" s="307"/>
      <c r="J20" s="299" t="str">
        <f t="shared" si="4"/>
        <v/>
      </c>
      <c r="K20" s="301" t="str">
        <f t="shared" si="5"/>
        <v/>
      </c>
      <c r="L20" s="306" t="str">
        <f t="shared" si="6"/>
        <v/>
      </c>
      <c r="M20" s="301" t="str">
        <f t="shared" si="7"/>
        <v/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30" customHeight="1" x14ac:dyDescent="0.25">
      <c r="A21" s="302" t="s">
        <v>195</v>
      </c>
      <c r="B21" s="303" t="s">
        <v>196</v>
      </c>
      <c r="C21" s="304">
        <v>4</v>
      </c>
      <c r="D21" s="304" t="s">
        <v>162</v>
      </c>
      <c r="E21" s="303" t="s">
        <v>65</v>
      </c>
      <c r="F21" s="305">
        <v>30400000</v>
      </c>
      <c r="G21" s="301">
        <v>30400000</v>
      </c>
      <c r="H21" s="306">
        <v>0</v>
      </c>
      <c r="I21" s="307"/>
      <c r="J21" s="299" t="str">
        <f t="shared" si="4"/>
        <v/>
      </c>
      <c r="K21" s="301" t="str">
        <f t="shared" si="5"/>
        <v/>
      </c>
      <c r="L21" s="306" t="str">
        <f t="shared" si="6"/>
        <v/>
      </c>
      <c r="M21" s="301" t="str">
        <f t="shared" si="7"/>
        <v/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30" customHeight="1" x14ac:dyDescent="0.25">
      <c r="A22" s="302" t="s">
        <v>197</v>
      </c>
      <c r="B22" s="303" t="s">
        <v>198</v>
      </c>
      <c r="C22" s="304">
        <v>5</v>
      </c>
      <c r="D22" s="304" t="s">
        <v>162</v>
      </c>
      <c r="E22" s="303" t="s">
        <v>68</v>
      </c>
      <c r="F22" s="305">
        <v>26900000</v>
      </c>
      <c r="G22" s="301">
        <v>26900000</v>
      </c>
      <c r="H22" s="306">
        <v>0</v>
      </c>
      <c r="I22" s="307"/>
      <c r="J22" s="299" t="str">
        <f t="shared" si="4"/>
        <v/>
      </c>
      <c r="K22" s="301" t="str">
        <f t="shared" si="5"/>
        <v/>
      </c>
      <c r="L22" s="306" t="str">
        <f t="shared" si="6"/>
        <v/>
      </c>
      <c r="M22" s="301" t="str">
        <f t="shared" si="7"/>
        <v/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30" customHeight="1" x14ac:dyDescent="0.25">
      <c r="A23" s="302" t="s">
        <v>199</v>
      </c>
      <c r="B23" s="303" t="s">
        <v>200</v>
      </c>
      <c r="C23" s="304">
        <v>6</v>
      </c>
      <c r="D23" s="304" t="s">
        <v>162</v>
      </c>
      <c r="E23" s="303" t="s">
        <v>67</v>
      </c>
      <c r="F23" s="305">
        <v>3800000</v>
      </c>
      <c r="G23" s="301">
        <v>3800000</v>
      </c>
      <c r="H23" s="306">
        <v>0</v>
      </c>
      <c r="I23" s="307"/>
      <c r="J23" s="299" t="str">
        <f t="shared" si="4"/>
        <v/>
      </c>
      <c r="K23" s="301" t="str">
        <f t="shared" si="5"/>
        <v/>
      </c>
      <c r="L23" s="306" t="str">
        <f t="shared" si="6"/>
        <v/>
      </c>
      <c r="M23" s="301" t="str">
        <f t="shared" si="7"/>
        <v/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30" customHeight="1" x14ac:dyDescent="0.25">
      <c r="A24" s="302" t="s">
        <v>201</v>
      </c>
      <c r="B24" s="303" t="s">
        <v>202</v>
      </c>
      <c r="C24" s="304">
        <v>7</v>
      </c>
      <c r="D24" s="304" t="s">
        <v>159</v>
      </c>
      <c r="E24" s="303" t="s">
        <v>65</v>
      </c>
      <c r="F24" s="305">
        <v>30000000</v>
      </c>
      <c r="G24" s="301">
        <v>30000000</v>
      </c>
      <c r="H24" s="306">
        <v>0</v>
      </c>
      <c r="I24" s="307"/>
      <c r="J24" s="299" t="str">
        <f t="shared" si="4"/>
        <v/>
      </c>
      <c r="K24" s="301" t="str">
        <f t="shared" si="5"/>
        <v/>
      </c>
      <c r="L24" s="306" t="str">
        <f t="shared" si="6"/>
        <v/>
      </c>
      <c r="M24" s="301" t="str">
        <f t="shared" si="7"/>
        <v/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15.75" customHeight="1" x14ac:dyDescent="0.25">
      <c r="A25" s="308" t="s">
        <v>203</v>
      </c>
      <c r="B25" s="309"/>
      <c r="C25" s="309"/>
      <c r="D25" s="309"/>
      <c r="E25" s="310"/>
      <c r="F25" s="311">
        <f>SUM(F18:F24)</f>
        <v>181600000</v>
      </c>
      <c r="G25" s="312">
        <f>SUM(G18:G24)</f>
        <v>161600000</v>
      </c>
      <c r="H25" s="631">
        <f>SUM(H18:H24)</f>
        <v>37400000</v>
      </c>
      <c r="I25" s="632"/>
      <c r="J25" s="313">
        <f>SUM(J18:J24)</f>
        <v>0</v>
      </c>
      <c r="K25" s="312">
        <f>SUM(K18:K24)</f>
        <v>1200000</v>
      </c>
      <c r="L25" s="313">
        <f>SUM(L18:L24)</f>
        <v>2989822</v>
      </c>
      <c r="M25" s="312">
        <f>SUM(M18:M24)</f>
        <v>1200000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15.75" customHeight="1" x14ac:dyDescent="0.25">
      <c r="A26" s="290" t="s">
        <v>204</v>
      </c>
      <c r="B26" s="291"/>
      <c r="C26" s="291"/>
      <c r="D26" s="291"/>
      <c r="E26" s="291"/>
      <c r="F26" s="291"/>
      <c r="G26" s="292"/>
      <c r="H26" s="293"/>
      <c r="I26" s="292"/>
      <c r="J26" s="293"/>
      <c r="K26" s="292"/>
      <c r="L26" s="291"/>
      <c r="M26" s="292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30" customHeight="1" x14ac:dyDescent="0.25">
      <c r="A27" s="294" t="s">
        <v>205</v>
      </c>
      <c r="B27" s="295" t="s">
        <v>206</v>
      </c>
      <c r="C27" s="296">
        <v>1</v>
      </c>
      <c r="D27" s="296" t="s">
        <v>162</v>
      </c>
      <c r="E27" s="296" t="s">
        <v>71</v>
      </c>
      <c r="F27" s="297">
        <v>62500000</v>
      </c>
      <c r="G27" s="298">
        <v>62500000</v>
      </c>
      <c r="H27" s="299">
        <v>62500000</v>
      </c>
      <c r="I27" s="300" t="s">
        <v>52</v>
      </c>
      <c r="J27" s="299">
        <f>IF($I27 = "Debt Service", IF($M$3 = "Yes", 0, ROUND(-PMT($K$3,$K$4, $H27, 0, 0), 0)), "")</f>
        <v>0</v>
      </c>
      <c r="K27" s="301" t="str">
        <f>IF($I27 = "Cash", ROUND($H27 * $K$8, 0), "")</f>
        <v/>
      </c>
      <c r="L27" s="299">
        <f>IF($I27 = "Debt Service", ROUND(-PMT($K$3,$K$4, $H27, 0, 0), 0), "")</f>
        <v>5338969</v>
      </c>
      <c r="M27" s="301" t="str">
        <f>IF($I27 = "Cash", $H27 - ROUND($H27 * $K$8, 0), "")</f>
        <v/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30" customHeight="1" x14ac:dyDescent="0.25">
      <c r="A28" s="302" t="s">
        <v>207</v>
      </c>
      <c r="B28" s="303" t="s">
        <v>208</v>
      </c>
      <c r="C28" s="304">
        <v>2</v>
      </c>
      <c r="D28" s="304" t="s">
        <v>162</v>
      </c>
      <c r="E28" s="303" t="s">
        <v>71</v>
      </c>
      <c r="F28" s="305">
        <v>27500000</v>
      </c>
      <c r="G28" s="301">
        <v>27500000</v>
      </c>
      <c r="H28" s="306">
        <v>0</v>
      </c>
      <c r="I28" s="307"/>
      <c r="J28" s="299" t="str">
        <f>IF($I28 = "Debt Service", IF($M$3 = "Yes", 0, ROUND(-PMT($K$3,$K$4, $H28, 0, 0), 0)), "")</f>
        <v/>
      </c>
      <c r="K28" s="301" t="str">
        <f>IF($I28 = "Cash", ROUND($H28 * $K$8, 0), "")</f>
        <v/>
      </c>
      <c r="L28" s="306" t="str">
        <f>IF($I28 = "Debt Service", ROUND(-PMT($K$3,$K$4, $H28, 0, 0), 0), "")</f>
        <v/>
      </c>
      <c r="M28" s="301" t="str">
        <f>IF($I28 = "Cash", $H28 - ROUND($H28 * $K$8, 0), "")</f>
        <v/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30" customHeight="1" x14ac:dyDescent="0.25">
      <c r="A29" s="302" t="s">
        <v>209</v>
      </c>
      <c r="B29" s="303" t="s">
        <v>210</v>
      </c>
      <c r="C29" s="304">
        <v>3</v>
      </c>
      <c r="D29" s="304" t="s">
        <v>162</v>
      </c>
      <c r="E29" s="303" t="s">
        <v>71</v>
      </c>
      <c r="F29" s="305">
        <v>11600000</v>
      </c>
      <c r="G29" s="301">
        <v>11600000</v>
      </c>
      <c r="H29" s="306">
        <v>0</v>
      </c>
      <c r="I29" s="307"/>
      <c r="J29" s="299" t="str">
        <f>IF($I29 = "Debt Service", IF($M$3 = "Yes", 0, ROUND(-PMT($K$3,$K$4, $H29, 0, 0), 0)), "")</f>
        <v/>
      </c>
      <c r="K29" s="301" t="str">
        <f>IF($I29 = "Cash", ROUND($H29 * $K$8, 0), "")</f>
        <v/>
      </c>
      <c r="L29" s="306" t="str">
        <f>IF($I29 = "Debt Service", ROUND(-PMT($K$3,$K$4, $H29, 0, 0), 0), "")</f>
        <v/>
      </c>
      <c r="M29" s="301" t="str">
        <f>IF($I29 = "Cash", $H29 - ROUND($H29 * $K$8, 0), "")</f>
        <v/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30" customHeight="1" x14ac:dyDescent="0.25">
      <c r="A30" s="302" t="s">
        <v>211</v>
      </c>
      <c r="B30" s="303" t="s">
        <v>212</v>
      </c>
      <c r="C30" s="304">
        <v>4</v>
      </c>
      <c r="D30" s="304" t="s">
        <v>162</v>
      </c>
      <c r="E30" s="303" t="s">
        <v>71</v>
      </c>
      <c r="F30" s="305">
        <v>6225000</v>
      </c>
      <c r="G30" s="301">
        <v>6225000</v>
      </c>
      <c r="H30" s="306">
        <v>0</v>
      </c>
      <c r="I30" s="307"/>
      <c r="J30" s="299" t="str">
        <f>IF($I30 = "Debt Service", IF($M$3 = "Yes", 0, ROUND(-PMT($K$3,$K$4, $H30, 0, 0), 0)), "")</f>
        <v/>
      </c>
      <c r="K30" s="301" t="str">
        <f>IF($I30 = "Cash", ROUND($H30 * $K$8, 0), "")</f>
        <v/>
      </c>
      <c r="L30" s="306" t="str">
        <f>IF($I30 = "Debt Service", ROUND(-PMT($K$3,$K$4, $H30, 0, 0), 0), "")</f>
        <v/>
      </c>
      <c r="M30" s="301" t="str">
        <f>IF($I30 = "Cash", $H30 - ROUND($H30 * $K$8, 0), "")</f>
        <v/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15.75" customHeight="1" x14ac:dyDescent="0.25">
      <c r="A31" s="308" t="s">
        <v>213</v>
      </c>
      <c r="B31" s="309"/>
      <c r="C31" s="309"/>
      <c r="D31" s="309"/>
      <c r="E31" s="310"/>
      <c r="F31" s="311">
        <f>SUM(F27:F30)</f>
        <v>107825000</v>
      </c>
      <c r="G31" s="312">
        <f>SUM(G27:G30)</f>
        <v>107825000</v>
      </c>
      <c r="H31" s="631">
        <f>SUM(H27:H30)</f>
        <v>62500000</v>
      </c>
      <c r="I31" s="632"/>
      <c r="J31" s="313">
        <f>SUM(J27:J30)</f>
        <v>0</v>
      </c>
      <c r="K31" s="312">
        <f>SUM(K27:K30)</f>
        <v>0</v>
      </c>
      <c r="L31" s="313">
        <f>SUM(L27:L30)</f>
        <v>5338969</v>
      </c>
      <c r="M31" s="312">
        <f>SUM(M27:M30)</f>
        <v>0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15.75" customHeight="1" x14ac:dyDescent="0.25">
      <c r="A32" s="290" t="s">
        <v>214</v>
      </c>
      <c r="B32" s="291"/>
      <c r="C32" s="291"/>
      <c r="D32" s="291"/>
      <c r="E32" s="291"/>
      <c r="F32" s="291"/>
      <c r="G32" s="292"/>
      <c r="H32" s="293"/>
      <c r="I32" s="292"/>
      <c r="J32" s="293"/>
      <c r="K32" s="292"/>
      <c r="L32" s="291"/>
      <c r="M32" s="29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30" customHeight="1" x14ac:dyDescent="0.25">
      <c r="A33" s="294" t="s">
        <v>215</v>
      </c>
      <c r="B33" s="295" t="s">
        <v>216</v>
      </c>
      <c r="C33" s="296">
        <v>1</v>
      </c>
      <c r="D33" s="296" t="s">
        <v>162</v>
      </c>
      <c r="E33" s="296" t="s">
        <v>72</v>
      </c>
      <c r="F33" s="297">
        <v>64000000</v>
      </c>
      <c r="G33" s="298">
        <v>64000000</v>
      </c>
      <c r="H33" s="299">
        <v>114000000</v>
      </c>
      <c r="I33" s="300" t="s">
        <v>52</v>
      </c>
      <c r="J33" s="299">
        <f>IF($I33 = "Debt Service", IF($M$3 = "Yes", 0, ROUND(-PMT($K$3,$K$4, $H33, 0, 0), 0)), "")</f>
        <v>0</v>
      </c>
      <c r="K33" s="301" t="str">
        <f>IF($I33 = "Cash", ROUND($H33 * $K$8, 0), "")</f>
        <v/>
      </c>
      <c r="L33" s="299">
        <f>IF($I33 = "Debt Service", ROUND(-PMT($K$3,$K$4, $H33, 0, 0), 0), "")</f>
        <v>9738279</v>
      </c>
      <c r="M33" s="301" t="str">
        <f>IF($I33 = "Cash", $H33 - ROUND($H33 * $K$8, 0), "")</f>
        <v/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.75" customHeight="1" thickBot="1" x14ac:dyDescent="0.3">
      <c r="A34" s="308" t="s">
        <v>217</v>
      </c>
      <c r="B34" s="309"/>
      <c r="C34" s="309"/>
      <c r="D34" s="309"/>
      <c r="E34" s="310"/>
      <c r="F34" s="311">
        <f>SUM(F33:F33)</f>
        <v>64000000</v>
      </c>
      <c r="G34" s="312">
        <f>SUM(G33:G33)</f>
        <v>64000000</v>
      </c>
      <c r="H34" s="631">
        <f>SUM(H33:H33)</f>
        <v>114000000</v>
      </c>
      <c r="I34" s="632"/>
      <c r="J34" s="313">
        <f>SUM(J33:J33)</f>
        <v>0</v>
      </c>
      <c r="K34" s="312">
        <f>SUM(K33:K33)</f>
        <v>0</v>
      </c>
      <c r="L34" s="313">
        <f>SUM(L33:L33)</f>
        <v>9738279</v>
      </c>
      <c r="M34" s="312">
        <f>SUM(M33:M33)</f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6.5" customHeight="1" thickTop="1" thickBot="1" x14ac:dyDescent="0.3">
      <c r="A35" s="290" t="s">
        <v>218</v>
      </c>
      <c r="B35" s="291"/>
      <c r="C35" s="291"/>
      <c r="D35" s="291"/>
      <c r="E35" s="291"/>
      <c r="F35" s="291"/>
      <c r="G35" s="292"/>
      <c r="H35" s="293"/>
      <c r="I35" s="292"/>
      <c r="J35" s="293"/>
      <c r="K35" s="292"/>
      <c r="L35" s="291"/>
      <c r="M35" s="292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30" customHeight="1" x14ac:dyDescent="0.25">
      <c r="A36" s="294" t="s">
        <v>219</v>
      </c>
      <c r="B36" s="295" t="s">
        <v>220</v>
      </c>
      <c r="C36" s="296">
        <v>1</v>
      </c>
      <c r="D36" s="296" t="s">
        <v>162</v>
      </c>
      <c r="E36" s="296" t="s">
        <v>73</v>
      </c>
      <c r="F36" s="297">
        <v>8000000</v>
      </c>
      <c r="G36" s="298">
        <v>8000000</v>
      </c>
      <c r="H36" s="299">
        <v>8000000</v>
      </c>
      <c r="I36" s="300" t="s">
        <v>52</v>
      </c>
      <c r="J36" s="299">
        <f>IF($I36 = "Debt Service", IF($M$3 = "Yes", 0, ROUND(-PMT($K$3,$K$4, $H36, 0, 0), 0)), "")</f>
        <v>0</v>
      </c>
      <c r="K36" s="301" t="str">
        <f>IF($I36 = "Cash", ROUND($H36 * $K$8, 0), "")</f>
        <v/>
      </c>
      <c r="L36" s="299">
        <f>IF($I36 = "Debt Service", ROUND(-PMT($K$3,$K$4, $H36, 0, 0), 0), "")</f>
        <v>683388</v>
      </c>
      <c r="M36" s="301" t="str">
        <f>IF($I36 = "Cash", $H36 - ROUND($H36 * $K$8, 0), "")</f>
        <v/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30" customHeight="1" x14ac:dyDescent="0.25">
      <c r="A37" s="302" t="s">
        <v>221</v>
      </c>
      <c r="B37" s="303" t="s">
        <v>222</v>
      </c>
      <c r="C37" s="304">
        <v>2</v>
      </c>
      <c r="D37" s="304" t="s">
        <v>162</v>
      </c>
      <c r="E37" s="303" t="s">
        <v>73</v>
      </c>
      <c r="F37" s="305">
        <v>7300000</v>
      </c>
      <c r="G37" s="301">
        <v>7300000</v>
      </c>
      <c r="H37" s="306">
        <v>0</v>
      </c>
      <c r="I37" s="307"/>
      <c r="J37" s="299" t="str">
        <f>IF($I37 = "Debt Service", IF($M$3 = "Yes", 0, ROUND(-PMT($K$3,$K$4, $H37, 0, 0), 0)), "")</f>
        <v/>
      </c>
      <c r="K37" s="301" t="str">
        <f>IF($I37 = "Cash", ROUND($H37 * $K$8, 0), "")</f>
        <v/>
      </c>
      <c r="L37" s="306" t="str">
        <f>IF($I37 = "Debt Service", ROUND(-PMT($K$3,$K$4, $H37, 0, 0), 0), "")</f>
        <v/>
      </c>
      <c r="M37" s="301" t="str">
        <f>IF($I37 = "Cash", $H37 - ROUND($H37 * $K$8, 0), "")</f>
        <v/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308" t="s">
        <v>223</v>
      </c>
      <c r="B38" s="309"/>
      <c r="C38" s="309"/>
      <c r="D38" s="309"/>
      <c r="E38" s="310"/>
      <c r="F38" s="311">
        <f>SUM(F36:F37)</f>
        <v>15300000</v>
      </c>
      <c r="G38" s="312">
        <f>SUM(G36:G37)</f>
        <v>15300000</v>
      </c>
      <c r="H38" s="631">
        <f>SUM(H36:H37)</f>
        <v>8000000</v>
      </c>
      <c r="I38" s="632"/>
      <c r="J38" s="313">
        <f>SUM(J36:J37)</f>
        <v>0</v>
      </c>
      <c r="K38" s="312">
        <f>SUM(K36:K37)</f>
        <v>0</v>
      </c>
      <c r="L38" s="313">
        <f>SUM(L36:L37)</f>
        <v>683388</v>
      </c>
      <c r="M38" s="312">
        <f>SUM(M36:M37)</f>
        <v>0</v>
      </c>
    </row>
    <row r="39" spans="1:27" x14ac:dyDescent="0.25">
      <c r="A39" s="290" t="s">
        <v>224</v>
      </c>
      <c r="B39" s="291"/>
      <c r="C39" s="291"/>
      <c r="D39" s="291"/>
      <c r="E39" s="291"/>
      <c r="F39" s="291"/>
      <c r="G39" s="292"/>
      <c r="H39" s="293"/>
      <c r="I39" s="292"/>
      <c r="J39" s="293"/>
      <c r="K39" s="292"/>
      <c r="L39" s="291"/>
      <c r="M39" s="292"/>
    </row>
    <row r="40" spans="1:27" ht="30" customHeight="1" x14ac:dyDescent="0.25">
      <c r="A40" s="294" t="s">
        <v>225</v>
      </c>
      <c r="B40" s="295" t="s">
        <v>226</v>
      </c>
      <c r="C40" s="296">
        <v>1</v>
      </c>
      <c r="D40" s="296" t="s">
        <v>162</v>
      </c>
      <c r="E40" s="296" t="s">
        <v>74</v>
      </c>
      <c r="F40" s="297">
        <v>25000000</v>
      </c>
      <c r="G40" s="298">
        <v>20000000</v>
      </c>
      <c r="H40" s="299">
        <v>20000000</v>
      </c>
      <c r="I40" s="300" t="s">
        <v>52</v>
      </c>
      <c r="J40" s="299">
        <f>IF($I40 = "Debt Service", IF($M$3 = "Yes", 0, ROUND(-PMT($K$3,$K$4, $H40, 0, 0), 0)), "")</f>
        <v>0</v>
      </c>
      <c r="K40" s="301" t="str">
        <f>IF($I40 = "Cash", ROUND($H40 * $K$8, 0), "")</f>
        <v/>
      </c>
      <c r="L40" s="299">
        <f>IF($I40 = "Debt Service", ROUND(-PMT($K$3,$K$4, $H40, 0, 0), 0), "")</f>
        <v>1708470</v>
      </c>
      <c r="M40" s="301" t="str">
        <f>IF($I40 = "Cash", $H40 - ROUND($H40 * $K$8, 0), "")</f>
        <v/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30" customHeight="1" x14ac:dyDescent="0.25">
      <c r="A41" s="302" t="s">
        <v>227</v>
      </c>
      <c r="B41" s="303" t="s">
        <v>228</v>
      </c>
      <c r="C41" s="304">
        <v>2</v>
      </c>
      <c r="D41" s="304" t="s">
        <v>162</v>
      </c>
      <c r="E41" s="303" t="s">
        <v>74</v>
      </c>
      <c r="F41" s="305">
        <v>1500000</v>
      </c>
      <c r="G41" s="301">
        <v>1500000</v>
      </c>
      <c r="H41" s="306">
        <v>1500000</v>
      </c>
      <c r="I41" s="307" t="s">
        <v>156</v>
      </c>
      <c r="J41" s="299" t="str">
        <f>IF($I41 = "Debt Service", IF($M$3 = "Yes", 0, ROUND(-PMT($K$3,$K$4, $H41, 0, 0), 0)), "")</f>
        <v/>
      </c>
      <c r="K41" s="301">
        <f>IF($I41 = "Cash", ROUND($H41 * $K$8, 0), "")</f>
        <v>750000</v>
      </c>
      <c r="L41" s="306" t="str">
        <f>IF($I41 = "Debt Service", ROUND(-PMT($K$3,$K$4, $H41, 0, 0), 0), "")</f>
        <v/>
      </c>
      <c r="M41" s="301">
        <f>IF($I41 = "Cash", $H41 - ROUND($H41 * $K$8, 0), "")</f>
        <v>750000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30" customHeight="1" x14ac:dyDescent="0.25">
      <c r="A42" s="302" t="s">
        <v>229</v>
      </c>
      <c r="B42" s="303" t="s">
        <v>230</v>
      </c>
      <c r="C42" s="304">
        <v>3</v>
      </c>
      <c r="D42" s="304" t="s">
        <v>162</v>
      </c>
      <c r="E42" s="303" t="s">
        <v>74</v>
      </c>
      <c r="F42" s="305">
        <v>5000000</v>
      </c>
      <c r="G42" s="301">
        <v>5000000</v>
      </c>
      <c r="H42" s="306">
        <v>0</v>
      </c>
      <c r="I42" s="307"/>
      <c r="J42" s="299" t="str">
        <f>IF($I42 = "Debt Service", IF($M$3 = "Yes", 0, ROUND(-PMT($K$3,$K$4, $H42, 0, 0), 0)), "")</f>
        <v/>
      </c>
      <c r="K42" s="301" t="str">
        <f>IF($I42 = "Cash", ROUND($H42 * $K$8, 0), "")</f>
        <v/>
      </c>
      <c r="L42" s="306" t="str">
        <f>IF($I42 = "Debt Service", ROUND(-PMT($K$3,$K$4, $H42, 0, 0), 0), "")</f>
        <v/>
      </c>
      <c r="M42" s="301" t="str">
        <f>IF($I42 = "Cash", $H42 - ROUND($H42 * $K$8, 0), "")</f>
        <v/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25">
      <c r="A43" s="308" t="s">
        <v>231</v>
      </c>
      <c r="B43" s="309"/>
      <c r="C43" s="309"/>
      <c r="D43" s="309"/>
      <c r="E43" s="310"/>
      <c r="F43" s="311">
        <f>SUM(F40:F42)</f>
        <v>31500000</v>
      </c>
      <c r="G43" s="312">
        <f>SUM(G40:G42)</f>
        <v>26500000</v>
      </c>
      <c r="H43" s="631">
        <f>SUM(H40:H42)</f>
        <v>21500000</v>
      </c>
      <c r="I43" s="632"/>
      <c r="J43" s="313">
        <f>SUM(J40:J42)</f>
        <v>0</v>
      </c>
      <c r="K43" s="312">
        <f>SUM(K40:K42)</f>
        <v>750000</v>
      </c>
      <c r="L43" s="313">
        <f>SUM(L40:L42)</f>
        <v>1708470</v>
      </c>
      <c r="M43" s="312">
        <f>SUM(M40:M42)</f>
        <v>750000</v>
      </c>
    </row>
    <row r="44" spans="1:27" x14ac:dyDescent="0.25">
      <c r="A44" s="290" t="s">
        <v>232</v>
      </c>
      <c r="B44" s="291"/>
      <c r="C44" s="291"/>
      <c r="D44" s="291"/>
      <c r="E44" s="291"/>
      <c r="F44" s="291"/>
      <c r="G44" s="292"/>
      <c r="H44" s="293"/>
      <c r="I44" s="292"/>
      <c r="J44" s="293"/>
      <c r="K44" s="292"/>
      <c r="L44" s="291"/>
      <c r="M44" s="292"/>
    </row>
    <row r="45" spans="1:27" ht="30" customHeight="1" x14ac:dyDescent="0.25">
      <c r="A45" s="294" t="s">
        <v>233</v>
      </c>
      <c r="B45" s="295" t="s">
        <v>234</v>
      </c>
      <c r="C45" s="296">
        <v>1</v>
      </c>
      <c r="D45" s="296" t="s">
        <v>162</v>
      </c>
      <c r="E45" s="296" t="s">
        <v>75</v>
      </c>
      <c r="F45" s="297">
        <v>25000000</v>
      </c>
      <c r="G45" s="298">
        <v>25000000</v>
      </c>
      <c r="H45" s="299">
        <v>25000000</v>
      </c>
      <c r="I45" s="300" t="s">
        <v>52</v>
      </c>
      <c r="J45" s="299">
        <f t="shared" ref="J45:J52" si="8">IF($I45 = "Debt Service", IF($M$3 = "Yes", 0, ROUND(-PMT($K$3,$K$4, $H45, 0, 0), 0)), "")</f>
        <v>0</v>
      </c>
      <c r="K45" s="301" t="str">
        <f t="shared" ref="K45:K52" si="9">IF($I45 = "Cash", ROUND($H45 * $K$8, 0), "")</f>
        <v/>
      </c>
      <c r="L45" s="299">
        <f t="shared" ref="L45:L52" si="10">IF($I45 = "Debt Service", ROUND(-PMT($K$3,$K$4, $H45, 0, 0), 0), "")</f>
        <v>2135587</v>
      </c>
      <c r="M45" s="301" t="str">
        <f t="shared" ref="M45:M52" si="11">IF($I45 = "Cash", $H45 - ROUND($H45 * $K$8, 0), "")</f>
        <v/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30" customHeight="1" x14ac:dyDescent="0.25">
      <c r="A46" s="302" t="s">
        <v>235</v>
      </c>
      <c r="B46" s="303" t="s">
        <v>236</v>
      </c>
      <c r="C46" s="304">
        <v>2</v>
      </c>
      <c r="D46" s="304" t="s">
        <v>162</v>
      </c>
      <c r="E46" s="303" t="s">
        <v>75</v>
      </c>
      <c r="F46" s="305">
        <v>25000000</v>
      </c>
      <c r="G46" s="301">
        <v>25000000</v>
      </c>
      <c r="H46" s="306">
        <v>0</v>
      </c>
      <c r="I46" s="307"/>
      <c r="J46" s="299" t="str">
        <f t="shared" si="8"/>
        <v/>
      </c>
      <c r="K46" s="301" t="str">
        <f t="shared" si="9"/>
        <v/>
      </c>
      <c r="L46" s="306" t="str">
        <f t="shared" si="10"/>
        <v/>
      </c>
      <c r="M46" s="301" t="str">
        <f t="shared" si="11"/>
        <v/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30" customHeight="1" x14ac:dyDescent="0.25">
      <c r="A47" s="302" t="s">
        <v>237</v>
      </c>
      <c r="B47" s="303" t="s">
        <v>238</v>
      </c>
      <c r="C47" s="304">
        <v>3</v>
      </c>
      <c r="D47" s="304" t="s">
        <v>162</v>
      </c>
      <c r="E47" s="303" t="s">
        <v>75</v>
      </c>
      <c r="F47" s="305">
        <v>25000000</v>
      </c>
      <c r="G47" s="301">
        <v>25000000</v>
      </c>
      <c r="H47" s="306">
        <v>0</v>
      </c>
      <c r="I47" s="307"/>
      <c r="J47" s="299" t="str">
        <f t="shared" si="8"/>
        <v/>
      </c>
      <c r="K47" s="301" t="str">
        <f t="shared" si="9"/>
        <v/>
      </c>
      <c r="L47" s="306" t="str">
        <f t="shared" si="10"/>
        <v/>
      </c>
      <c r="M47" s="301" t="str">
        <f t="shared" si="11"/>
        <v/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30" customHeight="1" x14ac:dyDescent="0.25">
      <c r="A48" s="302" t="s">
        <v>239</v>
      </c>
      <c r="B48" s="303" t="s">
        <v>240</v>
      </c>
      <c r="C48" s="304">
        <v>4</v>
      </c>
      <c r="D48" s="304" t="s">
        <v>162</v>
      </c>
      <c r="E48" s="303" t="s">
        <v>75</v>
      </c>
      <c r="F48" s="305">
        <v>25000000</v>
      </c>
      <c r="G48" s="301">
        <v>25000000</v>
      </c>
      <c r="H48" s="306">
        <v>0</v>
      </c>
      <c r="I48" s="307"/>
      <c r="J48" s="299" t="str">
        <f t="shared" si="8"/>
        <v/>
      </c>
      <c r="K48" s="301" t="str">
        <f t="shared" si="9"/>
        <v/>
      </c>
      <c r="L48" s="306" t="str">
        <f t="shared" si="10"/>
        <v/>
      </c>
      <c r="M48" s="301" t="str">
        <f t="shared" si="11"/>
        <v/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30" customHeight="1" x14ac:dyDescent="0.25">
      <c r="A49" s="302" t="s">
        <v>241</v>
      </c>
      <c r="B49" s="303" t="s">
        <v>242</v>
      </c>
      <c r="C49" s="304">
        <v>5</v>
      </c>
      <c r="D49" s="304" t="s">
        <v>162</v>
      </c>
      <c r="E49" s="303" t="s">
        <v>75</v>
      </c>
      <c r="F49" s="305">
        <v>25000000</v>
      </c>
      <c r="G49" s="301">
        <v>25000000</v>
      </c>
      <c r="H49" s="306">
        <v>0</v>
      </c>
      <c r="I49" s="307"/>
      <c r="J49" s="299" t="str">
        <f t="shared" si="8"/>
        <v/>
      </c>
      <c r="K49" s="301" t="str">
        <f t="shared" si="9"/>
        <v/>
      </c>
      <c r="L49" s="306" t="str">
        <f t="shared" si="10"/>
        <v/>
      </c>
      <c r="M49" s="301" t="str">
        <f t="shared" si="11"/>
        <v/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30" customHeight="1" x14ac:dyDescent="0.25">
      <c r="A50" s="302" t="s">
        <v>243</v>
      </c>
      <c r="B50" s="303" t="s">
        <v>244</v>
      </c>
      <c r="C50" s="304">
        <v>6</v>
      </c>
      <c r="D50" s="304" t="s">
        <v>162</v>
      </c>
      <c r="E50" s="303" t="s">
        <v>75</v>
      </c>
      <c r="F50" s="305">
        <v>25000000</v>
      </c>
      <c r="G50" s="301">
        <v>25000000</v>
      </c>
      <c r="H50" s="306">
        <v>0</v>
      </c>
      <c r="I50" s="307"/>
      <c r="J50" s="299" t="str">
        <f t="shared" si="8"/>
        <v/>
      </c>
      <c r="K50" s="301" t="str">
        <f t="shared" si="9"/>
        <v/>
      </c>
      <c r="L50" s="306" t="str">
        <f t="shared" si="10"/>
        <v/>
      </c>
      <c r="M50" s="301" t="str">
        <f t="shared" si="11"/>
        <v/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30" customHeight="1" x14ac:dyDescent="0.25">
      <c r="A51" s="302" t="s">
        <v>245</v>
      </c>
      <c r="B51" s="303" t="s">
        <v>246</v>
      </c>
      <c r="C51" s="304">
        <v>7</v>
      </c>
      <c r="D51" s="304" t="s">
        <v>162</v>
      </c>
      <c r="E51" s="303" t="s">
        <v>75</v>
      </c>
      <c r="F51" s="305">
        <v>22900000</v>
      </c>
      <c r="G51" s="301">
        <v>22900000</v>
      </c>
      <c r="H51" s="306">
        <v>0</v>
      </c>
      <c r="I51" s="307"/>
      <c r="J51" s="299" t="str">
        <f t="shared" si="8"/>
        <v/>
      </c>
      <c r="K51" s="301" t="str">
        <f t="shared" si="9"/>
        <v/>
      </c>
      <c r="L51" s="306" t="str">
        <f t="shared" si="10"/>
        <v/>
      </c>
      <c r="M51" s="301" t="str">
        <f t="shared" si="11"/>
        <v/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30" customHeight="1" x14ac:dyDescent="0.25">
      <c r="A52" s="302" t="s">
        <v>247</v>
      </c>
      <c r="B52" s="303" t="s">
        <v>248</v>
      </c>
      <c r="C52" s="304">
        <v>8</v>
      </c>
      <c r="D52" s="304" t="s">
        <v>162</v>
      </c>
      <c r="E52" s="303" t="s">
        <v>75</v>
      </c>
      <c r="F52" s="305">
        <v>10000000</v>
      </c>
      <c r="G52" s="301">
        <v>10000000</v>
      </c>
      <c r="H52" s="306">
        <v>0</v>
      </c>
      <c r="I52" s="307"/>
      <c r="J52" s="299" t="str">
        <f t="shared" si="8"/>
        <v/>
      </c>
      <c r="K52" s="301" t="str">
        <f t="shared" si="9"/>
        <v/>
      </c>
      <c r="L52" s="306" t="str">
        <f t="shared" si="10"/>
        <v/>
      </c>
      <c r="M52" s="301" t="str">
        <f t="shared" si="11"/>
        <v/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25">
      <c r="A53" s="308" t="s">
        <v>249</v>
      </c>
      <c r="B53" s="309"/>
      <c r="C53" s="309"/>
      <c r="D53" s="309"/>
      <c r="E53" s="310"/>
      <c r="F53" s="311">
        <f>SUM(F45:F52)</f>
        <v>182900000</v>
      </c>
      <c r="G53" s="312">
        <f>SUM(G45:G52)</f>
        <v>182900000</v>
      </c>
      <c r="H53" s="631">
        <f>SUM(H45:H52)</f>
        <v>25000000</v>
      </c>
      <c r="I53" s="632"/>
      <c r="J53" s="313">
        <f>SUM(J45:J52)</f>
        <v>0</v>
      </c>
      <c r="K53" s="312">
        <f>SUM(K45:K52)</f>
        <v>0</v>
      </c>
      <c r="L53" s="313">
        <f>SUM(L45:L52)</f>
        <v>2135587</v>
      </c>
      <c r="M53" s="312">
        <f>SUM(M45:M52)</f>
        <v>0</v>
      </c>
    </row>
    <row r="54" spans="1:27" x14ac:dyDescent="0.25">
      <c r="A54" s="314" t="s">
        <v>47</v>
      </c>
      <c r="B54" s="315"/>
      <c r="C54" s="315"/>
      <c r="D54" s="315"/>
      <c r="E54" s="315"/>
      <c r="F54" s="260">
        <f>SUM(F16,F25,F31,F34,F38,F43,F53)</f>
        <v>786700000</v>
      </c>
      <c r="G54" s="278">
        <f>SUM(G16,G25,G31,G34,G38,G43,G53)</f>
        <v>761700000</v>
      </c>
      <c r="H54" s="633">
        <f>SUM(H16,H25,H31,H34,H38,H43,H53)</f>
        <v>348900000</v>
      </c>
      <c r="I54" s="634"/>
      <c r="J54" s="102">
        <f>SUM(J16,J25,J31,J34,J38,J43,J53)</f>
        <v>0</v>
      </c>
      <c r="K54" s="278">
        <f>SUM(K16,K25,K31,K34,K38,K43,K53)</f>
        <v>1950000</v>
      </c>
      <c r="L54" s="102">
        <f>SUM(L16,L25,L31,L34,L38,L43,L53)</f>
        <v>29471107</v>
      </c>
      <c r="M54" s="278">
        <f>SUM(M16,M25,M31,M34,M38,M43,M53)</f>
        <v>1950000</v>
      </c>
    </row>
    <row r="61" spans="1:27" ht="15.75" customHeight="1" thickBo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t="16.5" customHeight="1" thickTop="1" thickBo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88" spans="1:27" ht="15.75" customHeight="1" thickBot="1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6.5" customHeight="1" thickTop="1" thickBot="1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115" spans="1:27" ht="15.75" customHeight="1" thickBo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6.5" customHeight="1" thickTop="1" thickBot="1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42" spans="1:27" ht="15.75" customHeight="1" thickBot="1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6.5" customHeight="1" thickTop="1" thickBot="1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69" spans="1:27" ht="15.75" customHeight="1" thickBot="1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6.5" customHeight="1" thickTop="1" thickBot="1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96" spans="1:27" ht="15.75" customHeight="1" thickBot="1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6.5" customHeight="1" thickTop="1" thickBot="1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ht="15.75" customHeight="1" thickBot="1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</sheetData>
  <dataConsolidate/>
  <mergeCells count="24">
    <mergeCell ref="L7:L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6:G6"/>
    <mergeCell ref="H6:I6"/>
    <mergeCell ref="L6:M6"/>
    <mergeCell ref="J6:K6"/>
    <mergeCell ref="J2:M2"/>
    <mergeCell ref="H43:I43"/>
    <mergeCell ref="H53:I53"/>
    <mergeCell ref="H54:I54"/>
    <mergeCell ref="H16:I16"/>
    <mergeCell ref="H25:I25"/>
    <mergeCell ref="H31:I31"/>
    <mergeCell ref="H34:I34"/>
    <mergeCell ref="H38:I38"/>
  </mergeCells>
  <dataValidations count="8">
    <dataValidation type="list" allowBlank="1" showInputMessage="1" showErrorMessage="1" sqref="I10:I34">
      <formula1>$AA$1:$AA$2</formula1>
    </dataValidation>
    <dataValidation type="list" allowBlank="1" showInputMessage="1" showErrorMessage="1" sqref="I91:I115">
      <formula1>$AA$1:$AA$2</formula1>
    </dataValidation>
    <dataValidation type="list" allowBlank="1" showInputMessage="1" showErrorMessage="1" sqref="I118:I142">
      <formula1>$AA$1:$AA$2</formula1>
    </dataValidation>
    <dataValidation type="list" allowBlank="1" showInputMessage="1" showErrorMessage="1" sqref="I145:I169">
      <formula1>$AA$1:$AA$2</formula1>
    </dataValidation>
    <dataValidation type="list" allowBlank="1" showInputMessage="1" showErrorMessage="1" sqref="I37:I61">
      <formula1>$AA$1:$AA$2</formula1>
    </dataValidation>
    <dataValidation type="list" allowBlank="1" showInputMessage="1" showErrorMessage="1" sqref="I64:I88">
      <formula1>$AA$1:$AA$2</formula1>
    </dataValidation>
    <dataValidation type="list" allowBlank="1" showInputMessage="1" showErrorMessage="1" sqref="I172:I196">
      <formula1>$AA$1:$AA$2</formula1>
    </dataValidation>
    <dataValidation type="list" allowBlank="1" showInputMessage="1" showErrorMessage="1" sqref="M3">
      <formula1>$AA$4:$AA$5</formula1>
    </dataValidation>
  </dataValidations>
  <pageMargins left="0.7" right="0.7" top="0.75" bottom="0.75" header="0.3" footer="0.3"/>
  <pageSetup scale="55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RUN Overview</vt:lpstr>
      <vt:lpstr>OVERALL Summary</vt:lpstr>
      <vt:lpstr>OVERALL Summary Detail</vt:lpstr>
      <vt:lpstr>OPERATING Performance Outputs</vt:lpstr>
      <vt:lpstr>OPERATING Performance Per Unit</vt:lpstr>
      <vt:lpstr>OPERATING Performance Funding</vt:lpstr>
      <vt:lpstr>OPERATING Total Funding</vt:lpstr>
      <vt:lpstr>OPERATING Funding Per FTE</vt:lpstr>
      <vt:lpstr>CAPITAL Project Requests</vt:lpstr>
      <vt:lpstr>CAPITAL Summary</vt:lpstr>
      <vt:lpstr>CAPITAL Debt Summary</vt:lpstr>
      <vt:lpstr>LINE ITEM Requests</vt:lpstr>
      <vt:lpstr>LINE ITEM Dual Credit</vt:lpstr>
      <vt:lpstr>LINE ITEM Summary</vt:lpstr>
      <vt:lpstr>R&amp;R Funding</vt:lpstr>
      <vt:lpstr>CAPITAL Debt Service Chart</vt:lpstr>
      <vt:lpstr>CAPITAL Outstanding Debt Chart</vt:lpstr>
      <vt:lpstr>'CAPITAL Debt Summary'!Print_Area</vt:lpstr>
      <vt:lpstr>'CAPITAL Project Requests'!Print_Area</vt:lpstr>
      <vt:lpstr>'CAPITAL Summary'!Print_Area</vt:lpstr>
      <vt:lpstr>'LINE ITEM Dual Credit'!Print_Area</vt:lpstr>
      <vt:lpstr>'OPERATING Funding Per FTE'!Print_Area</vt:lpstr>
      <vt:lpstr>'OPERATING Performance Funding'!Print_Area</vt:lpstr>
      <vt:lpstr>'OPERATING Performance Outputs'!Print_Area</vt:lpstr>
      <vt:lpstr>'OPERATING Performance Per Unit'!Print_Area</vt:lpstr>
      <vt:lpstr>'OPERATING Total Funding'!Print_Area</vt:lpstr>
      <vt:lpstr>'OVERALL Summary'!Print_Area</vt:lpstr>
      <vt:lpstr>'OVERALL Summary Detail'!Print_Area</vt:lpstr>
      <vt:lpstr>'R&amp;R Funding'!Print_Area</vt:lpstr>
      <vt:lpstr>'CAPITAL Debt Summary'!Print_Titles</vt:lpstr>
      <vt:lpstr>'CAPITAL Project Requests'!Print_Titles</vt:lpstr>
      <vt:lpstr>'LINE ITEM Requests'!Print_Titles</vt:lpstr>
      <vt:lpstr>'OPERATING Performance Funding'!Print_Titles</vt:lpstr>
      <vt:lpstr>'OPERATING Performance Outputs'!Print_Titles</vt:lpstr>
      <vt:lpstr>'OVERALL Summary Detail'!Print_Titles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2014-09-19T12:34:06Z</dcterms:created>
  <dcterms:modified xsi:type="dcterms:W3CDTF">2015-11-23T16:58:41Z</dcterms:modified>
</cp:coreProperties>
</file>