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29"/>
  <workbookPr/>
  <mc:AlternateContent xmlns:mc="http://schemas.openxmlformats.org/markup-compatibility/2006">
    <mc:Choice Requires="x15">
      <x15ac:absPath xmlns:x15ac="http://schemas.microsoft.com/office/spreadsheetml/2010/11/ac" url="C:\Users\LRogers\Desktop\"/>
    </mc:Choice>
  </mc:AlternateContent>
  <xr:revisionPtr revIDLastSave="18" documentId="13_ncr:1_{3DCD58FB-1ADA-46D0-A6BB-91725158DA89}" xr6:coauthVersionLast="47" xr6:coauthVersionMax="47" xr10:uidLastSave="{625152B6-2676-41E7-9B58-3D04E005A675}"/>
  <bookViews>
    <workbookView xWindow="-110" yWindow="-110" windowWidth="19420" windowHeight="10420" tabRatio="777" firstSheet="2" activeTab="3" xr2:uid="{00000000-000D-0000-FFFF-FFFF00000000}"/>
  </bookViews>
  <sheets>
    <sheet name="Capital Asset Listing" sheetId="25" r:id="rId1"/>
    <sheet name="ACCUMULATED DEPRECIATION" sheetId="27" r:id="rId2"/>
    <sheet name="Calculations on Accum. Depr" sheetId="28" r:id="rId3"/>
    <sheet name="AFR SCHEDULE" sheetId="31" r:id="rId4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27" l="1"/>
  <c r="H28" i="27"/>
  <c r="D11" i="31"/>
  <c r="F11" i="31" s="1"/>
  <c r="C11" i="31"/>
  <c r="C10" i="31"/>
  <c r="C9" i="31"/>
  <c r="C7" i="31"/>
  <c r="C6" i="31"/>
  <c r="I49" i="28"/>
  <c r="M28" i="27"/>
  <c r="N32" i="25"/>
  <c r="N31" i="25"/>
  <c r="N30" i="25"/>
  <c r="N29" i="25"/>
  <c r="L27" i="25"/>
  <c r="C8" i="31" s="1"/>
  <c r="F8" i="31" s="1"/>
  <c r="J27" i="25"/>
  <c r="O35" i="25"/>
  <c r="F25" i="31"/>
  <c r="E28" i="31"/>
  <c r="E14" i="31"/>
  <c r="F12" i="31"/>
  <c r="F9" i="31"/>
  <c r="F7" i="31"/>
  <c r="I43" i="28"/>
  <c r="G75" i="28"/>
  <c r="I77" i="28" s="1"/>
  <c r="G69" i="28"/>
  <c r="I71" i="28" s="1"/>
  <c r="I63" i="28"/>
  <c r="I65" i="28" s="1"/>
  <c r="G60" i="28"/>
  <c r="I55" i="28"/>
  <c r="G21" i="28"/>
  <c r="I16" i="28"/>
  <c r="O30" i="27" l="1"/>
  <c r="D10" i="31"/>
  <c r="F10" i="31" s="1"/>
  <c r="C14" i="31"/>
  <c r="F6" i="31"/>
  <c r="P51" i="27"/>
  <c r="O51" i="27"/>
  <c r="P38" i="27"/>
  <c r="O38" i="27"/>
  <c r="P30" i="27"/>
  <c r="P23" i="27"/>
  <c r="O23" i="27"/>
  <c r="M48" i="27"/>
  <c r="Q48" i="27" s="1"/>
  <c r="M47" i="27"/>
  <c r="Q47" i="27" s="1"/>
  <c r="M46" i="27"/>
  <c r="Q46" i="27" s="1"/>
  <c r="M45" i="27"/>
  <c r="Q45" i="27" s="1"/>
  <c r="H48" i="27"/>
  <c r="H47" i="27"/>
  <c r="H46" i="27"/>
  <c r="H45" i="27"/>
  <c r="H44" i="27"/>
  <c r="H43" i="27"/>
  <c r="H42" i="27"/>
  <c r="L38" i="27"/>
  <c r="K38" i="27"/>
  <c r="D23" i="31" s="1"/>
  <c r="J38" i="27"/>
  <c r="C23" i="31" s="1"/>
  <c r="M35" i="27"/>
  <c r="Q35" i="27" s="1"/>
  <c r="M34" i="27"/>
  <c r="H35" i="27"/>
  <c r="H34" i="27"/>
  <c r="M44" i="27"/>
  <c r="Q44" i="27" s="1"/>
  <c r="M43" i="27"/>
  <c r="Q43" i="27" s="1"/>
  <c r="M42" i="27"/>
  <c r="Q42" i="27" s="1"/>
  <c r="M27" i="27"/>
  <c r="Q27" i="27" s="1"/>
  <c r="M26" i="27"/>
  <c r="Q26" i="27" s="1"/>
  <c r="H26" i="27"/>
  <c r="M21" i="27"/>
  <c r="Q21" i="27" s="1"/>
  <c r="M20" i="27"/>
  <c r="Q20" i="27" s="1"/>
  <c r="M19" i="27"/>
  <c r="Q19" i="27" s="1"/>
  <c r="I17" i="28"/>
  <c r="I24" i="28"/>
  <c r="I23" i="28"/>
  <c r="I25" i="28" s="1"/>
  <c r="H20" i="27"/>
  <c r="G12" i="28"/>
  <c r="H19" i="27"/>
  <c r="L51" i="27"/>
  <c r="K51" i="27"/>
  <c r="D24" i="31" s="1"/>
  <c r="J51" i="27"/>
  <c r="C24" i="31" s="1"/>
  <c r="L30" i="27"/>
  <c r="K30" i="27"/>
  <c r="D22" i="31" s="1"/>
  <c r="J30" i="27"/>
  <c r="C22" i="31" s="1"/>
  <c r="L23" i="27"/>
  <c r="K23" i="27"/>
  <c r="D21" i="31" s="1"/>
  <c r="J23" i="27"/>
  <c r="C21" i="31" s="1"/>
  <c r="P35" i="25"/>
  <c r="M35" i="25"/>
  <c r="L35" i="25"/>
  <c r="K35" i="25"/>
  <c r="J35" i="25"/>
  <c r="N35" i="25"/>
  <c r="P27" i="25"/>
  <c r="O27" i="25"/>
  <c r="N27" i="25"/>
  <c r="M27" i="25"/>
  <c r="K27" i="25"/>
  <c r="Q23" i="25"/>
  <c r="Q17" i="25"/>
  <c r="Q18" i="25"/>
  <c r="Q25" i="25"/>
  <c r="Q34" i="25"/>
  <c r="Q33" i="25"/>
  <c r="Q32" i="25"/>
  <c r="Q31" i="25"/>
  <c r="Q30" i="25"/>
  <c r="Q29" i="25"/>
  <c r="Q28" i="25"/>
  <c r="Q26" i="25"/>
  <c r="Q24" i="25"/>
  <c r="Q22" i="25"/>
  <c r="Q21" i="25"/>
  <c r="Q20" i="25"/>
  <c r="Q19" i="25"/>
  <c r="Q16" i="25"/>
  <c r="Q15" i="25"/>
  <c r="Q14" i="25"/>
  <c r="F24" i="31" l="1"/>
  <c r="F23" i="31"/>
  <c r="F22" i="31"/>
  <c r="D28" i="31"/>
  <c r="F21" i="31"/>
  <c r="C28" i="31"/>
  <c r="D14" i="31"/>
  <c r="F14" i="31" s="1"/>
  <c r="M38" i="27"/>
  <c r="Q34" i="27"/>
  <c r="Q38" i="27" s="1"/>
  <c r="Q23" i="27"/>
  <c r="Q30" i="27"/>
  <c r="Q51" i="27"/>
  <c r="M30" i="27"/>
  <c r="M51" i="27"/>
  <c r="M23" i="27"/>
  <c r="Q35" i="25"/>
  <c r="F28" i="31" l="1"/>
</calcChain>
</file>

<file path=xl/sharedStrings.xml><?xml version="1.0" encoding="utf-8"?>
<sst xmlns="http://schemas.openxmlformats.org/spreadsheetml/2006/main" count="213" uniqueCount="141">
  <si>
    <t xml:space="preserve"> General Form No. 369 (Rev. 2019)</t>
  </si>
  <si>
    <t>CAPITAL ASSETS LEDGER</t>
  </si>
  <si>
    <t>FUND __________________________________</t>
  </si>
  <si>
    <t>DEPARTMENT OR BUILDING _______________________</t>
  </si>
  <si>
    <t>Amount</t>
  </si>
  <si>
    <t>Types of Capital Assets</t>
  </si>
  <si>
    <t>Date</t>
  </si>
  <si>
    <t>Original</t>
  </si>
  <si>
    <t>Estimated</t>
  </si>
  <si>
    <t>Date of</t>
  </si>
  <si>
    <t>Received on</t>
  </si>
  <si>
    <t>Improvements</t>
  </si>
  <si>
    <t>Machinery</t>
  </si>
  <si>
    <t>Construction</t>
  </si>
  <si>
    <t>Books</t>
  </si>
  <si>
    <t>Total</t>
  </si>
  <si>
    <t>of</t>
  </si>
  <si>
    <t>Serial</t>
  </si>
  <si>
    <t>Cost of</t>
  </si>
  <si>
    <t>Life of</t>
  </si>
  <si>
    <t>Disposal of</t>
  </si>
  <si>
    <t>Disposal or</t>
  </si>
  <si>
    <t>Other Than</t>
  </si>
  <si>
    <t>Equipment</t>
  </si>
  <si>
    <t>in</t>
  </si>
  <si>
    <t xml:space="preserve">and </t>
  </si>
  <si>
    <t>Fixed</t>
  </si>
  <si>
    <t>Purchase</t>
  </si>
  <si>
    <t>Description of Asset</t>
  </si>
  <si>
    <t>Number</t>
  </si>
  <si>
    <t>Location of Asset</t>
  </si>
  <si>
    <t>Asset</t>
  </si>
  <si>
    <t>Fixed Asset</t>
  </si>
  <si>
    <t>Trade in</t>
  </si>
  <si>
    <t>Land</t>
  </si>
  <si>
    <t>Infrastructure</t>
  </si>
  <si>
    <t>Buildings</t>
  </si>
  <si>
    <t>&amp; Vehicles</t>
  </si>
  <si>
    <t>Progress</t>
  </si>
  <si>
    <t>Other</t>
  </si>
  <si>
    <t>Assets</t>
  </si>
  <si>
    <t>Courthouse</t>
  </si>
  <si>
    <t>Courthouse Square</t>
  </si>
  <si>
    <t>County Jail</t>
  </si>
  <si>
    <t>E. Main Street</t>
  </si>
  <si>
    <t>County Park 10 Acres</t>
  </si>
  <si>
    <t>Co. Rd 100 North</t>
  </si>
  <si>
    <t>Bridge #1</t>
  </si>
  <si>
    <t>Co Rd 500 East</t>
  </si>
  <si>
    <t>Community Center</t>
  </si>
  <si>
    <t>County Park on 100 North</t>
  </si>
  <si>
    <t xml:space="preserve">County Road 100 North </t>
  </si>
  <si>
    <t>Between 500 East and 100 West</t>
  </si>
  <si>
    <t>County Parking Lot</t>
  </si>
  <si>
    <t>Fountain</t>
  </si>
  <si>
    <t>2018 Ford SUV</t>
  </si>
  <si>
    <t>Sheriff Department</t>
  </si>
  <si>
    <t>2010 Camry</t>
  </si>
  <si>
    <t>Probation</t>
  </si>
  <si>
    <t>2012 Ford E450 Ambulance</t>
  </si>
  <si>
    <t>EMS Department</t>
  </si>
  <si>
    <t>Jail Project - Rennovation of Jail</t>
  </si>
  <si>
    <t>E Main Street</t>
  </si>
  <si>
    <t>Totals for 2019</t>
  </si>
  <si>
    <t>2016 Dodge Charger SXT - Black</t>
  </si>
  <si>
    <t>2018 Dodge Charger R/T 392</t>
  </si>
  <si>
    <t>2001 Chevy Dump Truck</t>
  </si>
  <si>
    <t>Highway Department</t>
  </si>
  <si>
    <t>2020 Chevy Truck w/snow plow</t>
  </si>
  <si>
    <t>Park Department</t>
  </si>
  <si>
    <t>Totals for 2020</t>
  </si>
  <si>
    <t>,</t>
  </si>
  <si>
    <t xml:space="preserve">PLEASANT COUNTY </t>
  </si>
  <si>
    <t xml:space="preserve">ACCUMULATED DEPRECIATION </t>
  </si>
  <si>
    <t>Date of Purchase</t>
  </si>
  <si>
    <t>Description on Asset</t>
  </si>
  <si>
    <t>Original Cost of Asset</t>
  </si>
  <si>
    <t>Estimated Life of Asset</t>
  </si>
  <si>
    <t xml:space="preserve">Yearly Depreciation </t>
  </si>
  <si>
    <t>01/01/2020 Beginning Balance</t>
  </si>
  <si>
    <t>Additions</t>
  </si>
  <si>
    <t>Reductions</t>
  </si>
  <si>
    <t>12/30/2020 Ending Balance</t>
  </si>
  <si>
    <t>12/31/2021 Ending Balance</t>
  </si>
  <si>
    <t>NOT DEPRECIATED</t>
  </si>
  <si>
    <t>CWIP</t>
  </si>
  <si>
    <t xml:space="preserve">Infrastructure </t>
  </si>
  <si>
    <t>Ciounty Road 100 North</t>
  </si>
  <si>
    <t xml:space="preserve">TOTAL INFRASTRUCTURE </t>
  </si>
  <si>
    <t>Court House</t>
  </si>
  <si>
    <t>Jail</t>
  </si>
  <si>
    <t>TOTAL BUILDINGS</t>
  </si>
  <si>
    <t>Improvements Other than Buildings</t>
  </si>
  <si>
    <t>Parking Lot</t>
  </si>
  <si>
    <t>TOTAL IMPROVEMENTS</t>
  </si>
  <si>
    <t>Machinery and Equipment</t>
  </si>
  <si>
    <t>Ford SUV</t>
  </si>
  <si>
    <t>2016 Dodge Charger SXT</t>
  </si>
  <si>
    <t>Chevy Dump Truck</t>
  </si>
  <si>
    <t>Chevy Truck w/ snow plow</t>
  </si>
  <si>
    <t>TOTAL EQUIPMENT</t>
  </si>
  <si>
    <t>Bridge</t>
  </si>
  <si>
    <t xml:space="preserve">Annual Depreciation </t>
  </si>
  <si>
    <t>Acquisition Date</t>
  </si>
  <si>
    <t xml:space="preserve">Accumulated Depreciation </t>
  </si>
  <si>
    <t>1975 to 2019</t>
  </si>
  <si>
    <t>1/2 year</t>
  </si>
  <si>
    <t>1976 to 2019</t>
  </si>
  <si>
    <t>44  years</t>
  </si>
  <si>
    <t>Road</t>
  </si>
  <si>
    <t>2011-2019</t>
  </si>
  <si>
    <t>9 years</t>
  </si>
  <si>
    <t>COURTHOUSE</t>
  </si>
  <si>
    <t>1936 TO 2019</t>
  </si>
  <si>
    <t>84 years</t>
  </si>
  <si>
    <t>Note: Fully depreciated at 75 years</t>
  </si>
  <si>
    <t>JAIL</t>
  </si>
  <si>
    <t>1960 To 2019</t>
  </si>
  <si>
    <t xml:space="preserve">60 years </t>
  </si>
  <si>
    <t>Fully depreciated at 50 years</t>
  </si>
  <si>
    <t xml:space="preserve">30 years </t>
  </si>
  <si>
    <t>1990 to 2019</t>
  </si>
  <si>
    <t>2015 to 2019</t>
  </si>
  <si>
    <t>5 years</t>
  </si>
  <si>
    <t>2018 to 2019</t>
  </si>
  <si>
    <t>2 years</t>
  </si>
  <si>
    <t>1 year</t>
  </si>
  <si>
    <t xml:space="preserve">2010 Camry </t>
  </si>
  <si>
    <t>2017 to 2019</t>
  </si>
  <si>
    <t>3 years</t>
  </si>
  <si>
    <t>CAPITAL ASSET SCHEDULE</t>
  </si>
  <si>
    <t>Government</t>
  </si>
  <si>
    <t>Beginning Balance Janaury 1, 2020</t>
  </si>
  <si>
    <t>Ending Balance December 31, 2020</t>
  </si>
  <si>
    <t xml:space="preserve">Building </t>
  </si>
  <si>
    <t>Improvements other than Buildings</t>
  </si>
  <si>
    <t>Machinery, Equipment, Vehicles</t>
  </si>
  <si>
    <t>Construction in Progress</t>
  </si>
  <si>
    <t>Books and Other</t>
  </si>
  <si>
    <t xml:space="preserve">Total </t>
  </si>
  <si>
    <t>ACCUMULATED DEPRECIATION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</si>
</sst>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Protection="1"/>
    <xf numFmtId="0" fontId="0" fillId="0" borderId="2" xfId="0" applyBorder="1" applyProtection="1"/>
    <xf numFmtId="0" fontId="0" fillId="0" borderId="0" xfId="0" applyAlignment="1" applyProtection="1">
      <alignment horizontal="centerContinuous"/>
    </xf>
    <xf numFmtId="0" fontId="0" fillId="0" borderId="3" xfId="0" applyBorder="1" applyProtection="1"/>
    <xf numFmtId="0" fontId="0" fillId="0" borderId="5" xfId="0" applyBorder="1" applyAlignment="1" applyProtection="1">
      <alignment horizontal="centerContinuous"/>
    </xf>
    <xf numFmtId="0" fontId="0" fillId="0" borderId="6" xfId="0" applyBorder="1" applyProtection="1"/>
    <xf numFmtId="0" fontId="0" fillId="0" borderId="5" xfId="0" applyBorder="1" applyProtection="1"/>
    <xf numFmtId="0" fontId="0" fillId="0" borderId="3" xfId="0" applyBorder="1" applyAlignment="1" applyProtection="1">
      <alignment horizontal="centerContinuous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7" xfId="0" applyBorder="1" applyProtection="1"/>
    <xf numFmtId="0" fontId="0" fillId="0" borderId="2" xfId="0" applyBorder="1" applyAlignment="1" applyProtection="1">
      <alignment horizontal="centerContinuous"/>
    </xf>
    <xf numFmtId="0" fontId="0" fillId="0" borderId="4" xfId="0" applyBorder="1" applyAlignment="1" applyProtection="1">
      <alignment horizontal="centerContinuous"/>
    </xf>
    <xf numFmtId="0" fontId="0" fillId="0" borderId="6" xfId="0" applyBorder="1" applyAlignment="1" applyProtection="1">
      <alignment horizontal="centerContinuous"/>
    </xf>
    <xf numFmtId="0" fontId="0" fillId="0" borderId="8" xfId="0" applyBorder="1" applyProtection="1"/>
    <xf numFmtId="0" fontId="1" fillId="0" borderId="0" xfId="0" applyFont="1" applyAlignment="1" applyProtection="1">
      <alignment textRotation="180"/>
    </xf>
    <xf numFmtId="0" fontId="1" fillId="0" borderId="0" xfId="0" applyFont="1" applyAlignment="1" applyProtection="1">
      <alignment horizontal="left" textRotation="180"/>
    </xf>
    <xf numFmtId="0" fontId="0" fillId="0" borderId="5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0" xfId="0" applyBorder="1" applyAlignment="1" applyProtection="1">
      <alignment horizontal="centerContinuous"/>
    </xf>
    <xf numFmtId="14" fontId="0" fillId="0" borderId="9" xfId="0" applyNumberFormat="1" applyBorder="1" applyProtection="1"/>
    <xf numFmtId="164" fontId="0" fillId="0" borderId="8" xfId="1" applyNumberFormat="1" applyFont="1" applyBorder="1" applyProtection="1"/>
    <xf numFmtId="14" fontId="0" fillId="0" borderId="6" xfId="0" applyNumberFormat="1" applyBorder="1" applyProtection="1"/>
    <xf numFmtId="164" fontId="0" fillId="0" borderId="5" xfId="1" applyNumberFormat="1" applyFont="1" applyBorder="1" applyProtection="1"/>
    <xf numFmtId="164" fontId="0" fillId="0" borderId="5" xfId="1" applyNumberFormat="1" applyFont="1" applyBorder="1" applyAlignment="1" applyProtection="1">
      <alignment horizontal="centerContinuous"/>
    </xf>
    <xf numFmtId="164" fontId="0" fillId="0" borderId="0" xfId="1" applyNumberFormat="1" applyFont="1"/>
    <xf numFmtId="164" fontId="0" fillId="3" borderId="5" xfId="1" applyNumberFormat="1" applyFont="1" applyFill="1" applyBorder="1" applyProtection="1"/>
    <xf numFmtId="164" fontId="0" fillId="3" borderId="8" xfId="1" applyNumberFormat="1" applyFont="1" applyFill="1" applyBorder="1" applyProtection="1"/>
    <xf numFmtId="0" fontId="0" fillId="0" borderId="0" xfId="0" applyAlignment="1">
      <alignment horizontal="center"/>
    </xf>
    <xf numFmtId="14" fontId="0" fillId="0" borderId="0" xfId="0" applyNumberFormat="1"/>
    <xf numFmtId="164" fontId="0" fillId="0" borderId="0" xfId="1" applyNumberFormat="1" applyFont="1" applyFill="1" applyBorder="1"/>
    <xf numFmtId="17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164" fontId="0" fillId="0" borderId="0" xfId="0" applyNumberFormat="1" applyFill="1" applyBorder="1"/>
    <xf numFmtId="0" fontId="0" fillId="0" borderId="0" xfId="0" applyFill="1" applyBorder="1"/>
    <xf numFmtId="164" fontId="0" fillId="0" borderId="12" xfId="1" applyNumberFormat="1" applyFont="1" applyBorder="1"/>
    <xf numFmtId="164" fontId="0" fillId="6" borderId="11" xfId="1" applyNumberFormat="1" applyFont="1" applyFill="1" applyBorder="1"/>
    <xf numFmtId="164" fontId="0" fillId="6" borderId="13" xfId="1" applyNumberFormat="1" applyFont="1" applyFill="1" applyBorder="1"/>
    <xf numFmtId="164" fontId="0" fillId="6" borderId="0" xfId="1" applyNumberFormat="1" applyFont="1" applyFill="1"/>
    <xf numFmtId="0" fontId="5" fillId="0" borderId="0" xfId="0" applyFont="1" applyAlignment="1">
      <alignment horizontal="center"/>
    </xf>
    <xf numFmtId="0" fontId="5" fillId="0" borderId="5" xfId="0" applyFont="1" applyBorder="1" applyProtection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/>
    <xf numFmtId="14" fontId="0" fillId="0" borderId="14" xfId="0" applyNumberFormat="1" applyBorder="1"/>
    <xf numFmtId="164" fontId="0" fillId="0" borderId="14" xfId="1" applyNumberFormat="1" applyFont="1" applyBorder="1"/>
    <xf numFmtId="164" fontId="0" fillId="0" borderId="14" xfId="0" applyNumberFormat="1" applyBorder="1"/>
    <xf numFmtId="164" fontId="0" fillId="4" borderId="14" xfId="1" applyNumberFormat="1" applyFont="1" applyFill="1" applyBorder="1"/>
    <xf numFmtId="164" fontId="0" fillId="3" borderId="14" xfId="0" applyNumberFormat="1" applyFill="1" applyBorder="1"/>
    <xf numFmtId="164" fontId="0" fillId="0" borderId="14" xfId="1" applyNumberFormat="1" applyFont="1" applyFill="1" applyBorder="1"/>
    <xf numFmtId="0" fontId="5" fillId="0" borderId="14" xfId="0" applyFont="1" applyBorder="1"/>
    <xf numFmtId="14" fontId="5" fillId="0" borderId="14" xfId="0" applyNumberFormat="1" applyFont="1" applyBorder="1"/>
    <xf numFmtId="164" fontId="0" fillId="3" borderId="14" xfId="1" applyNumberFormat="1" applyFont="1" applyFill="1" applyBorder="1"/>
    <xf numFmtId="14" fontId="0" fillId="0" borderId="14" xfId="0" applyNumberFormat="1" applyFill="1" applyBorder="1"/>
    <xf numFmtId="0" fontId="5" fillId="0" borderId="14" xfId="0" applyFont="1" applyFill="1" applyBorder="1"/>
    <xf numFmtId="0" fontId="0" fillId="0" borderId="14" xfId="0" applyFill="1" applyBorder="1" applyAlignment="1">
      <alignment horizontal="center"/>
    </xf>
    <xf numFmtId="0" fontId="0" fillId="0" borderId="14" xfId="0" applyFill="1" applyBorder="1"/>
    <xf numFmtId="164" fontId="0" fillId="0" borderId="14" xfId="0" applyNumberForma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64" fontId="5" fillId="0" borderId="14" xfId="1" applyNumberFormat="1" applyFont="1" applyBorder="1"/>
    <xf numFmtId="164" fontId="7" fillId="0" borderId="5" xfId="1" applyNumberFormat="1" applyFont="1" applyBorder="1" applyProtection="1"/>
    <xf numFmtId="164" fontId="7" fillId="0" borderId="5" xfId="1" applyNumberFormat="1" applyFont="1" applyBorder="1" applyAlignment="1" applyProtection="1">
      <alignment horizontal="left"/>
    </xf>
    <xf numFmtId="164" fontId="7" fillId="0" borderId="5" xfId="1" applyNumberFormat="1" applyFont="1" applyFill="1" applyBorder="1" applyProtection="1"/>
    <xf numFmtId="0" fontId="7" fillId="0" borderId="5" xfId="0" applyFont="1" applyBorder="1" applyProtection="1"/>
    <xf numFmtId="164" fontId="7" fillId="0" borderId="5" xfId="1" applyNumberFormat="1" applyFont="1" applyFill="1" applyBorder="1" applyAlignment="1" applyProtection="1">
      <alignment horizontal="centerContinuous"/>
    </xf>
    <xf numFmtId="0" fontId="7" fillId="0" borderId="5" xfId="0" applyFont="1" applyBorder="1" applyAlignment="1" applyProtection="1">
      <alignment horizontal="left"/>
    </xf>
    <xf numFmtId="164" fontId="7" fillId="0" borderId="14" xfId="1" applyNumberFormat="1" applyFont="1" applyBorder="1"/>
    <xf numFmtId="164" fontId="7" fillId="0" borderId="14" xfId="1" applyNumberFormat="1" applyFont="1" applyFill="1" applyBorder="1"/>
    <xf numFmtId="14" fontId="7" fillId="0" borderId="14" xfId="0" applyNumberFormat="1" applyFont="1" applyBorder="1"/>
    <xf numFmtId="164" fontId="7" fillId="0" borderId="14" xfId="0" applyNumberFormat="1" applyFont="1" applyBorder="1"/>
    <xf numFmtId="0" fontId="4" fillId="0" borderId="14" xfId="0" applyFont="1" applyBorder="1" applyAlignment="1">
      <alignment horizontal="center"/>
    </xf>
    <xf numFmtId="164" fontId="4" fillId="0" borderId="14" xfId="1" applyNumberFormat="1" applyFont="1" applyBorder="1"/>
    <xf numFmtId="0" fontId="6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2" xfId="0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2EBF-7C8C-4696-9234-C5D771F1B8B7}">
  <sheetPr>
    <pageSetUpPr fitToPage="1"/>
  </sheetPr>
  <dimension ref="A2:S64"/>
  <sheetViews>
    <sheetView topLeftCell="A19" zoomScale="70" zoomScaleNormal="70" workbookViewId="0">
      <selection activeCell="O35" sqref="O35"/>
    </sheetView>
  </sheetViews>
  <sheetFormatPr defaultColWidth="9.7109375" defaultRowHeight="12.6"/>
  <cols>
    <col min="1" max="1" width="3.7109375" customWidth="1"/>
    <col min="2" max="2" width="11.7109375" customWidth="1"/>
    <col min="3" max="3" width="30.7109375" customWidth="1"/>
    <col min="4" max="4" width="11.7109375" customWidth="1"/>
    <col min="5" max="5" width="30.7109375" customWidth="1"/>
    <col min="6" max="10" width="11.7109375" customWidth="1"/>
    <col min="11" max="11" width="13.7109375" customWidth="1"/>
    <col min="12" max="12" width="11.7109375" customWidth="1"/>
    <col min="13" max="13" width="15.140625" customWidth="1"/>
    <col min="14" max="14" width="11.7109375" customWidth="1"/>
    <col min="15" max="16" width="12.5703125" customWidth="1"/>
    <col min="17" max="17" width="11.7109375" customWidth="1"/>
    <col min="18" max="19" width="3.7109375" customWidth="1"/>
  </cols>
  <sheetData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Q2" s="9" t="s">
        <v>0</v>
      </c>
    </row>
    <row r="3" spans="1:17" ht="20.100000000000001" customHeight="1">
      <c r="A3" s="1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ht="20.100000000000001" customHeight="1">
      <c r="A5" s="11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customHeight="1">
      <c r="A6" s="1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0.100000000000001" customHeight="1">
      <c r="A7" s="11" t="s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10" spans="1:17" ht="12.95" customHeight="1">
      <c r="A10" s="1"/>
      <c r="B10" s="12"/>
      <c r="C10" s="2"/>
      <c r="D10" s="2"/>
      <c r="E10" s="2"/>
      <c r="F10" s="2"/>
      <c r="G10" s="2"/>
      <c r="H10" s="2"/>
      <c r="I10" s="13" t="s">
        <v>4</v>
      </c>
      <c r="J10" s="10" t="s">
        <v>5</v>
      </c>
      <c r="K10" s="10"/>
      <c r="L10" s="10"/>
      <c r="M10" s="10"/>
      <c r="N10" s="10"/>
      <c r="O10" s="13"/>
      <c r="P10" s="22"/>
      <c r="Q10" s="2"/>
    </row>
    <row r="11" spans="1:17" ht="12.95" customHeight="1">
      <c r="A11" s="1"/>
      <c r="B11" s="14" t="s">
        <v>6</v>
      </c>
      <c r="C11" s="4"/>
      <c r="D11" s="4"/>
      <c r="E11" s="4"/>
      <c r="F11" s="8" t="s">
        <v>7</v>
      </c>
      <c r="G11" s="8" t="s">
        <v>8</v>
      </c>
      <c r="H11" s="8" t="s">
        <v>9</v>
      </c>
      <c r="I11" s="8" t="s">
        <v>10</v>
      </c>
      <c r="J11" s="2"/>
      <c r="K11" s="2"/>
      <c r="L11" s="2"/>
      <c r="M11" s="13" t="s">
        <v>11</v>
      </c>
      <c r="N11" s="13" t="s">
        <v>12</v>
      </c>
      <c r="O11" s="20" t="s">
        <v>13</v>
      </c>
      <c r="P11" s="20" t="s">
        <v>14</v>
      </c>
      <c r="Q11" s="8" t="s">
        <v>15</v>
      </c>
    </row>
    <row r="12" spans="1:17" ht="12.95" customHeight="1">
      <c r="A12" s="1"/>
      <c r="B12" s="14" t="s">
        <v>16</v>
      </c>
      <c r="C12" s="4"/>
      <c r="D12" s="8" t="s">
        <v>17</v>
      </c>
      <c r="E12" s="4"/>
      <c r="F12" s="8" t="s">
        <v>18</v>
      </c>
      <c r="G12" s="8" t="s">
        <v>19</v>
      </c>
      <c r="H12" s="8" t="s">
        <v>20</v>
      </c>
      <c r="I12" s="8" t="s">
        <v>21</v>
      </c>
      <c r="J12" s="4"/>
      <c r="K12" s="4"/>
      <c r="L12" s="4"/>
      <c r="M12" s="8" t="s">
        <v>22</v>
      </c>
      <c r="N12" s="8" t="s">
        <v>23</v>
      </c>
      <c r="O12" s="21" t="s">
        <v>24</v>
      </c>
      <c r="P12" s="8" t="s">
        <v>25</v>
      </c>
      <c r="Q12" s="8" t="s">
        <v>26</v>
      </c>
    </row>
    <row r="13" spans="1:17" ht="12.95" customHeight="1">
      <c r="A13" s="1"/>
      <c r="B13" s="15" t="s">
        <v>27</v>
      </c>
      <c r="C13" s="5" t="s">
        <v>28</v>
      </c>
      <c r="D13" s="5" t="s">
        <v>29</v>
      </c>
      <c r="E13" s="5" t="s">
        <v>30</v>
      </c>
      <c r="F13" s="5" t="s">
        <v>31</v>
      </c>
      <c r="G13" s="5" t="s">
        <v>31</v>
      </c>
      <c r="H13" s="5" t="s">
        <v>32</v>
      </c>
      <c r="I13" s="5" t="s">
        <v>33</v>
      </c>
      <c r="J13" s="19" t="s">
        <v>34</v>
      </c>
      <c r="K13" s="19" t="s">
        <v>35</v>
      </c>
      <c r="L13" s="5" t="s">
        <v>36</v>
      </c>
      <c r="M13" s="5" t="s">
        <v>36</v>
      </c>
      <c r="N13" s="5" t="s">
        <v>37</v>
      </c>
      <c r="O13" s="19" t="s">
        <v>38</v>
      </c>
      <c r="P13" s="5" t="s">
        <v>39</v>
      </c>
      <c r="Q13" s="5" t="s">
        <v>40</v>
      </c>
    </row>
    <row r="14" spans="1:17" ht="20.100000000000001" customHeight="1">
      <c r="A14" s="1">
        <v>1</v>
      </c>
      <c r="B14" s="23">
        <v>13150</v>
      </c>
      <c r="C14" s="16" t="s">
        <v>41</v>
      </c>
      <c r="D14" s="16"/>
      <c r="E14" s="16" t="s">
        <v>42</v>
      </c>
      <c r="F14" s="24">
        <v>750000</v>
      </c>
      <c r="G14" s="16">
        <v>75</v>
      </c>
      <c r="H14" s="16"/>
      <c r="I14" s="16"/>
      <c r="J14" s="24">
        <v>5000</v>
      </c>
      <c r="K14" s="16"/>
      <c r="L14" s="24">
        <v>745000</v>
      </c>
      <c r="M14" s="16"/>
      <c r="N14" s="16"/>
      <c r="O14" s="16"/>
      <c r="P14" s="16"/>
      <c r="Q14" s="24">
        <f>SUM(J14:P14)</f>
        <v>750000</v>
      </c>
    </row>
    <row r="15" spans="1:17" ht="20.100000000000001" customHeight="1">
      <c r="A15" s="1">
        <v>2</v>
      </c>
      <c r="B15" s="25">
        <v>21916</v>
      </c>
      <c r="C15" s="7" t="s">
        <v>43</v>
      </c>
      <c r="D15" s="7"/>
      <c r="E15" s="7" t="s">
        <v>44</v>
      </c>
      <c r="F15" s="26">
        <v>906000</v>
      </c>
      <c r="G15" s="7">
        <v>50</v>
      </c>
      <c r="H15" s="7"/>
      <c r="I15" s="7"/>
      <c r="J15" s="26">
        <v>10000</v>
      </c>
      <c r="K15" s="7"/>
      <c r="L15" s="26">
        <v>896000</v>
      </c>
      <c r="M15" s="7"/>
      <c r="N15" s="7"/>
      <c r="O15" s="7"/>
      <c r="P15" s="7"/>
      <c r="Q15" s="24">
        <f>SUM(J15:P15)</f>
        <v>906000</v>
      </c>
    </row>
    <row r="16" spans="1:17" ht="20.100000000000001" customHeight="1">
      <c r="A16" s="1">
        <v>3</v>
      </c>
      <c r="B16" s="25">
        <v>22037</v>
      </c>
      <c r="C16" s="7" t="s">
        <v>45</v>
      </c>
      <c r="D16" s="7"/>
      <c r="E16" s="7" t="s">
        <v>46</v>
      </c>
      <c r="F16" s="72">
        <v>3160</v>
      </c>
      <c r="G16" s="73"/>
      <c r="H16" s="7"/>
      <c r="I16" s="5"/>
      <c r="J16" s="69">
        <v>3160</v>
      </c>
      <c r="K16" s="27"/>
      <c r="L16" s="27"/>
      <c r="M16" s="27"/>
      <c r="N16" s="27"/>
      <c r="O16" s="27"/>
      <c r="P16" s="27"/>
      <c r="Q16" s="24">
        <f t="shared" ref="Q16:Q35" si="0">SUM(J16:P16)</f>
        <v>3160</v>
      </c>
    </row>
    <row r="17" spans="1:17" ht="20.100000000000001" customHeight="1">
      <c r="A17" s="1">
        <v>4</v>
      </c>
      <c r="B17" s="25">
        <v>27699</v>
      </c>
      <c r="C17" s="7" t="s">
        <v>47</v>
      </c>
      <c r="D17" s="7"/>
      <c r="E17" s="7" t="s">
        <v>48</v>
      </c>
      <c r="F17" s="26">
        <v>300000</v>
      </c>
      <c r="G17" s="7">
        <v>75</v>
      </c>
      <c r="H17" s="7"/>
      <c r="I17" s="7"/>
      <c r="J17" s="26"/>
      <c r="K17" s="26">
        <v>300000</v>
      </c>
      <c r="L17" s="26"/>
      <c r="M17" s="26"/>
      <c r="N17" s="26"/>
      <c r="O17" s="26"/>
      <c r="P17" s="26"/>
      <c r="Q17" s="24">
        <f t="shared" si="0"/>
        <v>300000</v>
      </c>
    </row>
    <row r="18" spans="1:17" ht="20.100000000000001" customHeight="1">
      <c r="A18" s="1">
        <v>5</v>
      </c>
      <c r="B18" s="25">
        <v>32994</v>
      </c>
      <c r="C18" s="7" t="s">
        <v>49</v>
      </c>
      <c r="D18" s="7"/>
      <c r="E18" s="7" t="s">
        <v>50</v>
      </c>
      <c r="F18" s="70">
        <v>53000</v>
      </c>
      <c r="G18" s="71">
        <v>75</v>
      </c>
      <c r="H18" s="7"/>
      <c r="I18" s="7"/>
      <c r="J18" s="26"/>
      <c r="K18" s="26"/>
      <c r="L18" s="68">
        <v>53000</v>
      </c>
      <c r="M18" s="26"/>
      <c r="N18" s="26"/>
      <c r="O18" s="26"/>
      <c r="P18" s="26"/>
      <c r="Q18" s="24">
        <f t="shared" ref="Q18" si="1">SUM(J18:P18)</f>
        <v>53000</v>
      </c>
    </row>
    <row r="19" spans="1:17" ht="20.100000000000001" customHeight="1">
      <c r="A19" s="1">
        <v>6</v>
      </c>
      <c r="B19" s="25">
        <v>40405</v>
      </c>
      <c r="C19" s="7" t="s">
        <v>51</v>
      </c>
      <c r="D19" s="7"/>
      <c r="E19" s="7" t="s">
        <v>52</v>
      </c>
      <c r="F19" s="26">
        <v>450000</v>
      </c>
      <c r="G19" s="7">
        <v>20</v>
      </c>
      <c r="H19" s="7"/>
      <c r="I19" s="7"/>
      <c r="J19" s="26"/>
      <c r="K19" s="26">
        <v>450000</v>
      </c>
      <c r="L19" s="26"/>
      <c r="M19" s="26"/>
      <c r="N19" s="26"/>
      <c r="O19" s="26"/>
      <c r="P19" s="26"/>
      <c r="Q19" s="24">
        <f>SUM(J19:P19)</f>
        <v>450000</v>
      </c>
    </row>
    <row r="20" spans="1:17" ht="20.100000000000001" customHeight="1">
      <c r="A20" s="1">
        <v>7</v>
      </c>
      <c r="B20" s="25">
        <v>42109</v>
      </c>
      <c r="C20" s="7" t="s">
        <v>53</v>
      </c>
      <c r="D20" s="7"/>
      <c r="E20" s="7" t="s">
        <v>44</v>
      </c>
      <c r="F20" s="26">
        <v>15000</v>
      </c>
      <c r="G20" s="7">
        <v>15</v>
      </c>
      <c r="H20" s="7"/>
      <c r="I20" s="7"/>
      <c r="J20" s="26"/>
      <c r="K20" s="26"/>
      <c r="L20" s="26"/>
      <c r="M20" s="26">
        <v>15000</v>
      </c>
      <c r="N20" s="26"/>
      <c r="O20" s="26"/>
      <c r="P20" s="26"/>
      <c r="Q20" s="24">
        <f t="shared" si="0"/>
        <v>15000</v>
      </c>
    </row>
    <row r="21" spans="1:17" ht="20.100000000000001" customHeight="1">
      <c r="A21" s="1">
        <v>8</v>
      </c>
      <c r="B21" s="25">
        <v>43186</v>
      </c>
      <c r="C21" s="7" t="s">
        <v>54</v>
      </c>
      <c r="D21" s="7"/>
      <c r="E21" s="7" t="s">
        <v>42</v>
      </c>
      <c r="F21" s="26">
        <v>15000</v>
      </c>
      <c r="G21" s="7">
        <v>20</v>
      </c>
      <c r="H21" s="7"/>
      <c r="I21" s="7"/>
      <c r="J21" s="26"/>
      <c r="K21" s="26"/>
      <c r="L21" s="26"/>
      <c r="M21" s="26">
        <v>15000</v>
      </c>
      <c r="N21" s="26"/>
      <c r="O21" s="26"/>
      <c r="P21" s="26"/>
      <c r="Q21" s="24">
        <f t="shared" si="0"/>
        <v>15000</v>
      </c>
    </row>
    <row r="22" spans="1:17" ht="20.100000000000001" customHeight="1">
      <c r="A22" s="1">
        <v>9</v>
      </c>
      <c r="B22" s="25">
        <v>43316</v>
      </c>
      <c r="C22" s="45" t="s">
        <v>55</v>
      </c>
      <c r="D22" s="7">
        <v>12345678</v>
      </c>
      <c r="E22" s="7" t="s">
        <v>56</v>
      </c>
      <c r="F22" s="26">
        <v>45000</v>
      </c>
      <c r="G22" s="7">
        <v>5</v>
      </c>
      <c r="H22" s="7"/>
      <c r="I22" s="7"/>
      <c r="J22" s="26"/>
      <c r="K22" s="26"/>
      <c r="L22" s="26"/>
      <c r="M22" s="26"/>
      <c r="N22" s="26">
        <v>45000</v>
      </c>
      <c r="O22" s="26"/>
      <c r="P22" s="26"/>
      <c r="Q22" s="24">
        <f t="shared" si="0"/>
        <v>45000</v>
      </c>
    </row>
    <row r="23" spans="1:17" ht="20.100000000000001" customHeight="1">
      <c r="A23" s="1">
        <v>10</v>
      </c>
      <c r="B23" s="25">
        <v>42901</v>
      </c>
      <c r="C23" s="7" t="s">
        <v>57</v>
      </c>
      <c r="D23" s="7">
        <v>25687215</v>
      </c>
      <c r="E23" s="7" t="s">
        <v>58</v>
      </c>
      <c r="F23" s="26">
        <v>17750</v>
      </c>
      <c r="G23" s="7">
        <v>5</v>
      </c>
      <c r="H23" s="7"/>
      <c r="I23" s="7"/>
      <c r="J23" s="26"/>
      <c r="K23" s="26"/>
      <c r="L23" s="26"/>
      <c r="M23" s="26"/>
      <c r="N23" s="26">
        <v>17750</v>
      </c>
      <c r="O23" s="26"/>
      <c r="P23" s="26"/>
      <c r="Q23" s="24">
        <f t="shared" si="0"/>
        <v>17750</v>
      </c>
    </row>
    <row r="24" spans="1:17" ht="20.100000000000001" customHeight="1">
      <c r="A24" s="1">
        <v>11</v>
      </c>
      <c r="B24" s="25">
        <v>43172</v>
      </c>
      <c r="C24" s="7" t="s">
        <v>59</v>
      </c>
      <c r="D24" s="7">
        <v>55566172</v>
      </c>
      <c r="E24" s="7" t="s">
        <v>60</v>
      </c>
      <c r="F24" s="26">
        <v>108000</v>
      </c>
      <c r="G24" s="7">
        <v>7</v>
      </c>
      <c r="H24" s="7"/>
      <c r="I24" s="7"/>
      <c r="J24" s="26"/>
      <c r="K24" s="26"/>
      <c r="L24" s="26"/>
      <c r="M24" s="26"/>
      <c r="N24" s="26">
        <v>108000</v>
      </c>
      <c r="O24" s="26"/>
      <c r="P24" s="26"/>
      <c r="Q24" s="24">
        <f t="shared" si="0"/>
        <v>108000</v>
      </c>
    </row>
    <row r="25" spans="1:17" ht="20.100000000000001" customHeight="1">
      <c r="A25" s="1">
        <v>12</v>
      </c>
      <c r="B25" s="25">
        <v>43739</v>
      </c>
      <c r="C25" s="7" t="s">
        <v>61</v>
      </c>
      <c r="D25" s="7"/>
      <c r="E25" s="7" t="s">
        <v>62</v>
      </c>
      <c r="F25" s="26"/>
      <c r="G25" s="7"/>
      <c r="H25" s="7"/>
      <c r="I25" s="7"/>
      <c r="J25" s="26"/>
      <c r="K25" s="26"/>
      <c r="L25" s="26"/>
      <c r="M25" s="26"/>
      <c r="N25" s="26"/>
      <c r="O25" s="26">
        <v>575000</v>
      </c>
      <c r="P25" s="26"/>
      <c r="Q25" s="24">
        <f t="shared" ref="Q25" si="2">SUM(J25:P25)</f>
        <v>575000</v>
      </c>
    </row>
    <row r="26" spans="1:17" ht="20.100000000000001" customHeight="1">
      <c r="A26" s="1">
        <v>13</v>
      </c>
      <c r="B26" s="6"/>
      <c r="C26" s="7"/>
      <c r="D26" s="7"/>
      <c r="E26" s="7"/>
      <c r="F26" s="26"/>
      <c r="G26" s="7"/>
      <c r="H26" s="7"/>
      <c r="I26" s="7"/>
      <c r="J26" s="26"/>
      <c r="K26" s="26"/>
      <c r="L26" s="26"/>
      <c r="M26" s="26"/>
      <c r="N26" s="26"/>
      <c r="O26" s="26"/>
      <c r="P26" s="26"/>
      <c r="Q26" s="24">
        <f t="shared" si="0"/>
        <v>0</v>
      </c>
    </row>
    <row r="27" spans="1:17" ht="20.100000000000001" customHeight="1">
      <c r="A27" s="1">
        <v>14</v>
      </c>
      <c r="B27" s="25">
        <v>43830</v>
      </c>
      <c r="C27" s="45" t="s">
        <v>63</v>
      </c>
      <c r="D27" s="7"/>
      <c r="E27" s="7"/>
      <c r="F27" s="26"/>
      <c r="G27" s="7"/>
      <c r="H27" s="7"/>
      <c r="I27" s="7"/>
      <c r="J27" s="29">
        <f t="shared" ref="J27:P27" si="3">SUM(J14:J26)</f>
        <v>18160</v>
      </c>
      <c r="K27" s="29">
        <f t="shared" si="3"/>
        <v>750000</v>
      </c>
      <c r="L27" s="29">
        <f t="shared" si="3"/>
        <v>1694000</v>
      </c>
      <c r="M27" s="29">
        <f t="shared" si="3"/>
        <v>30000</v>
      </c>
      <c r="N27" s="29">
        <f t="shared" si="3"/>
        <v>170750</v>
      </c>
      <c r="O27" s="29">
        <f t="shared" si="3"/>
        <v>575000</v>
      </c>
      <c r="P27" s="29">
        <f t="shared" si="3"/>
        <v>0</v>
      </c>
      <c r="Q27" s="30"/>
    </row>
    <row r="28" spans="1:17" ht="20.100000000000001" customHeight="1">
      <c r="A28" s="1">
        <v>15</v>
      </c>
      <c r="B28" s="6"/>
      <c r="C28" s="7"/>
      <c r="D28" s="7"/>
      <c r="E28" s="7"/>
      <c r="F28" s="26"/>
      <c r="G28" s="7"/>
      <c r="H28" s="7"/>
      <c r="I28" s="7"/>
      <c r="J28" s="26"/>
      <c r="K28" s="26"/>
      <c r="L28" s="26"/>
      <c r="M28" s="26"/>
      <c r="N28" s="26"/>
      <c r="O28" s="26"/>
      <c r="P28" s="26"/>
      <c r="Q28" s="24">
        <f t="shared" si="0"/>
        <v>0</v>
      </c>
    </row>
    <row r="29" spans="1:17" ht="20.100000000000001" customHeight="1">
      <c r="A29" s="1">
        <v>16</v>
      </c>
      <c r="B29" s="25">
        <v>43943</v>
      </c>
      <c r="C29" s="7" t="s">
        <v>64</v>
      </c>
      <c r="D29" s="7">
        <v>14532671</v>
      </c>
      <c r="E29" s="7" t="s">
        <v>56</v>
      </c>
      <c r="F29" s="68">
        <v>20900</v>
      </c>
      <c r="G29" s="7">
        <v>5</v>
      </c>
      <c r="H29" s="7"/>
      <c r="I29" s="7"/>
      <c r="J29" s="26"/>
      <c r="K29" s="26"/>
      <c r="L29" s="26"/>
      <c r="M29" s="26"/>
      <c r="N29" s="68">
        <f>F29</f>
        <v>20900</v>
      </c>
      <c r="O29" s="26"/>
      <c r="P29" s="26"/>
      <c r="Q29" s="24">
        <f t="shared" si="0"/>
        <v>20900</v>
      </c>
    </row>
    <row r="30" spans="1:17" ht="20.100000000000001" customHeight="1">
      <c r="A30" s="1">
        <v>17</v>
      </c>
      <c r="B30" s="25">
        <v>43943</v>
      </c>
      <c r="C30" s="7" t="s">
        <v>65</v>
      </c>
      <c r="D30" s="7">
        <v>72694315</v>
      </c>
      <c r="E30" s="7" t="s">
        <v>56</v>
      </c>
      <c r="F30" s="68">
        <v>38200</v>
      </c>
      <c r="G30" s="7">
        <v>5</v>
      </c>
      <c r="H30" s="7"/>
      <c r="I30" s="7"/>
      <c r="J30" s="26"/>
      <c r="K30" s="26"/>
      <c r="L30" s="26"/>
      <c r="M30" s="26"/>
      <c r="N30" s="68">
        <f>F30</f>
        <v>38200</v>
      </c>
      <c r="O30" s="26"/>
      <c r="P30" s="26"/>
      <c r="Q30" s="24">
        <f t="shared" si="0"/>
        <v>38200</v>
      </c>
    </row>
    <row r="31" spans="1:17" ht="20.100000000000001" customHeight="1">
      <c r="A31" s="1">
        <v>18</v>
      </c>
      <c r="B31" s="25">
        <v>44108</v>
      </c>
      <c r="C31" s="7" t="s">
        <v>66</v>
      </c>
      <c r="D31" s="7">
        <v>55596235</v>
      </c>
      <c r="E31" s="7" t="s">
        <v>67</v>
      </c>
      <c r="F31" s="68">
        <v>76160</v>
      </c>
      <c r="G31" s="7">
        <v>10</v>
      </c>
      <c r="H31" s="7"/>
      <c r="I31" s="7"/>
      <c r="J31" s="26"/>
      <c r="K31" s="26"/>
      <c r="L31" s="26"/>
      <c r="M31" s="26"/>
      <c r="N31" s="68">
        <f>F31</f>
        <v>76160</v>
      </c>
      <c r="O31" s="26"/>
      <c r="P31" s="26"/>
      <c r="Q31" s="24">
        <f t="shared" si="0"/>
        <v>76160</v>
      </c>
    </row>
    <row r="32" spans="1:17" ht="20.100000000000001" customHeight="1">
      <c r="A32" s="1">
        <v>19</v>
      </c>
      <c r="B32" s="25">
        <v>44172</v>
      </c>
      <c r="C32" s="7" t="s">
        <v>68</v>
      </c>
      <c r="D32" s="7">
        <v>63892147</v>
      </c>
      <c r="E32" s="7" t="s">
        <v>69</v>
      </c>
      <c r="F32" s="68">
        <v>70000</v>
      </c>
      <c r="G32" s="7">
        <v>5</v>
      </c>
      <c r="H32" s="7"/>
      <c r="I32" s="7"/>
      <c r="J32" s="26"/>
      <c r="K32" s="26"/>
      <c r="L32" s="26"/>
      <c r="M32" s="26"/>
      <c r="N32" s="68">
        <f>F32</f>
        <v>70000</v>
      </c>
      <c r="O32" s="26"/>
      <c r="P32" s="26"/>
      <c r="Q32" s="24">
        <f t="shared" si="0"/>
        <v>70000</v>
      </c>
    </row>
    <row r="33" spans="1:19" ht="20.100000000000001" customHeight="1">
      <c r="A33" s="1">
        <v>20</v>
      </c>
      <c r="B33" s="6"/>
      <c r="C33" s="7" t="s">
        <v>61</v>
      </c>
      <c r="D33" s="7"/>
      <c r="E33" s="7" t="s">
        <v>62</v>
      </c>
      <c r="F33" s="26"/>
      <c r="G33" s="7"/>
      <c r="H33" s="7"/>
      <c r="I33" s="7"/>
      <c r="J33" s="26"/>
      <c r="K33" s="26"/>
      <c r="L33" s="26"/>
      <c r="M33" s="26"/>
      <c r="N33" s="68">
        <v>0</v>
      </c>
      <c r="O33" s="68">
        <v>800000</v>
      </c>
      <c r="P33" s="26"/>
      <c r="Q33" s="24">
        <f t="shared" si="0"/>
        <v>800000</v>
      </c>
    </row>
    <row r="34" spans="1:19" ht="20.100000000000001" customHeight="1">
      <c r="A34" s="1">
        <v>21</v>
      </c>
      <c r="B34" s="6"/>
      <c r="C34" s="7"/>
      <c r="D34" s="7"/>
      <c r="E34" s="7"/>
      <c r="F34" s="26"/>
      <c r="G34" s="7"/>
      <c r="H34" s="7"/>
      <c r="I34" s="7"/>
      <c r="J34" s="26"/>
      <c r="K34" s="26"/>
      <c r="L34" s="26"/>
      <c r="M34" s="26"/>
      <c r="N34" s="26"/>
      <c r="O34" s="26"/>
      <c r="P34" s="26"/>
      <c r="Q34" s="24">
        <f t="shared" si="0"/>
        <v>0</v>
      </c>
    </row>
    <row r="35" spans="1:19" ht="20.100000000000001" customHeight="1">
      <c r="A35" s="1">
        <v>22</v>
      </c>
      <c r="B35" s="25">
        <v>44196</v>
      </c>
      <c r="C35" s="45" t="s">
        <v>70</v>
      </c>
      <c r="D35" s="7"/>
      <c r="E35" s="7"/>
      <c r="F35" s="26"/>
      <c r="G35" s="7"/>
      <c r="H35" s="7"/>
      <c r="I35" s="7"/>
      <c r="J35" s="29">
        <f t="shared" ref="J35:P35" si="4">SUM(J27:J33)</f>
        <v>18160</v>
      </c>
      <c r="K35" s="29">
        <f t="shared" si="4"/>
        <v>750000</v>
      </c>
      <c r="L35" s="29">
        <f t="shared" si="4"/>
        <v>1694000</v>
      </c>
      <c r="M35" s="29">
        <f t="shared" si="4"/>
        <v>30000</v>
      </c>
      <c r="N35" s="29">
        <f t="shared" si="4"/>
        <v>376010</v>
      </c>
      <c r="O35" s="29">
        <f t="shared" si="4"/>
        <v>1375000</v>
      </c>
      <c r="P35" s="29">
        <f t="shared" si="4"/>
        <v>0</v>
      </c>
      <c r="Q35" s="30">
        <f t="shared" si="0"/>
        <v>4243170</v>
      </c>
      <c r="R35" s="1"/>
      <c r="S35" s="18"/>
    </row>
    <row r="36" spans="1:19" ht="20.100000000000001" customHeight="1">
      <c r="A36" s="1">
        <v>23</v>
      </c>
      <c r="B36" s="6"/>
      <c r="C36" s="7"/>
      <c r="D36" s="7"/>
      <c r="E36" s="7"/>
      <c r="F36" s="7"/>
      <c r="G36" s="7"/>
      <c r="H36" s="7"/>
      <c r="I36" s="7"/>
      <c r="J36" s="26"/>
      <c r="K36" s="26"/>
      <c r="L36" s="26"/>
      <c r="M36" s="26"/>
      <c r="N36" s="26"/>
      <c r="O36" s="26"/>
      <c r="P36" s="26"/>
      <c r="Q36" s="7"/>
      <c r="R36" s="1"/>
      <c r="S36" s="18"/>
    </row>
    <row r="37" spans="1:19" ht="20.100000000000001" customHeight="1">
      <c r="A37" s="1">
        <v>24</v>
      </c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"/>
      <c r="S37" s="18"/>
    </row>
    <row r="38" spans="1:19" ht="20.100000000000001" customHeight="1">
      <c r="A38" s="1">
        <v>25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"/>
      <c r="S38" s="18"/>
    </row>
    <row r="39" spans="1:19" ht="20.100000000000001" customHeight="1">
      <c r="A39" s="1">
        <v>26</v>
      </c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"/>
      <c r="S39" s="18"/>
    </row>
    <row r="40" spans="1:19" ht="20.100000000000001" customHeight="1">
      <c r="A40" s="1">
        <v>27</v>
      </c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"/>
      <c r="S40" s="18"/>
    </row>
    <row r="41" spans="1:19" ht="20.100000000000001" customHeight="1">
      <c r="A41" s="1">
        <v>28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"/>
      <c r="S41" s="18"/>
    </row>
    <row r="42" spans="1:19" ht="20.100000000000001" customHeight="1">
      <c r="A42" s="1">
        <v>29</v>
      </c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"/>
      <c r="S42" s="17"/>
    </row>
    <row r="43" spans="1:19" ht="20.100000000000001" customHeight="1">
      <c r="A43" s="1">
        <v>30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"/>
      <c r="S43" s="18"/>
    </row>
    <row r="64" spans="6:6">
      <c r="F64" t="s">
        <v>71</v>
      </c>
    </row>
  </sheetData>
  <pageMargins left="0.7" right="0.7" top="0.75" bottom="0.75" header="0.3" footer="0.3"/>
  <pageSetup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E915F-4AA9-49A2-9368-35DE3D1016DE}">
  <sheetPr>
    <pageSetUpPr fitToPage="1"/>
  </sheetPr>
  <dimension ref="D9:Q57"/>
  <sheetViews>
    <sheetView topLeftCell="A12" zoomScale="110" zoomScaleNormal="110" workbookViewId="0">
      <selection activeCell="O49" sqref="O49"/>
    </sheetView>
  </sheetViews>
  <sheetFormatPr defaultRowHeight="12.6"/>
  <cols>
    <col min="4" max="4" width="11.28515625" customWidth="1"/>
    <col min="5" max="5" width="25.5703125" customWidth="1"/>
    <col min="6" max="6" width="12.5703125" customWidth="1"/>
    <col min="7" max="7" width="10.42578125" style="31" customWidth="1"/>
    <col min="8" max="8" width="12.85546875" customWidth="1"/>
    <col min="9" max="9" width="1.140625" customWidth="1"/>
    <col min="10" max="10" width="11.140625" customWidth="1"/>
    <col min="11" max="11" width="10" customWidth="1"/>
    <col min="12" max="13" width="11.140625" customWidth="1"/>
    <col min="14" max="14" width="1.85546875" customWidth="1"/>
    <col min="16" max="16" width="10.42578125" customWidth="1"/>
    <col min="17" max="17" width="10.5703125" customWidth="1"/>
  </cols>
  <sheetData>
    <row r="9" spans="4:17">
      <c r="F9" s="36"/>
    </row>
    <row r="10" spans="4:17">
      <c r="D10" s="81" t="s">
        <v>72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4:17">
      <c r="D11" s="81" t="s">
        <v>73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4:17" ht="37.5">
      <c r="D12" s="48" t="s">
        <v>74</v>
      </c>
      <c r="E12" s="49" t="s">
        <v>75</v>
      </c>
      <c r="F12" s="48" t="s">
        <v>76</v>
      </c>
      <c r="G12" s="48" t="s">
        <v>77</v>
      </c>
      <c r="H12" s="48" t="s">
        <v>78</v>
      </c>
      <c r="I12" s="50"/>
      <c r="J12" s="48" t="s">
        <v>79</v>
      </c>
      <c r="K12" s="48" t="s">
        <v>80</v>
      </c>
      <c r="L12" s="48" t="s">
        <v>81</v>
      </c>
      <c r="M12" s="48" t="s">
        <v>82</v>
      </c>
      <c r="O12" s="48" t="s">
        <v>80</v>
      </c>
      <c r="P12" s="48" t="s">
        <v>81</v>
      </c>
      <c r="Q12" s="48" t="s">
        <v>83</v>
      </c>
    </row>
    <row r="13" spans="4:17">
      <c r="D13" s="47"/>
      <c r="E13" s="47"/>
      <c r="F13" s="47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4:17">
      <c r="D14" s="47" t="s">
        <v>34</v>
      </c>
      <c r="E14" s="47" t="s">
        <v>84</v>
      </c>
      <c r="F14" s="47"/>
      <c r="G14" s="46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4:17">
      <c r="D15" s="47"/>
      <c r="E15" s="47"/>
      <c r="F15" s="47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4:17">
      <c r="D16" s="47" t="s">
        <v>85</v>
      </c>
      <c r="E16" s="47" t="s">
        <v>84</v>
      </c>
      <c r="F16" s="47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4:17">
      <c r="D17" s="47"/>
      <c r="E17" s="47"/>
      <c r="F17" s="47"/>
      <c r="G17" s="46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4:17">
      <c r="D18" s="47" t="s">
        <v>86</v>
      </c>
      <c r="E18" s="47"/>
      <c r="F18" s="47"/>
      <c r="G18" s="46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4:17" ht="12.95">
      <c r="D19" s="51">
        <v>27699</v>
      </c>
      <c r="E19" s="47" t="s">
        <v>47</v>
      </c>
      <c r="F19" s="52">
        <v>300000</v>
      </c>
      <c r="G19" s="46">
        <v>75</v>
      </c>
      <c r="H19" s="52">
        <f>F19/G19</f>
        <v>4000</v>
      </c>
      <c r="I19" s="47"/>
      <c r="J19" s="74">
        <v>178000</v>
      </c>
      <c r="K19" s="74">
        <v>4000</v>
      </c>
      <c r="L19" s="52">
        <v>0</v>
      </c>
      <c r="M19" s="52">
        <f>J19+K19-L19</f>
        <v>182000</v>
      </c>
      <c r="N19" s="47"/>
      <c r="O19" s="74">
        <v>4000</v>
      </c>
      <c r="P19" s="52">
        <v>0</v>
      </c>
      <c r="Q19" s="53">
        <f>M19+O19-P19</f>
        <v>186000</v>
      </c>
    </row>
    <row r="20" spans="4:17" ht="12.95">
      <c r="D20" s="51">
        <v>40405</v>
      </c>
      <c r="E20" s="47" t="s">
        <v>87</v>
      </c>
      <c r="F20" s="52">
        <v>450000</v>
      </c>
      <c r="G20" s="46">
        <v>20</v>
      </c>
      <c r="H20" s="52">
        <f>F20/G20</f>
        <v>22500</v>
      </c>
      <c r="I20" s="47"/>
      <c r="J20" s="74">
        <v>213750</v>
      </c>
      <c r="K20" s="74">
        <v>22500</v>
      </c>
      <c r="L20" s="52">
        <v>0</v>
      </c>
      <c r="M20" s="52">
        <f>J20+K20-L20</f>
        <v>236250</v>
      </c>
      <c r="N20" s="47"/>
      <c r="O20" s="74">
        <v>22500</v>
      </c>
      <c r="P20" s="52">
        <v>0</v>
      </c>
      <c r="Q20" s="53">
        <f>M20+O20-P20</f>
        <v>258750</v>
      </c>
    </row>
    <row r="21" spans="4:17" ht="12.95">
      <c r="D21" s="51"/>
      <c r="E21" s="47"/>
      <c r="F21" s="52"/>
      <c r="G21" s="46"/>
      <c r="H21" s="52"/>
      <c r="I21" s="47"/>
      <c r="J21" s="52">
        <v>0</v>
      </c>
      <c r="K21" s="52">
        <v>0</v>
      </c>
      <c r="L21" s="52">
        <v>0</v>
      </c>
      <c r="M21" s="52">
        <f>J21+K21-L21</f>
        <v>0</v>
      </c>
      <c r="N21" s="47"/>
      <c r="O21" s="74">
        <v>0</v>
      </c>
      <c r="P21" s="52">
        <v>0</v>
      </c>
      <c r="Q21" s="53">
        <f>M21+O21-P21</f>
        <v>0</v>
      </c>
    </row>
    <row r="22" spans="4:17">
      <c r="D22" s="47"/>
      <c r="E22" s="47"/>
      <c r="F22" s="52"/>
      <c r="G22" s="46"/>
      <c r="H22" s="52"/>
      <c r="I22" s="47"/>
      <c r="J22" s="52"/>
      <c r="K22" s="52"/>
      <c r="L22" s="52"/>
      <c r="M22" s="52"/>
      <c r="N22" s="47"/>
      <c r="O22" s="47"/>
      <c r="P22" s="47"/>
      <c r="Q22" s="47"/>
    </row>
    <row r="23" spans="4:17">
      <c r="D23" s="47"/>
      <c r="E23" s="57" t="s">
        <v>88</v>
      </c>
      <c r="F23" s="52"/>
      <c r="G23" s="46"/>
      <c r="H23" s="52"/>
      <c r="I23" s="47"/>
      <c r="J23" s="54">
        <f>SUM(J19:J22)</f>
        <v>391750</v>
      </c>
      <c r="K23" s="54">
        <f>SUM(K19:K22)</f>
        <v>26500</v>
      </c>
      <c r="L23" s="54">
        <f>SUM(L19:L22)</f>
        <v>0</v>
      </c>
      <c r="M23" s="54">
        <f>SUM(M19:M22)</f>
        <v>418250</v>
      </c>
      <c r="N23" s="47"/>
      <c r="O23" s="55">
        <f>SUM(O19:O22)</f>
        <v>26500</v>
      </c>
      <c r="P23" s="55">
        <f>SUM(P19:P22)</f>
        <v>0</v>
      </c>
      <c r="Q23" s="55">
        <f>SUM(Q19:Q22)</f>
        <v>444750</v>
      </c>
    </row>
    <row r="24" spans="4:17">
      <c r="D24" s="47"/>
      <c r="E24" s="47"/>
      <c r="F24" s="52"/>
      <c r="G24" s="46"/>
      <c r="H24" s="52"/>
      <c r="I24" s="47"/>
      <c r="J24" s="56"/>
      <c r="K24" s="56"/>
      <c r="L24" s="56"/>
      <c r="M24" s="56"/>
      <c r="N24" s="47"/>
      <c r="O24" s="47"/>
      <c r="P24" s="47"/>
      <c r="Q24" s="47"/>
    </row>
    <row r="25" spans="4:17">
      <c r="D25" s="47" t="s">
        <v>36</v>
      </c>
      <c r="E25" s="47"/>
      <c r="F25" s="52"/>
      <c r="G25" s="46"/>
      <c r="H25" s="52"/>
      <c r="I25" s="47"/>
      <c r="J25" s="52"/>
      <c r="K25" s="52"/>
      <c r="L25" s="52"/>
      <c r="M25" s="52"/>
      <c r="N25" s="47"/>
      <c r="O25" s="47"/>
      <c r="P25" s="47"/>
      <c r="Q25" s="47"/>
    </row>
    <row r="26" spans="4:17" ht="12.95">
      <c r="D26" s="51">
        <v>13150</v>
      </c>
      <c r="E26" s="57" t="s">
        <v>89</v>
      </c>
      <c r="F26" s="52">
        <v>745000</v>
      </c>
      <c r="G26" s="46">
        <v>75</v>
      </c>
      <c r="H26" s="52">
        <f>F26/G26</f>
        <v>9933.3333333333339</v>
      </c>
      <c r="I26" s="47"/>
      <c r="J26" s="74">
        <v>745000</v>
      </c>
      <c r="K26" s="74">
        <v>0</v>
      </c>
      <c r="L26" s="52">
        <v>0</v>
      </c>
      <c r="M26" s="52">
        <f>J26+K26-L26</f>
        <v>745000</v>
      </c>
      <c r="N26" s="47"/>
      <c r="O26" s="74">
        <v>0</v>
      </c>
      <c r="P26" s="52">
        <v>0</v>
      </c>
      <c r="Q26" s="53">
        <f>M26+O26-P26</f>
        <v>745000</v>
      </c>
    </row>
    <row r="27" spans="4:17" ht="12.95">
      <c r="D27" s="51">
        <v>21916</v>
      </c>
      <c r="E27" s="47" t="s">
        <v>90</v>
      </c>
      <c r="F27" s="52">
        <v>896000</v>
      </c>
      <c r="G27" s="46">
        <v>50</v>
      </c>
      <c r="H27" s="52">
        <v>5060</v>
      </c>
      <c r="I27" s="47"/>
      <c r="J27" s="74">
        <v>896000</v>
      </c>
      <c r="K27" s="74">
        <v>0</v>
      </c>
      <c r="L27" s="52">
        <v>0</v>
      </c>
      <c r="M27" s="52">
        <f>J27+K27-L27</f>
        <v>896000</v>
      </c>
      <c r="N27" s="47"/>
      <c r="O27" s="74">
        <v>0</v>
      </c>
      <c r="P27" s="52">
        <v>0</v>
      </c>
      <c r="Q27" s="53">
        <f>M27+O27-P27</f>
        <v>896000</v>
      </c>
    </row>
    <row r="28" spans="4:17" ht="12.95">
      <c r="D28" s="51">
        <v>32994</v>
      </c>
      <c r="E28" s="57" t="s">
        <v>49</v>
      </c>
      <c r="F28" s="52">
        <v>53000</v>
      </c>
      <c r="G28" s="78">
        <v>75</v>
      </c>
      <c r="H28" s="79">
        <f>F28/G28</f>
        <v>706.66666666666663</v>
      </c>
      <c r="I28" s="47"/>
      <c r="J28" s="74">
        <v>21210</v>
      </c>
      <c r="K28" s="74">
        <v>707</v>
      </c>
      <c r="L28" s="52">
        <v>0</v>
      </c>
      <c r="M28" s="52">
        <f>J28+K28-L28</f>
        <v>21917</v>
      </c>
      <c r="N28" s="47"/>
      <c r="O28" s="77">
        <v>707</v>
      </c>
      <c r="P28" s="47"/>
      <c r="Q28" s="47"/>
    </row>
    <row r="29" spans="4:17">
      <c r="D29" s="51"/>
      <c r="E29" s="57"/>
      <c r="F29" s="52"/>
      <c r="G29" s="46"/>
      <c r="H29" s="52"/>
      <c r="I29" s="47"/>
      <c r="J29" s="52"/>
      <c r="K29" s="52"/>
      <c r="L29" s="52"/>
      <c r="M29" s="52"/>
      <c r="N29" s="47"/>
      <c r="O29" s="47"/>
      <c r="P29" s="47"/>
      <c r="Q29" s="47"/>
    </row>
    <row r="30" spans="4:17">
      <c r="D30" s="47"/>
      <c r="E30" s="57" t="s">
        <v>91</v>
      </c>
      <c r="F30" s="52"/>
      <c r="G30" s="46"/>
      <c r="H30" s="52"/>
      <c r="I30" s="47"/>
      <c r="J30" s="54">
        <f>SUM(J26:J28)</f>
        <v>1662210</v>
      </c>
      <c r="K30" s="54">
        <f>SUM(K26:K28)</f>
        <v>707</v>
      </c>
      <c r="L30" s="54">
        <f>SUM(L26:L28)</f>
        <v>0</v>
      </c>
      <c r="M30" s="54">
        <f>SUM(M26:M28)</f>
        <v>1662917</v>
      </c>
      <c r="N30" s="47"/>
      <c r="O30" s="55">
        <f>SUM(O25:O28)</f>
        <v>707</v>
      </c>
      <c r="P30" s="55">
        <f>SUM(P25:P28)</f>
        <v>0</v>
      </c>
      <c r="Q30" s="55">
        <f>SUM(Q25:Q28)</f>
        <v>1641000</v>
      </c>
    </row>
    <row r="31" spans="4:17">
      <c r="D31" s="47"/>
      <c r="E31" s="47"/>
      <c r="F31" s="52"/>
      <c r="G31" s="46"/>
      <c r="H31" s="52"/>
      <c r="I31" s="47"/>
      <c r="J31" s="52"/>
      <c r="K31" s="52"/>
      <c r="L31" s="52"/>
      <c r="M31" s="52"/>
      <c r="N31" s="47"/>
      <c r="O31" s="47"/>
      <c r="P31" s="47"/>
      <c r="Q31" s="47"/>
    </row>
    <row r="32" spans="4:17">
      <c r="D32" s="57" t="s">
        <v>92</v>
      </c>
      <c r="E32" s="47"/>
      <c r="F32" s="52"/>
      <c r="G32" s="46"/>
      <c r="H32" s="52"/>
      <c r="I32" s="47"/>
      <c r="J32" s="52"/>
      <c r="K32" s="52"/>
      <c r="L32" s="52"/>
      <c r="M32" s="52"/>
      <c r="N32" s="47"/>
      <c r="O32" s="47"/>
      <c r="P32" s="47"/>
      <c r="Q32" s="47"/>
    </row>
    <row r="33" spans="4:17">
      <c r="D33" s="57"/>
      <c r="E33" s="47"/>
      <c r="F33" s="52"/>
      <c r="G33" s="46"/>
      <c r="H33" s="52"/>
      <c r="I33" s="47"/>
      <c r="J33" s="52"/>
      <c r="K33" s="52"/>
      <c r="L33" s="52"/>
      <c r="M33" s="52"/>
      <c r="N33" s="47"/>
      <c r="O33" s="47"/>
      <c r="P33" s="47"/>
      <c r="Q33" s="47"/>
    </row>
    <row r="34" spans="4:17" ht="12.95">
      <c r="D34" s="58">
        <v>42109</v>
      </c>
      <c r="E34" s="57" t="s">
        <v>93</v>
      </c>
      <c r="F34" s="52">
        <v>15000</v>
      </c>
      <c r="G34" s="46">
        <v>15</v>
      </c>
      <c r="H34" s="52">
        <f>F34/G34</f>
        <v>1000</v>
      </c>
      <c r="I34" s="47"/>
      <c r="J34" s="74">
        <v>5000</v>
      </c>
      <c r="K34" s="74">
        <v>1000</v>
      </c>
      <c r="L34" s="52">
        <v>0</v>
      </c>
      <c r="M34" s="52">
        <f>J34+K34-L34</f>
        <v>6000</v>
      </c>
      <c r="N34" s="47"/>
      <c r="O34" s="74">
        <v>1000</v>
      </c>
      <c r="P34" s="52">
        <v>0</v>
      </c>
      <c r="Q34" s="53">
        <f>M34+O34-P34</f>
        <v>7000</v>
      </c>
    </row>
    <row r="35" spans="4:17" ht="12.95">
      <c r="D35" s="51">
        <v>43186</v>
      </c>
      <c r="E35" s="57" t="s">
        <v>54</v>
      </c>
      <c r="F35" s="52">
        <v>15000</v>
      </c>
      <c r="G35" s="46">
        <v>20</v>
      </c>
      <c r="H35" s="52">
        <f>F35/G35</f>
        <v>750</v>
      </c>
      <c r="I35" s="47"/>
      <c r="J35" s="74">
        <v>1500</v>
      </c>
      <c r="K35" s="74">
        <v>750</v>
      </c>
      <c r="L35" s="52">
        <v>0</v>
      </c>
      <c r="M35" s="52">
        <f>J35+K35-L35</f>
        <v>2250</v>
      </c>
      <c r="N35" s="47"/>
      <c r="O35" s="74">
        <v>750</v>
      </c>
      <c r="P35" s="52">
        <v>0</v>
      </c>
      <c r="Q35" s="53">
        <f>M35+O35-P35</f>
        <v>3000</v>
      </c>
    </row>
    <row r="36" spans="4:17">
      <c r="D36" s="47"/>
      <c r="E36" s="47"/>
      <c r="F36" s="52"/>
      <c r="G36" s="46"/>
      <c r="H36" s="52"/>
      <c r="I36" s="47"/>
      <c r="J36" s="52"/>
      <c r="K36" s="52"/>
      <c r="L36" s="52"/>
      <c r="M36" s="52"/>
      <c r="N36" s="47"/>
      <c r="O36" s="47"/>
      <c r="P36" s="47"/>
      <c r="Q36" s="47"/>
    </row>
    <row r="37" spans="4:17">
      <c r="D37" s="47"/>
      <c r="E37" s="47"/>
      <c r="F37" s="52"/>
      <c r="G37" s="46"/>
      <c r="H37" s="52"/>
      <c r="I37" s="47"/>
      <c r="J37" s="52"/>
      <c r="K37" s="52"/>
      <c r="L37" s="52"/>
      <c r="M37" s="52"/>
      <c r="N37" s="47"/>
      <c r="O37" s="47"/>
      <c r="P37" s="47"/>
      <c r="Q37" s="47"/>
    </row>
    <row r="38" spans="4:17">
      <c r="D38" s="47"/>
      <c r="E38" s="57" t="s">
        <v>94</v>
      </c>
      <c r="F38" s="52"/>
      <c r="G38" s="46"/>
      <c r="H38" s="52"/>
      <c r="I38" s="47"/>
      <c r="J38" s="59">
        <f>SUM(J34:J37)</f>
        <v>6500</v>
      </c>
      <c r="K38" s="59">
        <f>SUM(K34:K37)</f>
        <v>1750</v>
      </c>
      <c r="L38" s="59">
        <f>SUM(L34:L37)</f>
        <v>0</v>
      </c>
      <c r="M38" s="59">
        <f>SUM(M34:M37)</f>
        <v>8250</v>
      </c>
      <c r="N38" s="47"/>
      <c r="O38" s="55">
        <f>SUM(O34:O37)</f>
        <v>1750</v>
      </c>
      <c r="P38" s="55">
        <f>SUM(P34:P37)</f>
        <v>0</v>
      </c>
      <c r="Q38" s="55">
        <f>SUM(Q34:Q37)</f>
        <v>10000</v>
      </c>
    </row>
    <row r="39" spans="4:17">
      <c r="D39" s="47"/>
      <c r="E39" s="57"/>
      <c r="F39" s="52"/>
      <c r="G39" s="46"/>
      <c r="H39" s="52"/>
      <c r="I39" s="47"/>
      <c r="J39" s="56"/>
      <c r="K39" s="56"/>
      <c r="L39" s="56"/>
      <c r="M39" s="56"/>
      <c r="N39" s="63"/>
      <c r="O39" s="64"/>
      <c r="P39" s="64"/>
      <c r="Q39" s="64"/>
    </row>
    <row r="40" spans="4:17">
      <c r="D40" s="57" t="s">
        <v>95</v>
      </c>
      <c r="E40" s="47"/>
      <c r="F40" s="52"/>
      <c r="G40" s="46"/>
      <c r="H40" s="52"/>
      <c r="I40" s="47"/>
      <c r="J40" s="56"/>
      <c r="K40" s="56"/>
      <c r="L40" s="56"/>
      <c r="M40" s="56"/>
      <c r="N40" s="47"/>
      <c r="O40" s="64"/>
      <c r="P40" s="64"/>
      <c r="Q40" s="64"/>
    </row>
    <row r="41" spans="4:17">
      <c r="D41" s="47"/>
      <c r="E41" s="47"/>
      <c r="F41" s="52"/>
      <c r="G41" s="46"/>
      <c r="H41" s="52"/>
      <c r="I41" s="47"/>
      <c r="J41" s="52"/>
      <c r="K41" s="52"/>
      <c r="L41" s="52"/>
      <c r="M41" s="52"/>
      <c r="N41" s="47"/>
      <c r="O41" s="47"/>
      <c r="P41" s="47"/>
      <c r="Q41" s="47"/>
    </row>
    <row r="42" spans="4:17" ht="12.95">
      <c r="D42" s="51">
        <v>43316</v>
      </c>
      <c r="E42" s="57" t="s">
        <v>96</v>
      </c>
      <c r="F42" s="52">
        <v>45000</v>
      </c>
      <c r="G42" s="46">
        <v>5</v>
      </c>
      <c r="H42" s="52">
        <f t="shared" ref="H42:H48" si="0">F42/G42</f>
        <v>9000</v>
      </c>
      <c r="I42" s="47"/>
      <c r="J42" s="74">
        <v>13500</v>
      </c>
      <c r="K42" s="74">
        <v>9000</v>
      </c>
      <c r="L42" s="52">
        <v>0</v>
      </c>
      <c r="M42" s="52">
        <f t="shared" ref="M42:M48" si="1">J42+K42-L42</f>
        <v>22500</v>
      </c>
      <c r="N42" s="47"/>
      <c r="O42" s="74">
        <v>9000</v>
      </c>
      <c r="P42" s="52">
        <v>0</v>
      </c>
      <c r="Q42" s="53">
        <f t="shared" ref="Q42:Q48" si="2">M42+O42-P42</f>
        <v>31500</v>
      </c>
    </row>
    <row r="43" spans="4:17" ht="12.95">
      <c r="D43" s="60">
        <v>42901</v>
      </c>
      <c r="E43" s="61" t="s">
        <v>57</v>
      </c>
      <c r="F43" s="56">
        <v>17760</v>
      </c>
      <c r="G43" s="62">
        <v>5</v>
      </c>
      <c r="H43" s="52">
        <f t="shared" si="0"/>
        <v>3552</v>
      </c>
      <c r="I43" s="63"/>
      <c r="J43" s="75">
        <v>10656</v>
      </c>
      <c r="K43" s="74">
        <v>3442</v>
      </c>
      <c r="L43" s="56">
        <v>0</v>
      </c>
      <c r="M43" s="52">
        <f t="shared" si="1"/>
        <v>14098</v>
      </c>
      <c r="N43" s="47"/>
      <c r="O43" s="74">
        <v>3442</v>
      </c>
      <c r="P43" s="52">
        <v>0</v>
      </c>
      <c r="Q43" s="53">
        <f t="shared" si="2"/>
        <v>17540</v>
      </c>
    </row>
    <row r="44" spans="4:17" ht="12.95">
      <c r="D44" s="51">
        <v>43172</v>
      </c>
      <c r="E44" s="57" t="s">
        <v>59</v>
      </c>
      <c r="F44" s="52">
        <v>108000</v>
      </c>
      <c r="G44" s="46">
        <v>7</v>
      </c>
      <c r="H44" s="52">
        <f t="shared" si="0"/>
        <v>15428.571428571429</v>
      </c>
      <c r="I44" s="47"/>
      <c r="J44" s="74">
        <v>30857</v>
      </c>
      <c r="K44" s="74">
        <v>15429</v>
      </c>
      <c r="L44" s="52">
        <v>0</v>
      </c>
      <c r="M44" s="52">
        <f t="shared" si="1"/>
        <v>46286</v>
      </c>
      <c r="N44" s="47"/>
      <c r="O44" s="74">
        <v>15429</v>
      </c>
      <c r="P44" s="52">
        <v>0</v>
      </c>
      <c r="Q44" s="53">
        <f t="shared" si="2"/>
        <v>61715</v>
      </c>
    </row>
    <row r="45" spans="4:17" ht="12.95">
      <c r="D45" s="51">
        <v>43943</v>
      </c>
      <c r="E45" s="57" t="s">
        <v>97</v>
      </c>
      <c r="F45" s="52">
        <v>20900</v>
      </c>
      <c r="G45" s="46">
        <v>5</v>
      </c>
      <c r="H45" s="52">
        <f t="shared" si="0"/>
        <v>4180</v>
      </c>
      <c r="I45" s="47">
        <v>10</v>
      </c>
      <c r="J45" s="74">
        <v>0</v>
      </c>
      <c r="K45" s="74">
        <v>4180</v>
      </c>
      <c r="L45" s="52">
        <v>0</v>
      </c>
      <c r="M45" s="52">
        <f t="shared" si="1"/>
        <v>4180</v>
      </c>
      <c r="N45" s="47"/>
      <c r="O45" s="74">
        <v>4180</v>
      </c>
      <c r="P45" s="52">
        <v>0</v>
      </c>
      <c r="Q45" s="53">
        <f t="shared" si="2"/>
        <v>8360</v>
      </c>
    </row>
    <row r="46" spans="4:17" ht="12.95">
      <c r="D46" s="51">
        <v>43943</v>
      </c>
      <c r="E46" s="57" t="s">
        <v>65</v>
      </c>
      <c r="F46" s="52">
        <v>38200</v>
      </c>
      <c r="G46" s="46">
        <v>5</v>
      </c>
      <c r="H46" s="52">
        <f t="shared" si="0"/>
        <v>7640</v>
      </c>
      <c r="I46" s="47"/>
      <c r="J46" s="74">
        <v>0</v>
      </c>
      <c r="K46" s="74">
        <v>7640</v>
      </c>
      <c r="L46" s="52">
        <v>0</v>
      </c>
      <c r="M46" s="52">
        <f t="shared" si="1"/>
        <v>7640</v>
      </c>
      <c r="N46" s="47"/>
      <c r="O46" s="74">
        <v>7640</v>
      </c>
      <c r="P46" s="52">
        <v>0</v>
      </c>
      <c r="Q46" s="53">
        <f t="shared" si="2"/>
        <v>15280</v>
      </c>
    </row>
    <row r="47" spans="4:17" ht="12.95">
      <c r="D47" s="51">
        <v>44108</v>
      </c>
      <c r="E47" s="57" t="s">
        <v>98</v>
      </c>
      <c r="F47" s="52">
        <v>76160</v>
      </c>
      <c r="G47" s="46">
        <v>10</v>
      </c>
      <c r="H47" s="52">
        <f t="shared" si="0"/>
        <v>7616</v>
      </c>
      <c r="I47" s="47"/>
      <c r="J47" s="74">
        <v>0</v>
      </c>
      <c r="K47" s="74">
        <f>7616/2</f>
        <v>3808</v>
      </c>
      <c r="L47" s="52">
        <v>0</v>
      </c>
      <c r="M47" s="52">
        <f t="shared" si="1"/>
        <v>3808</v>
      </c>
      <c r="N47" s="47"/>
      <c r="O47" s="74">
        <v>3808</v>
      </c>
      <c r="P47" s="52">
        <v>0</v>
      </c>
      <c r="Q47" s="53">
        <f t="shared" si="2"/>
        <v>7616</v>
      </c>
    </row>
    <row r="48" spans="4:17" ht="12.95">
      <c r="D48" s="76">
        <v>44172</v>
      </c>
      <c r="E48" s="57" t="s">
        <v>99</v>
      </c>
      <c r="F48" s="52">
        <v>70000</v>
      </c>
      <c r="G48" s="46">
        <v>5</v>
      </c>
      <c r="H48" s="52">
        <f t="shared" si="0"/>
        <v>14000</v>
      </c>
      <c r="I48" s="47"/>
      <c r="J48" s="74">
        <v>0</v>
      </c>
      <c r="K48" s="74">
        <v>7000</v>
      </c>
      <c r="L48" s="52">
        <v>0</v>
      </c>
      <c r="M48" s="52">
        <f t="shared" si="1"/>
        <v>7000</v>
      </c>
      <c r="N48" s="47"/>
      <c r="O48" s="74">
        <v>14000</v>
      </c>
      <c r="P48" s="52">
        <v>0</v>
      </c>
      <c r="Q48" s="53">
        <f t="shared" si="2"/>
        <v>21000</v>
      </c>
    </row>
    <row r="49" spans="4:17">
      <c r="D49" s="51"/>
      <c r="E49" s="57"/>
      <c r="F49" s="52"/>
      <c r="G49" s="46"/>
      <c r="H49" s="52"/>
      <c r="I49" s="47"/>
      <c r="J49" s="52"/>
      <c r="K49" s="52"/>
      <c r="L49" s="52"/>
      <c r="M49" s="52"/>
      <c r="N49" s="47"/>
      <c r="O49" s="47"/>
      <c r="P49" s="47"/>
      <c r="Q49" s="47"/>
    </row>
    <row r="50" spans="4:17">
      <c r="D50" s="47"/>
      <c r="E50" s="47"/>
      <c r="F50" s="52"/>
      <c r="G50" s="46"/>
      <c r="H50" s="52"/>
      <c r="I50" s="47"/>
      <c r="J50" s="52"/>
      <c r="K50" s="52"/>
      <c r="L50" s="52"/>
      <c r="M50" s="52"/>
      <c r="N50" s="47"/>
      <c r="O50" s="47"/>
      <c r="P50" s="47"/>
      <c r="Q50" s="47"/>
    </row>
    <row r="51" spans="4:17">
      <c r="D51" s="47"/>
      <c r="E51" s="57" t="s">
        <v>100</v>
      </c>
      <c r="F51" s="52"/>
      <c r="G51" s="46"/>
      <c r="H51" s="52"/>
      <c r="I51" s="47"/>
      <c r="J51" s="54">
        <f>SUM(J42:J50)</f>
        <v>55013</v>
      </c>
      <c r="K51" s="54">
        <f>SUM(K42:K50)</f>
        <v>50499</v>
      </c>
      <c r="L51" s="54">
        <f>SUM(L42:L50)</f>
        <v>0</v>
      </c>
      <c r="M51" s="54">
        <f>SUM(M42:M50)</f>
        <v>105512</v>
      </c>
      <c r="N51" s="47"/>
      <c r="O51" s="55">
        <f>SUM(O47:O50)</f>
        <v>17808</v>
      </c>
      <c r="P51" s="55">
        <f>SUM(P47:P50)</f>
        <v>0</v>
      </c>
      <c r="Q51" s="55">
        <f>SUM(Q47:Q50)</f>
        <v>28616</v>
      </c>
    </row>
    <row r="52" spans="4:17">
      <c r="F52" s="28"/>
      <c r="H52" s="28"/>
      <c r="J52" s="28"/>
      <c r="K52" s="28"/>
      <c r="L52" s="28"/>
      <c r="M52" s="28"/>
    </row>
    <row r="53" spans="4:17">
      <c r="F53" s="28"/>
      <c r="J53" s="28"/>
      <c r="K53" s="28"/>
      <c r="L53" s="28"/>
      <c r="M53" s="28"/>
    </row>
    <row r="54" spans="4:17">
      <c r="D54" s="32"/>
      <c r="F54" s="28"/>
      <c r="J54" s="28"/>
      <c r="K54" s="28"/>
      <c r="L54" s="28"/>
      <c r="M54" s="28"/>
    </row>
    <row r="55" spans="4:17">
      <c r="F55" s="28"/>
    </row>
    <row r="56" spans="4:17">
      <c r="G56" s="80"/>
      <c r="J56" s="38"/>
      <c r="K56" s="38"/>
      <c r="L56" s="38"/>
      <c r="M56" s="38"/>
    </row>
    <row r="57" spans="4:17">
      <c r="J57" s="39"/>
      <c r="K57" s="39"/>
      <c r="L57" s="39"/>
      <c r="M57" s="39"/>
    </row>
  </sheetData>
  <mergeCells count="2">
    <mergeCell ref="D10:Q10"/>
    <mergeCell ref="D11:Q11"/>
  </mergeCells>
  <pageMargins left="0.7" right="0.7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F3DB-C5B4-4895-A850-7832D75996AA}">
  <dimension ref="B10:K82"/>
  <sheetViews>
    <sheetView topLeftCell="A37" workbookViewId="0">
      <selection activeCell="Q31" sqref="Q31"/>
    </sheetView>
  </sheetViews>
  <sheetFormatPr defaultRowHeight="12.6"/>
  <cols>
    <col min="3" max="3" width="13" customWidth="1"/>
    <col min="4" max="4" width="9.28515625" bestFit="1" customWidth="1"/>
    <col min="5" max="5" width="13.28515625" style="31" customWidth="1"/>
    <col min="7" max="7" width="10.140625" bestFit="1" customWidth="1"/>
    <col min="8" max="8" width="3.5703125" customWidth="1"/>
    <col min="9" max="9" width="11.140625" style="28" bestFit="1" customWidth="1"/>
  </cols>
  <sheetData>
    <row r="10" spans="2:9" ht="12.95">
      <c r="B10" s="35" t="s">
        <v>101</v>
      </c>
    </row>
    <row r="12" spans="2:9">
      <c r="B12" t="s">
        <v>102</v>
      </c>
      <c r="G12" s="28">
        <f>300000/75</f>
        <v>4000</v>
      </c>
    </row>
    <row r="13" spans="2:9">
      <c r="B13" t="s">
        <v>103</v>
      </c>
      <c r="C13" s="34"/>
      <c r="D13" s="32">
        <v>27699</v>
      </c>
    </row>
    <row r="14" spans="2:9">
      <c r="B14" t="s">
        <v>104</v>
      </c>
      <c r="E14" s="31" t="s">
        <v>105</v>
      </c>
    </row>
    <row r="15" spans="2:9">
      <c r="E15" s="31">
        <v>1975</v>
      </c>
      <c r="G15" t="s">
        <v>106</v>
      </c>
      <c r="I15" s="28">
        <v>2000</v>
      </c>
    </row>
    <row r="16" spans="2:9">
      <c r="E16" s="31" t="s">
        <v>107</v>
      </c>
      <c r="G16" t="s">
        <v>108</v>
      </c>
      <c r="I16" s="40">
        <f>44*4000</f>
        <v>176000</v>
      </c>
    </row>
    <row r="17" spans="2:11" ht="12.95" thickBot="1">
      <c r="C17" t="s">
        <v>15</v>
      </c>
      <c r="I17" s="41">
        <f>SUM(I15:I16)</f>
        <v>178000</v>
      </c>
    </row>
    <row r="18" spans="2:11" ht="12.95" thickTop="1"/>
    <row r="19" spans="2:11" ht="12.95">
      <c r="B19" s="35" t="s">
        <v>109</v>
      </c>
    </row>
    <row r="21" spans="2:11">
      <c r="B21" t="s">
        <v>102</v>
      </c>
      <c r="C21" s="32"/>
      <c r="G21" s="28">
        <f>450000/20</f>
        <v>22500</v>
      </c>
    </row>
    <row r="22" spans="2:11">
      <c r="B22" t="s">
        <v>103</v>
      </c>
      <c r="D22" s="32">
        <v>40405</v>
      </c>
    </row>
    <row r="23" spans="2:11">
      <c r="B23" t="s">
        <v>104</v>
      </c>
      <c r="E23" s="31">
        <v>2010</v>
      </c>
      <c r="G23" t="s">
        <v>106</v>
      </c>
      <c r="I23" s="28">
        <f>22500/2</f>
        <v>11250</v>
      </c>
    </row>
    <row r="24" spans="2:11">
      <c r="E24" s="31" t="s">
        <v>110</v>
      </c>
      <c r="G24" t="s">
        <v>111</v>
      </c>
      <c r="I24" s="40">
        <f>9*22500</f>
        <v>202500</v>
      </c>
    </row>
    <row r="25" spans="2:11" ht="12.95" thickBot="1">
      <c r="I25" s="42">
        <f>SUM(I23:I24)</f>
        <v>213750</v>
      </c>
    </row>
    <row r="26" spans="2:11" ht="12.95" thickTop="1"/>
    <row r="27" spans="2:11" ht="12.95">
      <c r="B27" s="35" t="s">
        <v>112</v>
      </c>
    </row>
    <row r="29" spans="2:11">
      <c r="B29" t="s">
        <v>102</v>
      </c>
      <c r="G29" s="28">
        <v>9933</v>
      </c>
    </row>
    <row r="30" spans="2:11">
      <c r="B30" t="s">
        <v>103</v>
      </c>
      <c r="D30" s="32">
        <v>13150</v>
      </c>
    </row>
    <row r="31" spans="2:11" ht="12.95" thickBot="1">
      <c r="B31" t="s">
        <v>104</v>
      </c>
      <c r="E31" s="44" t="s">
        <v>113</v>
      </c>
      <c r="G31" t="s">
        <v>114</v>
      </c>
      <c r="I31" s="41">
        <v>745000</v>
      </c>
      <c r="K31" t="s">
        <v>115</v>
      </c>
    </row>
    <row r="32" spans="2:11" ht="12.95" thickTop="1"/>
    <row r="33" spans="2:11" ht="12.95">
      <c r="B33" s="35" t="s">
        <v>116</v>
      </c>
    </row>
    <row r="34" spans="2:11" ht="12.95">
      <c r="B34" s="35"/>
    </row>
    <row r="35" spans="2:11">
      <c r="B35" t="s">
        <v>102</v>
      </c>
      <c r="G35" s="28">
        <v>5060</v>
      </c>
    </row>
    <row r="36" spans="2:11">
      <c r="B36" t="s">
        <v>103</v>
      </c>
      <c r="D36" s="32">
        <v>21916</v>
      </c>
    </row>
    <row r="37" spans="2:11" ht="12.95" thickBot="1">
      <c r="B37" t="s">
        <v>104</v>
      </c>
      <c r="E37" s="31" t="s">
        <v>117</v>
      </c>
      <c r="G37" t="s">
        <v>118</v>
      </c>
      <c r="I37" s="41">
        <v>896000</v>
      </c>
      <c r="K37" t="s">
        <v>119</v>
      </c>
    </row>
    <row r="38" spans="2:11" ht="12.95" thickTop="1">
      <c r="I38" s="33"/>
    </row>
    <row r="39" spans="2:11" ht="12.95">
      <c r="B39" s="35" t="s">
        <v>49</v>
      </c>
      <c r="I39" s="33"/>
    </row>
    <row r="40" spans="2:11">
      <c r="I40" s="33"/>
    </row>
    <row r="41" spans="2:11">
      <c r="B41" t="s">
        <v>102</v>
      </c>
      <c r="G41">
        <v>707</v>
      </c>
      <c r="I41" s="33"/>
    </row>
    <row r="42" spans="2:11">
      <c r="B42" t="s">
        <v>103</v>
      </c>
      <c r="D42" s="32">
        <v>32994</v>
      </c>
      <c r="G42" s="36" t="s">
        <v>120</v>
      </c>
      <c r="K42" s="36"/>
    </row>
    <row r="43" spans="2:11" ht="12.95" thickBot="1">
      <c r="B43" t="s">
        <v>104</v>
      </c>
      <c r="E43" s="44" t="s">
        <v>121</v>
      </c>
      <c r="I43" s="41">
        <f>30*G41</f>
        <v>21210</v>
      </c>
    </row>
    <row r="44" spans="2:11" ht="12.95" thickTop="1"/>
    <row r="45" spans="2:11" ht="12.95">
      <c r="B45" s="35" t="s">
        <v>93</v>
      </c>
    </row>
    <row r="47" spans="2:11">
      <c r="B47" t="s">
        <v>102</v>
      </c>
      <c r="G47" s="28">
        <v>1000</v>
      </c>
    </row>
    <row r="48" spans="2:11">
      <c r="B48" t="s">
        <v>103</v>
      </c>
      <c r="D48" s="37">
        <v>42102</v>
      </c>
    </row>
    <row r="49" spans="2:9" ht="12.95" thickBot="1">
      <c r="B49" t="s">
        <v>104</v>
      </c>
      <c r="E49" s="44" t="s">
        <v>122</v>
      </c>
      <c r="G49" s="36" t="s">
        <v>123</v>
      </c>
      <c r="I49" s="41">
        <f>5*1000</f>
        <v>5000</v>
      </c>
    </row>
    <row r="50" spans="2:9" ht="12.95" thickTop="1"/>
    <row r="51" spans="2:9" ht="12.95">
      <c r="B51" s="35" t="s">
        <v>54</v>
      </c>
    </row>
    <row r="53" spans="2:9">
      <c r="B53" t="s">
        <v>102</v>
      </c>
      <c r="G53">
        <v>750</v>
      </c>
    </row>
    <row r="54" spans="2:9">
      <c r="B54" t="s">
        <v>103</v>
      </c>
      <c r="D54" s="32">
        <v>43186</v>
      </c>
    </row>
    <row r="55" spans="2:9">
      <c r="B55" t="s">
        <v>104</v>
      </c>
      <c r="E55" s="44" t="s">
        <v>124</v>
      </c>
      <c r="G55" s="36" t="s">
        <v>125</v>
      </c>
      <c r="I55" s="43">
        <f>2*750</f>
        <v>1500</v>
      </c>
    </row>
    <row r="58" spans="2:9" ht="12.95">
      <c r="B58" s="35" t="s">
        <v>96</v>
      </c>
    </row>
    <row r="60" spans="2:9">
      <c r="B60" t="s">
        <v>102</v>
      </c>
      <c r="G60" s="28">
        <f>45000/5</f>
        <v>9000</v>
      </c>
    </row>
    <row r="61" spans="2:9">
      <c r="B61" t="s">
        <v>103</v>
      </c>
      <c r="D61" s="32">
        <v>43316</v>
      </c>
    </row>
    <row r="62" spans="2:9">
      <c r="B62" t="s">
        <v>104</v>
      </c>
      <c r="E62" s="44" t="s">
        <v>124</v>
      </c>
    </row>
    <row r="63" spans="2:9">
      <c r="E63" s="31">
        <v>2018</v>
      </c>
      <c r="G63" s="36" t="s">
        <v>106</v>
      </c>
      <c r="I63" s="28">
        <f>9000/2</f>
        <v>4500</v>
      </c>
    </row>
    <row r="64" spans="2:9">
      <c r="E64" s="31">
        <v>2019</v>
      </c>
      <c r="G64" s="36" t="s">
        <v>126</v>
      </c>
      <c r="I64" s="40">
        <v>9000</v>
      </c>
    </row>
    <row r="65" spans="2:9" ht="12.95" thickBot="1">
      <c r="I65" s="41">
        <f>SUM(I63:I64)</f>
        <v>13500</v>
      </c>
    </row>
    <row r="66" spans="2:9" ht="12.95" thickTop="1"/>
    <row r="67" spans="2:9" ht="12.95">
      <c r="B67" s="35" t="s">
        <v>127</v>
      </c>
    </row>
    <row r="69" spans="2:9">
      <c r="B69" t="s">
        <v>102</v>
      </c>
      <c r="D69" s="32"/>
      <c r="G69" s="28">
        <f>17760/5</f>
        <v>3552</v>
      </c>
    </row>
    <row r="70" spans="2:9">
      <c r="B70" t="s">
        <v>103</v>
      </c>
      <c r="D70" s="32">
        <v>42901</v>
      </c>
    </row>
    <row r="71" spans="2:9" ht="12.95" thickBot="1">
      <c r="B71" t="s">
        <v>104</v>
      </c>
      <c r="E71" s="44" t="s">
        <v>128</v>
      </c>
      <c r="G71" s="36" t="s">
        <v>129</v>
      </c>
      <c r="I71" s="41">
        <f>3*G69</f>
        <v>10656</v>
      </c>
    </row>
    <row r="72" spans="2:9" ht="12.95" thickTop="1"/>
    <row r="73" spans="2:9" ht="12.95">
      <c r="B73" s="35" t="s">
        <v>59</v>
      </c>
    </row>
    <row r="75" spans="2:9">
      <c r="B75" t="s">
        <v>102</v>
      </c>
      <c r="G75" s="28">
        <f>108000/7</f>
        <v>15428.571428571429</v>
      </c>
    </row>
    <row r="76" spans="2:9">
      <c r="B76" t="s">
        <v>103</v>
      </c>
      <c r="D76" s="32">
        <v>43172</v>
      </c>
      <c r="G76" s="28"/>
    </row>
    <row r="77" spans="2:9" ht="12.95" thickBot="1">
      <c r="B77" t="s">
        <v>104</v>
      </c>
      <c r="E77" s="44" t="s">
        <v>124</v>
      </c>
      <c r="G77" s="36" t="s">
        <v>125</v>
      </c>
      <c r="I77" s="41">
        <f>2*G75</f>
        <v>30857.142857142859</v>
      </c>
    </row>
    <row r="78" spans="2:9" ht="12.95" thickTop="1"/>
    <row r="79" spans="2:9" ht="12.95">
      <c r="B79" s="35"/>
    </row>
    <row r="81" spans="4:7">
      <c r="G81" s="28"/>
    </row>
    <row r="82" spans="4:7">
      <c r="D82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0A92-BE53-4615-A003-99D433D3780A}">
  <dimension ref="A1:F28"/>
  <sheetViews>
    <sheetView tabSelected="1" workbookViewId="0">
      <selection activeCell="H28" sqref="H28"/>
    </sheetView>
  </sheetViews>
  <sheetFormatPr defaultRowHeight="12.6"/>
  <cols>
    <col min="2" max="2" width="35.85546875" customWidth="1"/>
    <col min="3" max="3" width="16.28515625" customWidth="1"/>
    <col min="4" max="4" width="14.42578125" customWidth="1"/>
    <col min="5" max="5" width="19.28515625" customWidth="1"/>
    <col min="6" max="6" width="18.85546875" customWidth="1"/>
  </cols>
  <sheetData>
    <row r="1" spans="1:6">
      <c r="A1" s="36"/>
      <c r="B1" s="36"/>
      <c r="C1" s="36"/>
      <c r="D1" s="36"/>
      <c r="E1" s="36"/>
      <c r="F1" s="36"/>
    </row>
    <row r="2" spans="1:6">
      <c r="A2" s="36"/>
      <c r="B2" s="82" t="s">
        <v>130</v>
      </c>
      <c r="C2" s="82"/>
      <c r="D2" s="82"/>
      <c r="E2" s="82"/>
      <c r="F2" s="82"/>
    </row>
    <row r="3" spans="1:6">
      <c r="A3" s="36"/>
      <c r="B3" s="83"/>
      <c r="C3" s="83"/>
      <c r="D3" s="83"/>
      <c r="E3" s="83"/>
      <c r="F3" s="83"/>
    </row>
    <row r="4" spans="1:6" ht="24.95">
      <c r="A4" s="36"/>
      <c r="B4" s="65" t="s">
        <v>131</v>
      </c>
      <c r="C4" s="66" t="s">
        <v>132</v>
      </c>
      <c r="D4" s="65" t="s">
        <v>80</v>
      </c>
      <c r="E4" s="65" t="s">
        <v>81</v>
      </c>
      <c r="F4" s="66" t="s">
        <v>133</v>
      </c>
    </row>
    <row r="5" spans="1:6">
      <c r="A5" s="36"/>
      <c r="B5" s="57"/>
      <c r="C5" s="57"/>
      <c r="D5" s="57"/>
      <c r="E5" s="57"/>
      <c r="F5" s="57"/>
    </row>
    <row r="6" spans="1:6">
      <c r="A6" s="36"/>
      <c r="B6" s="57" t="s">
        <v>34</v>
      </c>
      <c r="C6" s="67">
        <f>'Capital Asset Listing'!J27</f>
        <v>18160</v>
      </c>
      <c r="D6" s="67"/>
      <c r="E6" s="67"/>
      <c r="F6" s="67">
        <f t="shared" ref="F6:F12" si="0">C6+D6-E6</f>
        <v>18160</v>
      </c>
    </row>
    <row r="7" spans="1:6">
      <c r="A7" s="36"/>
      <c r="B7" s="57" t="s">
        <v>35</v>
      </c>
      <c r="C7" s="67">
        <f>'Capital Asset Listing'!K27</f>
        <v>750000</v>
      </c>
      <c r="D7" s="67"/>
      <c r="E7" s="67"/>
      <c r="F7" s="67">
        <f t="shared" si="0"/>
        <v>750000</v>
      </c>
    </row>
    <row r="8" spans="1:6">
      <c r="A8" s="36"/>
      <c r="B8" s="57" t="s">
        <v>134</v>
      </c>
      <c r="C8" s="67">
        <f>'Capital Asset Listing'!L27</f>
        <v>1694000</v>
      </c>
      <c r="D8" s="67"/>
      <c r="E8" s="67"/>
      <c r="F8" s="67">
        <f t="shared" si="0"/>
        <v>1694000</v>
      </c>
    </row>
    <row r="9" spans="1:6">
      <c r="A9" s="36"/>
      <c r="B9" s="57" t="s">
        <v>135</v>
      </c>
      <c r="C9" s="67">
        <f>'Capital Asset Listing'!M27</f>
        <v>30000</v>
      </c>
      <c r="D9" s="67"/>
      <c r="E9" s="67"/>
      <c r="F9" s="67">
        <f t="shared" si="0"/>
        <v>30000</v>
      </c>
    </row>
    <row r="10" spans="1:6">
      <c r="A10" s="36"/>
      <c r="B10" s="57" t="s">
        <v>136</v>
      </c>
      <c r="C10" s="67">
        <f>'Capital Asset Listing'!N27</f>
        <v>170750</v>
      </c>
      <c r="D10" s="67">
        <f>'Capital Asset Listing'!N29+'Capital Asset Listing'!N30+'Capital Asset Listing'!N31+'Capital Asset Listing'!N32</f>
        <v>205260</v>
      </c>
      <c r="E10" s="67"/>
      <c r="F10" s="67">
        <f t="shared" si="0"/>
        <v>376010</v>
      </c>
    </row>
    <row r="11" spans="1:6">
      <c r="A11" s="36"/>
      <c r="B11" s="57" t="s">
        <v>137</v>
      </c>
      <c r="C11" s="67">
        <f>'Capital Asset Listing'!O27</f>
        <v>575000</v>
      </c>
      <c r="D11" s="67">
        <f>'Capital Asset Listing'!O33</f>
        <v>800000</v>
      </c>
      <c r="E11" s="67"/>
      <c r="F11" s="67">
        <f t="shared" si="0"/>
        <v>1375000</v>
      </c>
    </row>
    <row r="12" spans="1:6">
      <c r="A12" s="36"/>
      <c r="B12" s="57" t="s">
        <v>138</v>
      </c>
      <c r="C12" s="67">
        <v>0</v>
      </c>
      <c r="D12" s="67"/>
      <c r="E12" s="67"/>
      <c r="F12" s="67">
        <f t="shared" si="0"/>
        <v>0</v>
      </c>
    </row>
    <row r="13" spans="1:6">
      <c r="A13" s="36"/>
      <c r="B13" s="57"/>
      <c r="C13" s="67"/>
      <c r="D13" s="67"/>
      <c r="E13" s="67"/>
      <c r="F13" s="67"/>
    </row>
    <row r="14" spans="1:6">
      <c r="A14" s="36"/>
      <c r="B14" s="57" t="s">
        <v>139</v>
      </c>
      <c r="C14" s="67">
        <f>SUM(C6:C13)</f>
        <v>3237910</v>
      </c>
      <c r="D14" s="67">
        <f>SUM(D6:D12)</f>
        <v>1005260</v>
      </c>
      <c r="E14" s="67">
        <f>SUM(E6:E12)</f>
        <v>0</v>
      </c>
      <c r="F14" s="67">
        <f>C14+D14-E14</f>
        <v>4243170</v>
      </c>
    </row>
    <row r="16" spans="1:6">
      <c r="B16" s="84" t="s">
        <v>140</v>
      </c>
      <c r="C16" s="84"/>
      <c r="D16" s="84"/>
      <c r="E16" s="84"/>
      <c r="F16" s="84"/>
    </row>
    <row r="17" spans="2:6">
      <c r="B17" s="85"/>
      <c r="C17" s="85"/>
      <c r="D17" s="85"/>
      <c r="E17" s="85"/>
      <c r="F17" s="85"/>
    </row>
    <row r="18" spans="2:6" ht="24.95">
      <c r="B18" s="65" t="s">
        <v>131</v>
      </c>
      <c r="C18" s="66" t="s">
        <v>132</v>
      </c>
      <c r="D18" s="65" t="s">
        <v>80</v>
      </c>
      <c r="E18" s="65" t="s">
        <v>81</v>
      </c>
      <c r="F18" s="66" t="s">
        <v>133</v>
      </c>
    </row>
    <row r="19" spans="2:6">
      <c r="B19" s="57"/>
      <c r="C19" s="57"/>
      <c r="D19" s="57"/>
      <c r="E19" s="57"/>
      <c r="F19" s="57"/>
    </row>
    <row r="20" spans="2:6">
      <c r="B20" s="57"/>
      <c r="C20" s="57"/>
      <c r="D20" s="57"/>
      <c r="E20" s="57"/>
      <c r="F20" s="57"/>
    </row>
    <row r="21" spans="2:6">
      <c r="B21" s="57" t="s">
        <v>35</v>
      </c>
      <c r="C21" s="67">
        <f>'ACCUMULATED DEPRECIATION'!J23</f>
        <v>391750</v>
      </c>
      <c r="D21" s="67">
        <f>'ACCUMULATED DEPRECIATION'!K23</f>
        <v>26500</v>
      </c>
      <c r="E21" s="67">
        <v>0</v>
      </c>
      <c r="F21" s="67">
        <f>C21+D21-E21</f>
        <v>418250</v>
      </c>
    </row>
    <row r="22" spans="2:6">
      <c r="B22" s="57" t="s">
        <v>134</v>
      </c>
      <c r="C22" s="67">
        <f>'ACCUMULATED DEPRECIATION'!J30</f>
        <v>1662210</v>
      </c>
      <c r="D22" s="67">
        <f>'ACCUMULATED DEPRECIATION'!K30</f>
        <v>707</v>
      </c>
      <c r="E22" s="67">
        <v>0</v>
      </c>
      <c r="F22" s="67">
        <f>C22+D22-E22</f>
        <v>1662917</v>
      </c>
    </row>
    <row r="23" spans="2:6">
      <c r="B23" s="57" t="s">
        <v>135</v>
      </c>
      <c r="C23" s="67">
        <f>'ACCUMULATED DEPRECIATION'!J38</f>
        <v>6500</v>
      </c>
      <c r="D23" s="67">
        <f>'ACCUMULATED DEPRECIATION'!K38</f>
        <v>1750</v>
      </c>
      <c r="E23" s="67">
        <v>0</v>
      </c>
      <c r="F23" s="67">
        <f>C23+D23-E23</f>
        <v>8250</v>
      </c>
    </row>
    <row r="24" spans="2:6">
      <c r="B24" s="57" t="s">
        <v>136</v>
      </c>
      <c r="C24" s="67">
        <f>'ACCUMULATED DEPRECIATION'!J51</f>
        <v>55013</v>
      </c>
      <c r="D24" s="67">
        <f>'ACCUMULATED DEPRECIATION'!K51</f>
        <v>50499</v>
      </c>
      <c r="E24" s="67">
        <v>0</v>
      </c>
      <c r="F24" s="67">
        <f>C24+D24-E24</f>
        <v>105512</v>
      </c>
    </row>
    <row r="25" spans="2:6">
      <c r="B25" s="57" t="s">
        <v>138</v>
      </c>
      <c r="C25" s="67">
        <v>0</v>
      </c>
      <c r="D25" s="67"/>
      <c r="E25" s="67"/>
      <c r="F25" s="67">
        <f>C25+D25-E25</f>
        <v>0</v>
      </c>
    </row>
    <row r="26" spans="2:6">
      <c r="B26" s="57"/>
      <c r="C26" s="67"/>
      <c r="D26" s="67"/>
      <c r="E26" s="67"/>
      <c r="F26" s="67"/>
    </row>
    <row r="27" spans="2:6">
      <c r="B27" s="57"/>
      <c r="C27" s="67"/>
      <c r="D27" s="67"/>
      <c r="E27" s="67"/>
      <c r="F27" s="67"/>
    </row>
    <row r="28" spans="2:6">
      <c r="B28" s="57" t="s">
        <v>139</v>
      </c>
      <c r="C28" s="67">
        <f>SUM(C21:C27)</f>
        <v>2115473</v>
      </c>
      <c r="D28" s="67">
        <f>SUM(D21:D27)</f>
        <v>79456</v>
      </c>
      <c r="E28" s="67">
        <f>SUM(E21:E25)</f>
        <v>0</v>
      </c>
      <c r="F28" s="67">
        <f>C28+D28-E28</f>
        <v>2194929</v>
      </c>
    </row>
  </sheetData>
  <mergeCells count="2">
    <mergeCell ref="B2:F3"/>
    <mergeCell ref="B16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Indiana State Board of Accounts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INSBOA</dc:creator>
  <cp:keywords/>
  <dc:description/>
  <cp:lastModifiedBy>Rogers, Lori</cp:lastModifiedBy>
  <cp:revision/>
  <dcterms:created xsi:type="dcterms:W3CDTF">2003-04-08T14:26:07Z</dcterms:created>
  <dcterms:modified xsi:type="dcterms:W3CDTF">2021-06-04T18:47:52Z</dcterms:modified>
  <cp:category/>
  <cp:contentStatus/>
</cp:coreProperties>
</file>