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BrBurgoa\Documents\01_A S S I G N M E N T S\2018_INDOT_ActiveTransportation\Trail Cost Calculator\"/>
    </mc:Choice>
  </mc:AlternateContent>
  <bookViews>
    <workbookView xWindow="0" yWindow="0" windowWidth="21570" windowHeight="7500"/>
  </bookViews>
  <sheets>
    <sheet name="Instructions" sheetId="6" r:id="rId1"/>
    <sheet name="Cost Calculator" sheetId="4" r:id="rId2"/>
    <sheet name="Back Office" sheetId="9" r:id="rId3"/>
    <sheet name="Unit Costs" sheetId="8" r:id="rId4"/>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00" i="8" l="1"/>
  <c r="C100" i="8" s="1"/>
  <c r="B22" i="8"/>
  <c r="B20" i="8"/>
  <c r="B19" i="8"/>
  <c r="B87" i="8" l="1"/>
  <c r="C87" i="8" s="1"/>
  <c r="B89" i="8"/>
  <c r="C89" i="8" s="1"/>
  <c r="B98" i="8"/>
  <c r="C98" i="8" s="1"/>
  <c r="B88" i="8"/>
  <c r="B99" i="8"/>
  <c r="C99" i="8" s="1"/>
  <c r="B32" i="8"/>
  <c r="C32" i="8" s="1"/>
  <c r="B41" i="8"/>
  <c r="C41" i="8" s="1"/>
  <c r="B42" i="8"/>
  <c r="C42" i="8" s="1"/>
  <c r="B30" i="8"/>
  <c r="C30" i="8" s="1"/>
  <c r="B43" i="8"/>
  <c r="C43" i="8" s="1"/>
  <c r="B59" i="8"/>
  <c r="C59" i="8" s="1"/>
  <c r="B73" i="8"/>
  <c r="C73" i="8" s="1"/>
  <c r="B61" i="8"/>
  <c r="C61" i="8" s="1"/>
  <c r="B71" i="8"/>
  <c r="C71" i="8" s="1"/>
  <c r="B60" i="8"/>
  <c r="C60" i="8" s="1"/>
  <c r="B72" i="8"/>
  <c r="C72" i="8" s="1"/>
  <c r="B70" i="8"/>
  <c r="C70" i="8" s="1"/>
  <c r="B31" i="8"/>
  <c r="C31" i="8" s="1"/>
  <c r="C88" i="8" l="1"/>
  <c r="C90" i="8" s="1"/>
  <c r="C101" i="8"/>
  <c r="C62" i="8"/>
  <c r="C74" i="8"/>
  <c r="C44" i="8"/>
  <c r="C33" i="8"/>
  <c r="C93" i="8" l="1"/>
  <c r="C91" i="8"/>
  <c r="C92" i="8"/>
  <c r="C94" i="8"/>
  <c r="C103" i="8"/>
  <c r="C104" i="8"/>
  <c r="C105" i="8"/>
  <c r="C102" i="8"/>
  <c r="C106" i="8" s="1"/>
  <c r="B11" i="9" s="1"/>
  <c r="C76" i="8"/>
  <c r="C77" i="8"/>
  <c r="C75" i="8"/>
  <c r="C78" i="8"/>
  <c r="C64" i="8"/>
  <c r="C65" i="8"/>
  <c r="C63" i="8"/>
  <c r="C66" i="8"/>
  <c r="C47" i="8"/>
  <c r="C45" i="8"/>
  <c r="C46" i="8"/>
  <c r="C48" i="8"/>
  <c r="C34" i="8"/>
  <c r="C37" i="8"/>
  <c r="C36" i="8"/>
  <c r="C35" i="8"/>
  <c r="C30" i="4"/>
  <c r="C29" i="4"/>
  <c r="C67" i="8" l="1"/>
  <c r="B5" i="9" s="1"/>
  <c r="C79" i="8"/>
  <c r="B10" i="9" s="1"/>
  <c r="C38" i="8"/>
  <c r="B4" i="9" s="1"/>
  <c r="C95" i="8"/>
  <c r="B6" i="9" s="1"/>
  <c r="C49" i="8"/>
  <c r="B9" i="9" s="1"/>
  <c r="C12" i="4" l="1"/>
  <c r="C18" i="4" s="1"/>
  <c r="C20" i="4" s="1"/>
  <c r="C14" i="4" l="1"/>
  <c r="C16" i="4" s="1"/>
  <c r="C22" i="4"/>
  <c r="C24" i="4" s="1"/>
</calcChain>
</file>

<file path=xl/sharedStrings.xml><?xml version="1.0" encoding="utf-8"?>
<sst xmlns="http://schemas.openxmlformats.org/spreadsheetml/2006/main" count="267" uniqueCount="118">
  <si>
    <t>Asphalt</t>
  </si>
  <si>
    <t>Concrete</t>
  </si>
  <si>
    <t>Quantity</t>
  </si>
  <si>
    <t>Cost</t>
  </si>
  <si>
    <t>Grading (CY)</t>
  </si>
  <si>
    <t>Concrete (SY)</t>
  </si>
  <si>
    <t>Surface</t>
  </si>
  <si>
    <t>Setting/Location</t>
  </si>
  <si>
    <t>Terrain</t>
  </si>
  <si>
    <t>Along stream/river bank</t>
  </si>
  <si>
    <t>Local</t>
  </si>
  <si>
    <t>Setting</t>
  </si>
  <si>
    <t>Rural</t>
  </si>
  <si>
    <t>Urban</t>
  </si>
  <si>
    <t>Flat</t>
  </si>
  <si>
    <t>Hilly</t>
  </si>
  <si>
    <t>Stream/River</t>
  </si>
  <si>
    <t>Trail Cost Components by Surface Type</t>
  </si>
  <si>
    <t>Trail Type</t>
  </si>
  <si>
    <t>Funding Source</t>
  </si>
  <si>
    <t>Yes</t>
  </si>
  <si>
    <t>No</t>
  </si>
  <si>
    <t>Multiplier</t>
  </si>
  <si>
    <t>Trail Descriptor</t>
  </si>
  <si>
    <t>Variable</t>
  </si>
  <si>
    <t>Railroad Grade</t>
  </si>
  <si>
    <t>Former railroad grade</t>
  </si>
  <si>
    <t>Feet</t>
  </si>
  <si>
    <t>Meters</t>
  </si>
  <si>
    <t>Miles</t>
  </si>
  <si>
    <t>Length (miles)*</t>
  </si>
  <si>
    <t>*Need help calculating the miles of trail? Enter the number of feet or meters to get the length in miles!</t>
  </si>
  <si>
    <t>Trail Length</t>
  </si>
  <si>
    <t>Instructions</t>
  </si>
  <si>
    <t>How It Works</t>
  </si>
  <si>
    <t>Assumptions</t>
  </si>
  <si>
    <t>Each "variable" is linked to a multiplier that changes the relative cost of the trail based on the cost implications of that specific trail characteristic. All the multpliers embedded in this trail calculator can be found on the "Back Office" worksheet.</t>
  </si>
  <si>
    <t>Unit costs are based on INDOT 2017 average unit costs.</t>
  </si>
  <si>
    <t>Trail Planning-Level Cost Calculator Instructions</t>
  </si>
  <si>
    <t>Trail Planning-Level Cost Calculator</t>
  </si>
  <si>
    <t>Variables are cumulative, that is, each multiplier builds on the one before it.</t>
  </si>
  <si>
    <t>A cost range has been assigned to certain general categories such as utility relocations; however, these costs can vary widely depending on the exact details and nature of the work.</t>
  </si>
  <si>
    <t>The overall cost opinions are intended to be general and used only for planning purposes. Toole Design Group, LLC makes no guarantees or warranties regarding the cost opinion herein.</t>
  </si>
  <si>
    <t xml:space="preserve">Construction costs will vary widely based on the ultimate project scope, actual site conditions and constraints, schedule, and economic conditions at the time of construction. </t>
  </si>
  <si>
    <t xml:space="preserve">It is recommended that planning-level cost opinions include a 30 percent contingency to cover items that are undefined or are typically unknown early in the planning phase of a project. </t>
  </si>
  <si>
    <t>Trail Cost Multipliers</t>
  </si>
  <si>
    <t>Crushed Stone</t>
  </si>
  <si>
    <t>Unit Costs</t>
  </si>
  <si>
    <t>Shoulder</t>
  </si>
  <si>
    <t>Trail</t>
  </si>
  <si>
    <t>Aggregate - Surface (CY)</t>
  </si>
  <si>
    <t>Asphalt - Base (TON)</t>
  </si>
  <si>
    <t>Asphalt - Surface (TON)</t>
  </si>
  <si>
    <t>Conversions</t>
  </si>
  <si>
    <t>Cubic Inches to Cubic Yard (CY)</t>
  </si>
  <si>
    <t>Asphalt - Tons/Cubic Yard (CY)</t>
  </si>
  <si>
    <t>Asphalt Surface Trail</t>
  </si>
  <si>
    <t>Inches per foot</t>
  </si>
  <si>
    <t>Inches per mile</t>
  </si>
  <si>
    <t>Shoulder Width (in/side)</t>
  </si>
  <si>
    <t>Aggregate Base (in)</t>
  </si>
  <si>
    <t>Trail: Asphalt Base (in)</t>
  </si>
  <si>
    <t>Trail: Asphalt Surface (in)</t>
  </si>
  <si>
    <t>Aggregate - Base (CY)</t>
  </si>
  <si>
    <t>Shoulder Subtotal / Mile</t>
  </si>
  <si>
    <t>Shoulder Cost per Mile (4 FT total width)</t>
  </si>
  <si>
    <t>Trail Cost per Mile (1 FT total width)</t>
  </si>
  <si>
    <t>Trail Subtotal / Mile</t>
  </si>
  <si>
    <t>Fixed Costs</t>
  </si>
  <si>
    <t>Cost does not vary with trail width</t>
  </si>
  <si>
    <t>Applied to trail cost subtotal</t>
  </si>
  <si>
    <t>Landscape</t>
  </si>
  <si>
    <t>Drainage/Erosion/Sediment</t>
  </si>
  <si>
    <t>Maintenance of Traffic</t>
  </si>
  <si>
    <t>Utility Adjustments</t>
  </si>
  <si>
    <t>Depth equal to total paved depth</t>
  </si>
  <si>
    <t>Cost per mile per foot of width</t>
  </si>
  <si>
    <t>Crushed Stone Surface Trail</t>
  </si>
  <si>
    <t>Aggregate Surface (in)</t>
  </si>
  <si>
    <t>Concrete Surface Trail</t>
  </si>
  <si>
    <t>Trail: Concrete Surface (in)</t>
  </si>
  <si>
    <t>INDOT 2017 Unit Costs</t>
  </si>
  <si>
    <t>24"</t>
  </si>
  <si>
    <t>Varies</t>
  </si>
  <si>
    <t>AB</t>
  </si>
  <si>
    <t>AS</t>
  </si>
  <si>
    <t>C</t>
  </si>
  <si>
    <t>Aggregate - Base</t>
  </si>
  <si>
    <t>Aggregate - Surface</t>
  </si>
  <si>
    <t>AspB</t>
  </si>
  <si>
    <t>AspS</t>
  </si>
  <si>
    <t>Asphalt - Base</t>
  </si>
  <si>
    <t>Asphalt - Surface</t>
  </si>
  <si>
    <t>Estimated Construction Cost of Trail</t>
  </si>
  <si>
    <t>Estimated Cost of Design</t>
  </si>
  <si>
    <t>Total Estimated Cost of Trail</t>
  </si>
  <si>
    <t>Average Cost per Mile</t>
  </si>
  <si>
    <t>Design</t>
  </si>
  <si>
    <t>Width</t>
  </si>
  <si>
    <t>State</t>
  </si>
  <si>
    <t>Federal</t>
  </si>
  <si>
    <t>Trail Total / Mile</t>
  </si>
  <si>
    <t>Shoulder Total / Mile</t>
  </si>
  <si>
    <t>Funding Source Design Escalation</t>
  </si>
  <si>
    <t>Construction Contingency</t>
  </si>
  <si>
    <t>Constuction Subtotal</t>
  </si>
  <si>
    <t>Trail width is user-defined and is assumed to have 2' gravel shoulders on each side of the trail.</t>
  </si>
  <si>
    <t xml:space="preserve">Cost opinions do not include easement and right-of-way acquisition; permitting, inspection, or construction management; extensive surveying, geotechnical investigation, environmental investigation, documentation, and mitigation; special site remediation, escalation, or the cost for ongoing maintenance. </t>
  </si>
  <si>
    <t>Notes</t>
  </si>
  <si>
    <t>Accounts for increased crossings, utility adjustments</t>
  </si>
  <si>
    <t>Accounts for increased cost of mobilization and grading</t>
  </si>
  <si>
    <t>Accounts for reduced grading and mobilization</t>
  </si>
  <si>
    <t>Accounts for increased environmental constraints</t>
  </si>
  <si>
    <t>Accounts for increased permitting, environmental review</t>
  </si>
  <si>
    <t>Cost per mile for two 2' wide gravel shoulders</t>
  </si>
  <si>
    <t>Cost per mile per foot of trail width (not including shoulders)</t>
  </si>
  <si>
    <t>Cost/Mile</t>
  </si>
  <si>
    <r>
      <t xml:space="preserve">To estimate the cost of a trail, enter the information you know about the potential trail in the </t>
    </r>
    <r>
      <rPr>
        <b/>
        <sz val="12"/>
        <color theme="1"/>
        <rFont val="Calibri"/>
        <family val="2"/>
        <scheme val="minor"/>
      </rPr>
      <t>yellow cells</t>
    </r>
    <r>
      <rPr>
        <sz val="12"/>
        <color theme="1"/>
        <rFont val="Calibri"/>
        <family val="2"/>
        <scheme val="minor"/>
      </rPr>
      <t xml:space="preserve"> on the </t>
    </r>
    <r>
      <rPr>
        <b/>
        <sz val="12"/>
        <color theme="1"/>
        <rFont val="Calibri"/>
        <family val="2"/>
        <scheme val="minor"/>
      </rPr>
      <t>Calculator</t>
    </r>
    <r>
      <rPr>
        <sz val="12"/>
        <color theme="1"/>
        <rFont val="Calibri"/>
        <family val="2"/>
        <scheme val="minor"/>
      </rPr>
      <t xml:space="preserve"> Tab.</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</si>
</sst>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17" x14ac:knownFonts="1">
    <font>
      <sz val="11"/>
      <color theme="1"/>
      <name val="Calibri"/>
      <family val="2"/>
      <scheme val="minor"/>
    </font>
    <font>
      <sz val="11"/>
      <color theme="1"/>
      <name val="Calibri"/>
      <family val="2"/>
      <scheme val="minor"/>
    </font>
    <font>
      <b/>
      <sz val="11"/>
      <color theme="0"/>
      <name val="Calibri"/>
      <family val="2"/>
      <scheme val="minor"/>
    </font>
    <font>
      <sz val="12"/>
      <color theme="1"/>
      <name val="Calibri"/>
      <family val="2"/>
      <scheme val="minor"/>
    </font>
    <font>
      <b/>
      <sz val="16"/>
      <color theme="0"/>
      <name val="Calibri"/>
      <family val="2"/>
      <scheme val="minor"/>
    </font>
    <font>
      <sz val="20"/>
      <color theme="1"/>
      <name val="Calibri"/>
      <family val="2"/>
      <scheme val="minor"/>
    </font>
    <font>
      <i/>
      <sz val="11"/>
      <color theme="1"/>
      <name val="Calibri"/>
      <family val="2"/>
      <scheme val="minor"/>
    </font>
    <font>
      <b/>
      <sz val="12"/>
      <color theme="1"/>
      <name val="Calibri"/>
      <family val="2"/>
      <scheme val="minor"/>
    </font>
    <font>
      <b/>
      <sz val="16"/>
      <color theme="1"/>
      <name val="Calibri"/>
      <family val="2"/>
      <scheme val="minor"/>
    </font>
    <font>
      <sz val="18"/>
      <color theme="1"/>
      <name val="Calibri"/>
      <family val="2"/>
      <scheme val="minor"/>
    </font>
    <font>
      <i/>
      <sz val="12"/>
      <color theme="1"/>
      <name val="Calibri"/>
      <family val="2"/>
      <scheme val="minor"/>
    </font>
    <font>
      <sz val="10"/>
      <color theme="1"/>
      <name val="Calibri"/>
      <family val="2"/>
      <scheme val="minor"/>
    </font>
    <font>
      <b/>
      <sz val="10"/>
      <color theme="1"/>
      <name val="Calibri"/>
      <family val="2"/>
      <scheme val="minor"/>
    </font>
    <font>
      <b/>
      <i/>
      <sz val="10"/>
      <color theme="1"/>
      <name val="Calibri"/>
      <family val="2"/>
      <scheme val="minor"/>
    </font>
    <font>
      <b/>
      <sz val="10"/>
      <color theme="0"/>
      <name val="Calibri"/>
      <family val="2"/>
      <scheme val="minor"/>
    </font>
    <font>
      <sz val="12"/>
      <color theme="0"/>
      <name val="Calibri"/>
      <family val="2"/>
      <scheme val="minor"/>
    </font>
    <font>
      <b/>
      <sz val="12"/>
      <color theme="0"/>
      <name val="Calibri"/>
      <family val="2"/>
      <scheme val="minor"/>
    </font>
  </fonts>
  <fills count="13">
    <fill>
      <patternFill patternType="none"/>
    </fill>
    <fill>
      <patternFill patternType="gray125"/>
    </fill>
    <fill>
      <patternFill patternType="solid">
        <fgColor rgb="FFA5A5A5"/>
      </patternFill>
    </fill>
    <fill>
      <patternFill patternType="solid">
        <fgColor rgb="FFFFFFCC"/>
      </patternFill>
    </fill>
    <fill>
      <patternFill patternType="solid">
        <fgColor theme="5" tint="0.79998168889431442"/>
        <bgColor indexed="65"/>
      </patternFill>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4.9989318521683403E-2"/>
        <bgColor indexed="64"/>
      </patternFill>
    </fill>
    <fill>
      <patternFill patternType="solid">
        <fgColor theme="2" tint="-0.499984740745262"/>
        <bgColor indexed="64"/>
      </patternFill>
    </fill>
    <fill>
      <patternFill patternType="solid">
        <fgColor theme="0" tint="-0.499984740745262"/>
        <bgColor indexed="64"/>
      </patternFill>
    </fill>
    <fill>
      <patternFill patternType="solid">
        <fgColor theme="0" tint="-0.14996795556505021"/>
        <bgColor indexed="64"/>
      </patternFill>
    </fill>
  </fills>
  <borders count="31">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rgb="FFB2B2B2"/>
      </top>
      <bottom/>
      <diagonal/>
    </border>
    <border>
      <left style="thin">
        <color rgb="FFB2B2B2"/>
      </left>
      <right/>
      <top style="thin">
        <color rgb="FFB2B2B2"/>
      </top>
      <bottom/>
      <diagonal/>
    </border>
    <border>
      <left/>
      <right style="thin">
        <color rgb="FFB2B2B2"/>
      </right>
      <top style="thin">
        <color rgb="FFB2B2B2"/>
      </top>
      <bottom/>
      <diagonal/>
    </border>
    <border>
      <left style="thin">
        <color rgb="FFB2B2B2"/>
      </left>
      <right/>
      <top/>
      <bottom style="thin">
        <color indexed="64"/>
      </bottom>
      <diagonal/>
    </border>
    <border>
      <left/>
      <right/>
      <top/>
      <bottom style="thin">
        <color indexed="64"/>
      </bottom>
      <diagonal/>
    </border>
    <border>
      <left/>
      <right style="thin">
        <color rgb="FFB2B2B2"/>
      </right>
      <top/>
      <bottom style="thin">
        <color indexed="64"/>
      </bottom>
      <diagonal/>
    </border>
    <border>
      <left/>
      <right/>
      <top/>
      <bottom style="medium">
        <color indexed="64"/>
      </bottom>
      <diagonal/>
    </border>
    <border>
      <left/>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3F3F3F"/>
      </left>
      <right style="thin">
        <color rgb="FF3F3F3F"/>
      </right>
      <top style="medium">
        <color rgb="FF3F3F3F"/>
      </top>
      <bottom style="thin">
        <color rgb="FF3F3F3F"/>
      </bottom>
      <diagonal/>
    </border>
    <border>
      <left style="thin">
        <color rgb="FF3F3F3F"/>
      </left>
      <right style="medium">
        <color rgb="FF3F3F3F"/>
      </right>
      <top style="medium">
        <color rgb="FF3F3F3F"/>
      </top>
      <bottom style="thin">
        <color rgb="FF3F3F3F"/>
      </bottom>
      <diagonal/>
    </border>
    <border>
      <left style="medium">
        <color rgb="FF3F3F3F"/>
      </left>
      <right style="thin">
        <color rgb="FF3F3F3F"/>
      </right>
      <top style="thin">
        <color rgb="FF3F3F3F"/>
      </top>
      <bottom style="thin">
        <color rgb="FF3F3F3F"/>
      </bottom>
      <diagonal/>
    </border>
    <border>
      <left style="thin">
        <color rgb="FF3F3F3F"/>
      </left>
      <right style="medium">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7">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1" fillId="3" borderId="2" applyNumberFormat="0" applyFont="0" applyAlignment="0" applyProtection="0"/>
    <xf numFmtId="0" fontId="1" fillId="4" borderId="0" applyNumberFormat="0" applyBorder="0" applyAlignment="0" applyProtection="0"/>
  </cellStyleXfs>
  <cellXfs count="114">
    <xf numFmtId="0" fontId="0" fillId="0" borderId="0" xfId="0"/>
    <xf numFmtId="2" fontId="0" fillId="0" borderId="0" xfId="0" applyNumberFormat="1"/>
    <xf numFmtId="0" fontId="3" fillId="0" borderId="3" xfId="0" applyFont="1" applyBorder="1"/>
    <xf numFmtId="0" fontId="3" fillId="0" borderId="0" xfId="0" applyFont="1"/>
    <xf numFmtId="0" fontId="6" fillId="0" borderId="0" xfId="0" applyFont="1"/>
    <xf numFmtId="0" fontId="3" fillId="0" borderId="3" xfId="0" applyFont="1" applyBorder="1" applyAlignment="1"/>
    <xf numFmtId="2" fontId="3" fillId="0" borderId="3" xfId="0" applyNumberFormat="1" applyFont="1" applyBorder="1" applyAlignment="1"/>
    <xf numFmtId="0" fontId="3" fillId="0" borderId="0" xfId="0" applyFont="1" applyAlignment="1">
      <alignment wrapText="1"/>
    </xf>
    <xf numFmtId="0" fontId="8" fillId="0" borderId="10" xfId="0" applyFont="1" applyBorder="1" applyAlignment="1">
      <alignment wrapText="1"/>
    </xf>
    <xf numFmtId="0" fontId="3" fillId="5" borderId="0" xfId="0" applyFont="1" applyFill="1" applyAlignment="1">
      <alignment wrapText="1"/>
    </xf>
    <xf numFmtId="0" fontId="3" fillId="5" borderId="11" xfId="0" applyFont="1" applyFill="1" applyBorder="1" applyAlignment="1">
      <alignment wrapText="1"/>
    </xf>
    <xf numFmtId="0" fontId="3" fillId="0" borderId="8" xfId="0" applyFont="1" applyBorder="1" applyAlignment="1">
      <alignment wrapText="1"/>
    </xf>
    <xf numFmtId="0" fontId="3" fillId="5" borderId="8" xfId="0" applyFont="1" applyFill="1" applyBorder="1" applyAlignment="1">
      <alignment wrapText="1"/>
    </xf>
    <xf numFmtId="165" fontId="3" fillId="0" borderId="3" xfId="2" applyNumberFormat="1" applyFont="1" applyBorder="1" applyAlignment="1" applyProtection="1">
      <protection locked="0"/>
    </xf>
    <xf numFmtId="0" fontId="5" fillId="0" borderId="10" xfId="0" applyFont="1" applyBorder="1" applyAlignment="1">
      <alignment wrapText="1"/>
    </xf>
    <xf numFmtId="0" fontId="3" fillId="0" borderId="0" xfId="5" applyFont="1" applyFill="1" applyBorder="1"/>
    <xf numFmtId="164" fontId="7" fillId="0" borderId="0" xfId="5" applyNumberFormat="1" applyFont="1" applyFill="1" applyBorder="1" applyProtection="1">
      <protection hidden="1"/>
    </xf>
    <xf numFmtId="0" fontId="3" fillId="0" borderId="17" xfId="0" applyFont="1" applyBorder="1"/>
    <xf numFmtId="0" fontId="3" fillId="0" borderId="13" xfId="5" applyFont="1" applyFill="1" applyBorder="1"/>
    <xf numFmtId="0" fontId="2" fillId="11" borderId="20" xfId="0" applyFont="1" applyFill="1" applyBorder="1"/>
    <xf numFmtId="0" fontId="0" fillId="0" borderId="21" xfId="0" applyBorder="1"/>
    <xf numFmtId="0" fontId="0" fillId="0" borderId="23" xfId="0" applyBorder="1"/>
    <xf numFmtId="0" fontId="0" fillId="0" borderId="22" xfId="0" applyBorder="1"/>
    <xf numFmtId="0" fontId="0" fillId="0" borderId="24" xfId="0" applyBorder="1"/>
    <xf numFmtId="0" fontId="2" fillId="11" borderId="19" xfId="4" applyFill="1" applyBorder="1"/>
    <xf numFmtId="0" fontId="10" fillId="0" borderId="0" xfId="0" applyFont="1" applyFill="1"/>
    <xf numFmtId="0" fontId="11" fillId="0" borderId="0" xfId="0" applyFont="1"/>
    <xf numFmtId="0" fontId="11" fillId="5" borderId="12" xfId="0" applyFont="1" applyFill="1" applyBorder="1"/>
    <xf numFmtId="0" fontId="11" fillId="0" borderId="0" xfId="0" applyFont="1" applyFill="1" applyBorder="1"/>
    <xf numFmtId="0" fontId="11" fillId="5" borderId="0" xfId="0" applyFont="1" applyFill="1" applyBorder="1"/>
    <xf numFmtId="0" fontId="11" fillId="0" borderId="8" xfId="0" applyFont="1" applyFill="1" applyBorder="1"/>
    <xf numFmtId="0" fontId="11" fillId="0" borderId="0" xfId="0" applyFont="1" applyFill="1"/>
    <xf numFmtId="164" fontId="11" fillId="0" borderId="0" xfId="1" applyNumberFormat="1" applyFont="1" applyFill="1" applyProtection="1">
      <protection locked="0"/>
    </xf>
    <xf numFmtId="0" fontId="11" fillId="5" borderId="0" xfId="0" applyFont="1" applyFill="1"/>
    <xf numFmtId="2" fontId="11" fillId="5" borderId="0" xfId="0" applyNumberFormat="1" applyFont="1" applyFill="1"/>
    <xf numFmtId="3" fontId="11" fillId="0" borderId="0" xfId="2" applyNumberFormat="1" applyFont="1" applyFill="1"/>
    <xf numFmtId="3" fontId="11" fillId="5" borderId="0" xfId="2" applyNumberFormat="1" applyFont="1" applyFill="1"/>
    <xf numFmtId="3" fontId="11" fillId="0" borderId="8" xfId="2" applyNumberFormat="1" applyFont="1" applyFill="1" applyBorder="1"/>
    <xf numFmtId="0" fontId="12" fillId="0" borderId="0" xfId="0" applyFont="1" applyAlignment="1">
      <alignment horizontal="center"/>
    </xf>
    <xf numFmtId="0" fontId="11" fillId="0" borderId="0" xfId="0" applyFont="1" applyAlignment="1">
      <alignment horizontal="center"/>
    </xf>
    <xf numFmtId="0" fontId="12" fillId="5" borderId="0" xfId="0" applyFont="1" applyFill="1" applyAlignment="1">
      <alignment horizontal="center"/>
    </xf>
    <xf numFmtId="0" fontId="12" fillId="0" borderId="0" xfId="0" applyFont="1"/>
    <xf numFmtId="0" fontId="12" fillId="8" borderId="0" xfId="0" applyFont="1" applyFill="1" applyAlignment="1">
      <alignment horizontal="center"/>
    </xf>
    <xf numFmtId="3" fontId="11" fillId="0" borderId="0" xfId="1" applyNumberFormat="1" applyFont="1"/>
    <xf numFmtId="0" fontId="13" fillId="7" borderId="0" xfId="0" applyFont="1" applyFill="1"/>
    <xf numFmtId="3" fontId="13" fillId="7" borderId="0" xfId="1" applyNumberFormat="1" applyFont="1" applyFill="1"/>
    <xf numFmtId="164" fontId="13" fillId="7" borderId="0" xfId="1" applyNumberFormat="1" applyFont="1" applyFill="1"/>
    <xf numFmtId="0" fontId="12" fillId="7" borderId="0" xfId="0" applyFont="1" applyFill="1"/>
    <xf numFmtId="9" fontId="11" fillId="0" borderId="0" xfId="3" applyFont="1" applyFill="1" applyBorder="1"/>
    <xf numFmtId="164" fontId="11" fillId="0" borderId="0" xfId="0" applyNumberFormat="1" applyFont="1" applyFill="1" applyBorder="1"/>
    <xf numFmtId="164" fontId="11" fillId="0" borderId="0" xfId="1" applyNumberFormat="1" applyFont="1"/>
    <xf numFmtId="3" fontId="13" fillId="7" borderId="0" xfId="0" applyNumberFormat="1" applyFont="1" applyFill="1"/>
    <xf numFmtId="0" fontId="11" fillId="7" borderId="0" xfId="0" applyFont="1" applyFill="1"/>
    <xf numFmtId="0" fontId="14" fillId="9" borderId="0" xfId="0" applyFont="1" applyFill="1" applyAlignment="1">
      <alignment horizontal="center"/>
    </xf>
    <xf numFmtId="0" fontId="14" fillId="10" borderId="0" xfId="0" applyFont="1" applyFill="1" applyAlignment="1">
      <alignment horizontal="center"/>
    </xf>
    <xf numFmtId="0" fontId="11" fillId="12" borderId="8" xfId="0" applyFont="1" applyFill="1" applyBorder="1"/>
    <xf numFmtId="0" fontId="12" fillId="5" borderId="8" xfId="0" applyFont="1" applyFill="1" applyBorder="1" applyAlignment="1"/>
    <xf numFmtId="0" fontId="3" fillId="0" borderId="0" xfId="0" applyFont="1" applyFill="1"/>
    <xf numFmtId="0" fontId="3" fillId="7" borderId="25" xfId="5" applyFont="1" applyFill="1" applyBorder="1"/>
    <xf numFmtId="0" fontId="3" fillId="7" borderId="27" xfId="0" applyFont="1" applyFill="1" applyBorder="1"/>
    <xf numFmtId="0" fontId="3" fillId="0" borderId="25" xfId="5" applyFont="1" applyFill="1" applyBorder="1"/>
    <xf numFmtId="0" fontId="3" fillId="0" borderId="27" xfId="0" applyFont="1" applyBorder="1"/>
    <xf numFmtId="164" fontId="11" fillId="0" borderId="0" xfId="0" applyNumberFormat="1" applyFont="1"/>
    <xf numFmtId="164" fontId="11" fillId="5" borderId="12" xfId="0" applyNumberFormat="1" applyFont="1" applyFill="1" applyBorder="1"/>
    <xf numFmtId="164" fontId="11" fillId="5" borderId="0" xfId="0" applyNumberFormat="1" applyFont="1" applyFill="1" applyBorder="1"/>
    <xf numFmtId="164" fontId="11" fillId="0" borderId="8" xfId="0" applyNumberFormat="1" applyFont="1" applyFill="1" applyBorder="1"/>
    <xf numFmtId="164" fontId="11" fillId="0" borderId="0" xfId="0" applyNumberFormat="1" applyFont="1" applyFill="1"/>
    <xf numFmtId="164" fontId="11" fillId="5" borderId="0" xfId="0" applyNumberFormat="1" applyFont="1" applyFill="1"/>
    <xf numFmtId="164" fontId="11" fillId="12" borderId="8" xfId="0" applyNumberFormat="1" applyFont="1" applyFill="1" applyBorder="1"/>
    <xf numFmtId="164" fontId="12" fillId="5" borderId="8" xfId="0" applyNumberFormat="1" applyFont="1" applyFill="1" applyBorder="1" applyAlignment="1"/>
    <xf numFmtId="164" fontId="11" fillId="7" borderId="0" xfId="0" applyNumberFormat="1" applyFont="1" applyFill="1"/>
    <xf numFmtId="49" fontId="0" fillId="0" borderId="21" xfId="0" applyNumberFormat="1" applyBorder="1"/>
    <xf numFmtId="0" fontId="15" fillId="11" borderId="27" xfId="0" applyFont="1" applyFill="1" applyBorder="1"/>
    <xf numFmtId="164" fontId="16" fillId="11" borderId="26" xfId="5" applyNumberFormat="1" applyFont="1" applyFill="1" applyBorder="1" applyProtection="1">
      <protection hidden="1"/>
    </xf>
    <xf numFmtId="0" fontId="4" fillId="11" borderId="15" xfId="4" applyFont="1" applyFill="1" applyBorder="1" applyAlignment="1">
      <alignment horizontal="center" vertical="center"/>
    </xf>
    <xf numFmtId="0" fontId="4" fillId="11" borderId="16" xfId="4" applyFont="1" applyFill="1" applyBorder="1" applyAlignment="1">
      <alignment horizontal="center" vertical="center"/>
    </xf>
    <xf numFmtId="0" fontId="3" fillId="6" borderId="18" xfId="0" applyFont="1" applyFill="1" applyBorder="1" applyAlignment="1" applyProtection="1">
      <alignment horizontal="center"/>
      <protection locked="0"/>
    </xf>
    <xf numFmtId="49" fontId="3" fillId="6" borderId="28" xfId="0" applyNumberFormat="1" applyFont="1" applyFill="1" applyBorder="1" applyAlignment="1" applyProtection="1">
      <alignment horizontal="center"/>
      <protection locked="0"/>
    </xf>
    <xf numFmtId="0" fontId="3" fillId="12" borderId="27" xfId="0" applyFont="1" applyFill="1" applyBorder="1"/>
    <xf numFmtId="164" fontId="7" fillId="12" borderId="26" xfId="5" applyNumberFormat="1" applyFont="1" applyFill="1" applyBorder="1" applyProtection="1">
      <protection hidden="1"/>
    </xf>
    <xf numFmtId="0" fontId="16" fillId="11" borderId="25" xfId="5" applyFont="1" applyFill="1" applyBorder="1"/>
    <xf numFmtId="0" fontId="7" fillId="12" borderId="25" xfId="5" applyFont="1" applyFill="1" applyBorder="1"/>
    <xf numFmtId="164" fontId="3" fillId="0" borderId="14" xfId="0" applyNumberFormat="1" applyFont="1" applyBorder="1"/>
    <xf numFmtId="164" fontId="3" fillId="0" borderId="26" xfId="5" applyNumberFormat="1" applyFont="1" applyFill="1" applyBorder="1" applyProtection="1">
      <protection hidden="1"/>
    </xf>
    <xf numFmtId="164" fontId="11" fillId="6" borderId="12" xfId="1" applyNumberFormat="1" applyFont="1" applyFill="1" applyBorder="1" applyProtection="1">
      <protection locked="0"/>
    </xf>
    <xf numFmtId="164" fontId="11" fillId="6" borderId="0" xfId="1" applyNumberFormat="1" applyFont="1" applyFill="1" applyBorder="1" applyProtection="1">
      <protection locked="0"/>
    </xf>
    <xf numFmtId="164" fontId="11" fillId="6" borderId="8" xfId="1" applyNumberFormat="1" applyFont="1" applyFill="1" applyBorder="1" applyProtection="1">
      <protection locked="0"/>
    </xf>
    <xf numFmtId="49" fontId="0" fillId="0" borderId="23" xfId="0" applyNumberFormat="1" applyBorder="1"/>
    <xf numFmtId="164" fontId="3" fillId="7" borderId="26" xfId="5" applyNumberFormat="1" applyFont="1" applyFill="1" applyBorder="1" applyProtection="1">
      <protection hidden="1"/>
    </xf>
    <xf numFmtId="0" fontId="7" fillId="5" borderId="25" xfId="5" applyFont="1" applyFill="1" applyBorder="1"/>
    <xf numFmtId="0" fontId="3" fillId="5" borderId="27" xfId="0" applyFont="1" applyFill="1" applyBorder="1"/>
    <xf numFmtId="164" fontId="7" fillId="5" borderId="26" xfId="5" applyNumberFormat="1" applyFont="1" applyFill="1" applyBorder="1" applyProtection="1">
      <protection hidden="1"/>
    </xf>
    <xf numFmtId="9" fontId="3" fillId="6" borderId="28" xfId="0" applyNumberFormat="1" applyFont="1" applyFill="1" applyBorder="1" applyProtection="1">
      <protection locked="0"/>
    </xf>
    <xf numFmtId="9" fontId="11" fillId="6" borderId="0" xfId="3" applyFont="1" applyFill="1" applyProtection="1">
      <protection locked="0"/>
    </xf>
    <xf numFmtId="9" fontId="11" fillId="6" borderId="0" xfId="3" applyFont="1" applyFill="1" applyBorder="1" applyProtection="1">
      <protection locked="0"/>
    </xf>
    <xf numFmtId="9" fontId="11" fillId="6" borderId="8" xfId="3" applyFont="1" applyFill="1" applyBorder="1" applyProtection="1">
      <protection locked="0"/>
    </xf>
    <xf numFmtId="0" fontId="2" fillId="11" borderId="29" xfId="4" applyFill="1" applyBorder="1"/>
    <xf numFmtId="9" fontId="0" fillId="0" borderId="3" xfId="3" applyFont="1" applyBorder="1"/>
    <xf numFmtId="9" fontId="0" fillId="0" borderId="30" xfId="3" applyFont="1" applyBorder="1"/>
    <xf numFmtId="0" fontId="0" fillId="0" borderId="3" xfId="0" applyBorder="1"/>
    <xf numFmtId="0" fontId="0" fillId="0" borderId="30" xfId="0" applyBorder="1"/>
    <xf numFmtId="164" fontId="0" fillId="0" borderId="3" xfId="1" applyNumberFormat="1" applyFont="1" applyBorder="1"/>
    <xf numFmtId="164" fontId="0" fillId="0" borderId="30" xfId="1" applyNumberFormat="1" applyFont="1" applyBorder="1"/>
    <xf numFmtId="49" fontId="10" fillId="0" borderId="0" xfId="0" applyNumberFormat="1" applyFont="1" applyFill="1"/>
    <xf numFmtId="0" fontId="3" fillId="4" borderId="5" xfId="6" applyFont="1" applyBorder="1" applyAlignment="1">
      <alignment horizontal="left" wrapText="1"/>
    </xf>
    <xf numFmtId="0" fontId="3" fillId="4" borderId="4" xfId="6" applyFont="1" applyBorder="1" applyAlignment="1">
      <alignment horizontal="left" wrapText="1"/>
    </xf>
    <xf numFmtId="0" fontId="3" fillId="4" borderId="6" xfId="6" applyFont="1" applyBorder="1" applyAlignment="1">
      <alignment horizontal="left" wrapText="1"/>
    </xf>
    <xf numFmtId="0" fontId="3" fillId="4" borderId="7" xfId="6" applyFont="1" applyBorder="1" applyAlignment="1">
      <alignment horizontal="left" wrapText="1"/>
    </xf>
    <xf numFmtId="0" fontId="3" fillId="4" borderId="8" xfId="6" applyFont="1" applyBorder="1" applyAlignment="1">
      <alignment horizontal="left" wrapText="1"/>
    </xf>
    <xf numFmtId="0" fontId="3" fillId="4" borderId="9" xfId="6" applyFont="1" applyBorder="1" applyAlignment="1">
      <alignment horizontal="left" wrapText="1"/>
    </xf>
    <xf numFmtId="0" fontId="5" fillId="0" borderId="10" xfId="0" applyFont="1" applyBorder="1" applyAlignment="1">
      <alignment horizontal="left"/>
    </xf>
    <xf numFmtId="0" fontId="9" fillId="0" borderId="10" xfId="0" applyFont="1" applyBorder="1" applyAlignment="1">
      <alignment horizontal="left"/>
    </xf>
    <xf numFmtId="0" fontId="12" fillId="5" borderId="0" xfId="0" applyFont="1" applyFill="1" applyAlignment="1">
      <alignment horizontal="center" vertical="center"/>
    </xf>
    <xf numFmtId="0" fontId="11" fillId="5" borderId="8" xfId="0" applyFont="1" applyFill="1" applyBorder="1" applyAlignment="1">
      <alignment horizontal="left"/>
    </xf>
  </cellXfs>
  <cellStyles count="7">
    <cellStyle name="20% - Accent2" xfId="6" builtinId="34"/>
    <cellStyle name="Check Cell" xfId="4" builtinId="23"/>
    <cellStyle name="Comma" xfId="2" builtinId="3"/>
    <cellStyle name="Currency" xfId="1" builtinId="4"/>
    <cellStyle name="Normal" xfId="0" builtinId="0"/>
    <cellStyle name="Note" xfId="5" builtinId="10"/>
    <cellStyle name="Percent" xfId="3"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5394960</xdr:colOff>
      <xdr:row>0</xdr:row>
      <xdr:rowOff>45720</xdr:rowOff>
    </xdr:from>
    <xdr:to>
      <xdr:col>0</xdr:col>
      <xdr:colOff>6169956</xdr:colOff>
      <xdr:row>0</xdr:row>
      <xdr:rowOff>320040</xdr:rowOff>
    </xdr:to>
    <xdr:pic>
      <xdr:nvPicPr>
        <xdr:cNvPr id="3" name="Picture 2">
          <a:extLst>
            <a:ext uri="{FF2B5EF4-FFF2-40B4-BE49-F238E27FC236}">
              <a16:creationId xmlns:a16="http://schemas.microsoft.com/office/drawing/2014/main" xmlns="" id="{B0D8C20C-80D8-4BE9-94E9-92239D2DE2E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394960" y="45720"/>
          <a:ext cx="774996" cy="2743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842010</xdr:colOff>
      <xdr:row>0</xdr:row>
      <xdr:rowOff>45720</xdr:rowOff>
    </xdr:from>
    <xdr:to>
      <xdr:col>3</xdr:col>
      <xdr:colOff>1617006</xdr:colOff>
      <xdr:row>0</xdr:row>
      <xdr:rowOff>320040</xdr:rowOff>
    </xdr:to>
    <xdr:pic>
      <xdr:nvPicPr>
        <xdr:cNvPr id="2" name="Picture 1">
          <a:extLst>
            <a:ext uri="{FF2B5EF4-FFF2-40B4-BE49-F238E27FC236}">
              <a16:creationId xmlns:a16="http://schemas.microsoft.com/office/drawing/2014/main" xmlns="" id="{20D1C8B5-65B5-494A-AA74-12E29A9E7C8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394960" y="45720"/>
          <a:ext cx="774996" cy="274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3166110</xdr:colOff>
      <xdr:row>0</xdr:row>
      <xdr:rowOff>45720</xdr:rowOff>
    </xdr:from>
    <xdr:to>
      <xdr:col>2</xdr:col>
      <xdr:colOff>3941106</xdr:colOff>
      <xdr:row>0</xdr:row>
      <xdr:rowOff>320040</xdr:rowOff>
    </xdr:to>
    <xdr:pic>
      <xdr:nvPicPr>
        <xdr:cNvPr id="2" name="Picture 1">
          <a:extLst>
            <a:ext uri="{FF2B5EF4-FFF2-40B4-BE49-F238E27FC236}">
              <a16:creationId xmlns:a16="http://schemas.microsoft.com/office/drawing/2014/main" xmlns="" id="{6047EF45-8621-447E-9365-1FAE108E4A5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394960" y="45720"/>
          <a:ext cx="774996" cy="2743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2185035</xdr:colOff>
      <xdr:row>0</xdr:row>
      <xdr:rowOff>45720</xdr:rowOff>
    </xdr:from>
    <xdr:to>
      <xdr:col>3</xdr:col>
      <xdr:colOff>2960031</xdr:colOff>
      <xdr:row>0</xdr:row>
      <xdr:rowOff>320040</xdr:rowOff>
    </xdr:to>
    <xdr:pic>
      <xdr:nvPicPr>
        <xdr:cNvPr id="2" name="Picture 1">
          <a:extLst>
            <a:ext uri="{FF2B5EF4-FFF2-40B4-BE49-F238E27FC236}">
              <a16:creationId xmlns:a16="http://schemas.microsoft.com/office/drawing/2014/main" xmlns="" id="{997AAA81-9398-427C-9ED9-820B900FD58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394960" y="45720"/>
          <a:ext cx="774996" cy="274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showGridLines="0" tabSelected="1" workbookViewId="0">
      <selection activeCell="C4" sqref="C4"/>
    </sheetView>
  </sheetViews>
  <sheetFormatPr defaultRowHeight="15.75" x14ac:dyDescent="0.25"/>
  <cols>
    <col min="1" max="1" width="92.7109375" style="7" customWidth="1"/>
    <col min="2" max="16384" width="9.140625" style="3"/>
  </cols>
  <sheetData>
    <row r="1" spans="1:1" ht="30" customHeight="1" thickBot="1" x14ac:dyDescent="0.45">
      <c r="A1" s="14" t="s">
        <v>38</v>
      </c>
    </row>
    <row r="2" spans="1:1" ht="18" customHeight="1" x14ac:dyDescent="0.25"/>
    <row r="3" spans="1:1" ht="21.75" thickBot="1" x14ac:dyDescent="0.4">
      <c r="A3" s="8" t="s">
        <v>33</v>
      </c>
    </row>
    <row r="4" spans="1:1" ht="31.5" x14ac:dyDescent="0.25">
      <c r="A4" s="10" t="s">
        <v>117</v>
      </c>
    </row>
    <row r="6" spans="1:1" ht="21.75" thickBot="1" x14ac:dyDescent="0.4">
      <c r="A6" s="8" t="s">
        <v>34</v>
      </c>
    </row>
    <row r="7" spans="1:1" ht="47.25" customHeight="1" x14ac:dyDescent="0.25">
      <c r="A7" s="9" t="s">
        <v>36</v>
      </c>
    </row>
    <row r="8" spans="1:1" x14ac:dyDescent="0.25">
      <c r="A8" s="11" t="s">
        <v>40</v>
      </c>
    </row>
    <row r="10" spans="1:1" ht="21.75" thickBot="1" x14ac:dyDescent="0.4">
      <c r="A10" s="8" t="s">
        <v>35</v>
      </c>
    </row>
    <row r="11" spans="1:1" ht="15.75" customHeight="1" x14ac:dyDescent="0.25">
      <c r="A11" s="9" t="s">
        <v>106</v>
      </c>
    </row>
    <row r="12" spans="1:1" x14ac:dyDescent="0.25">
      <c r="A12" s="7" t="s">
        <v>37</v>
      </c>
    </row>
    <row r="13" spans="1:1" ht="63" x14ac:dyDescent="0.25">
      <c r="A13" s="9" t="s">
        <v>107</v>
      </c>
    </row>
    <row r="14" spans="1:1" ht="31.5" customHeight="1" x14ac:dyDescent="0.25">
      <c r="A14" s="7" t="s">
        <v>44</v>
      </c>
    </row>
    <row r="15" spans="1:1" ht="31.5" customHeight="1" x14ac:dyDescent="0.25">
      <c r="A15" s="9" t="s">
        <v>41</v>
      </c>
    </row>
    <row r="16" spans="1:1" ht="31.5" customHeight="1" x14ac:dyDescent="0.25">
      <c r="A16" s="7" t="s">
        <v>43</v>
      </c>
    </row>
    <row r="17" spans="1:1" ht="31.5" customHeight="1" x14ac:dyDescent="0.25">
      <c r="A17" s="12" t="s">
        <v>42</v>
      </c>
    </row>
  </sheetData>
  <sheetProtection algorithmName="SHA-512" hashValue="CfP4xNcgo2OoV4Zq+DhhKPvjF5ivAusfCec3iCJPOOwPMhlNgwS1uY2DvkZOlKkoalPBPrYy5TDb3TuNyXkibw==" saltValue="x1noa4ET3DXpecVZqwjUJQ=="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election activeCell="A20" sqref="A20"/>
    </sheetView>
  </sheetViews>
  <sheetFormatPr defaultRowHeight="15" x14ac:dyDescent="0.25"/>
  <cols>
    <col min="1" max="1" width="34.85546875" customWidth="1"/>
    <col min="2" max="3" width="16.7109375" customWidth="1"/>
    <col min="4" max="4" width="24.7109375" customWidth="1"/>
    <col min="5" max="5" width="8.85546875" customWidth="1"/>
  </cols>
  <sheetData>
    <row r="1" spans="1:4" ht="30" customHeight="1" thickBot="1" x14ac:dyDescent="0.45">
      <c r="A1" s="110" t="s">
        <v>39</v>
      </c>
      <c r="B1" s="110"/>
      <c r="C1" s="110"/>
      <c r="D1" s="110"/>
    </row>
    <row r="2" spans="1:4" ht="18" customHeight="1" thickBot="1" x14ac:dyDescent="0.3"/>
    <row r="3" spans="1:4" ht="21" x14ac:dyDescent="0.25">
      <c r="A3" s="74" t="s">
        <v>23</v>
      </c>
      <c r="B3" s="75" t="s">
        <v>24</v>
      </c>
    </row>
    <row r="4" spans="1:4" s="3" customFormat="1" ht="16.149999999999999" customHeight="1" x14ac:dyDescent="0.25">
      <c r="A4" s="17" t="s">
        <v>6</v>
      </c>
      <c r="B4" s="76" t="s">
        <v>46</v>
      </c>
    </row>
    <row r="5" spans="1:4" s="3" customFormat="1" ht="15.75" x14ac:dyDescent="0.25">
      <c r="A5" s="17" t="s">
        <v>30</v>
      </c>
      <c r="B5" s="76">
        <v>1</v>
      </c>
    </row>
    <row r="6" spans="1:4" s="3" customFormat="1" ht="15.75" x14ac:dyDescent="0.25">
      <c r="A6" s="17" t="s">
        <v>98</v>
      </c>
      <c r="B6" s="76">
        <v>12</v>
      </c>
      <c r="D6" s="25"/>
    </row>
    <row r="7" spans="1:4" s="3" customFormat="1" ht="15.75" x14ac:dyDescent="0.25">
      <c r="A7" s="17" t="s">
        <v>7</v>
      </c>
      <c r="B7" s="76" t="s">
        <v>13</v>
      </c>
      <c r="D7" s="57"/>
    </row>
    <row r="8" spans="1:4" s="3" customFormat="1" ht="15.75" x14ac:dyDescent="0.25">
      <c r="A8" s="17" t="s">
        <v>8</v>
      </c>
      <c r="B8" s="76" t="s">
        <v>14</v>
      </c>
      <c r="D8" s="57"/>
    </row>
    <row r="9" spans="1:4" s="3" customFormat="1" ht="15.75" x14ac:dyDescent="0.25">
      <c r="A9" s="17" t="s">
        <v>26</v>
      </c>
      <c r="B9" s="76" t="s">
        <v>20</v>
      </c>
      <c r="D9" s="57"/>
    </row>
    <row r="10" spans="1:4" s="3" customFormat="1" ht="15.75" x14ac:dyDescent="0.25">
      <c r="A10" s="17" t="s">
        <v>9</v>
      </c>
      <c r="B10" s="76" t="s">
        <v>21</v>
      </c>
      <c r="D10" s="57"/>
    </row>
    <row r="11" spans="1:4" s="3" customFormat="1" ht="16.5" thickBot="1" x14ac:dyDescent="0.3">
      <c r="D11" s="57"/>
    </row>
    <row r="12" spans="1:4" s="3" customFormat="1" ht="16.5" thickBot="1" x14ac:dyDescent="0.3">
      <c r="A12" s="58" t="s">
        <v>105</v>
      </c>
      <c r="B12" s="59"/>
      <c r="C12" s="88">
        <f>ROUNDUP(((IF(B4="Asphalt",'Back Office'!B5,IF(B4="Concrete",'Back Office'!B6,IF(B4="Crushed Stone",'Back Office'!B4)))*B5)+(IF(B4="Asphalt",'Back Office'!B10,IF(B4="Concrete",'Back Office'!B11,IF(B4="Crushed Stone",'Back Office'!B9)))*B5*B6))*(IF(B7="Rural",'Back Office'!B14,'Back Office'!B15))*(IF(B8="Flat",'Back Office'!B18,'Back Office'!B19))*(IF(B9="Yes",'Back Office'!B22,'Back Office'!B23))*(IF(B10="Yes",'Back Office'!B26,'Back Office'!B27)),-3)</f>
        <v>228000</v>
      </c>
      <c r="D12" s="57"/>
    </row>
    <row r="13" spans="1:4" s="3" customFormat="1" ht="16.5" thickBot="1" x14ac:dyDescent="0.3">
      <c r="A13" s="15"/>
      <c r="B13" s="16"/>
      <c r="D13" s="57"/>
    </row>
    <row r="14" spans="1:4" s="3" customFormat="1" ht="16.5" thickBot="1" x14ac:dyDescent="0.3">
      <c r="A14" s="60" t="s">
        <v>104</v>
      </c>
      <c r="B14" s="92">
        <v>0.3</v>
      </c>
      <c r="C14" s="83">
        <f>ROUNDUP(C12*B14,-3)</f>
        <v>69000</v>
      </c>
      <c r="D14" s="57"/>
    </row>
    <row r="15" spans="1:4" s="3" customFormat="1" ht="16.5" thickBot="1" x14ac:dyDescent="0.3">
      <c r="A15" s="15"/>
      <c r="B15" s="16"/>
      <c r="D15" s="57"/>
    </row>
    <row r="16" spans="1:4" s="3" customFormat="1" ht="16.5" thickBot="1" x14ac:dyDescent="0.3">
      <c r="A16" s="89" t="s">
        <v>93</v>
      </c>
      <c r="B16" s="90"/>
      <c r="C16" s="91">
        <f>C14+C12</f>
        <v>297000</v>
      </c>
      <c r="D16" s="57"/>
    </row>
    <row r="17" spans="1:4" s="3" customFormat="1" ht="16.5" thickBot="1" x14ac:dyDescent="0.3">
      <c r="A17" s="15"/>
      <c r="B17" s="16"/>
      <c r="D17" s="57"/>
    </row>
    <row r="18" spans="1:4" s="3" customFormat="1" ht="16.5" thickBot="1" x14ac:dyDescent="0.3">
      <c r="A18" s="60" t="s">
        <v>94</v>
      </c>
      <c r="B18" s="61"/>
      <c r="C18" s="83">
        <f>ROUNDUP(C12*'Unit Costs'!B16,-3)</f>
        <v>46000</v>
      </c>
      <c r="D18" s="57"/>
    </row>
    <row r="19" spans="1:4" s="3" customFormat="1" ht="16.5" thickBot="1" x14ac:dyDescent="0.3">
      <c r="A19" s="15"/>
      <c r="B19" s="16"/>
      <c r="D19" s="57"/>
    </row>
    <row r="20" spans="1:4" s="3" customFormat="1" ht="16.5" thickBot="1" x14ac:dyDescent="0.3">
      <c r="A20" s="18" t="s">
        <v>103</v>
      </c>
      <c r="B20" s="77" t="s">
        <v>10</v>
      </c>
      <c r="C20" s="82">
        <f>ROUNDUP(VLOOKUP(B20, 'Back Office'!$A$30:$B$32, 2, FALSE)*'Cost Calculator'!C18,-3)</f>
        <v>0</v>
      </c>
      <c r="D20" s="103"/>
    </row>
    <row r="21" spans="1:4" s="3" customFormat="1" ht="16.5" thickBot="1" x14ac:dyDescent="0.3">
      <c r="A21" s="15"/>
      <c r="B21" s="16"/>
    </row>
    <row r="22" spans="1:4" s="3" customFormat="1" ht="16.5" thickBot="1" x14ac:dyDescent="0.3">
      <c r="A22" s="80" t="s">
        <v>95</v>
      </c>
      <c r="B22" s="72"/>
      <c r="C22" s="73">
        <f>C16+C18+C20</f>
        <v>343000</v>
      </c>
    </row>
    <row r="23" spans="1:4" s="3" customFormat="1" ht="16.5" thickBot="1" x14ac:dyDescent="0.3">
      <c r="A23" s="15"/>
      <c r="B23" s="16"/>
    </row>
    <row r="24" spans="1:4" s="3" customFormat="1" ht="16.5" thickBot="1" x14ac:dyDescent="0.3">
      <c r="A24" s="81" t="s">
        <v>96</v>
      </c>
      <c r="B24" s="78"/>
      <c r="C24" s="79">
        <f>ROUNDUP(C22/B5,-3)</f>
        <v>343000</v>
      </c>
    </row>
    <row r="25" spans="1:4" s="3" customFormat="1" ht="15.75" x14ac:dyDescent="0.25"/>
    <row r="26" spans="1:4" s="3" customFormat="1" ht="14.45" customHeight="1" x14ac:dyDescent="0.25">
      <c r="A26" s="104" t="s">
        <v>31</v>
      </c>
      <c r="B26" s="105"/>
      <c r="C26" s="106"/>
    </row>
    <row r="27" spans="1:4" s="3" customFormat="1" ht="15.75" x14ac:dyDescent="0.25">
      <c r="A27" s="107"/>
      <c r="B27" s="108"/>
      <c r="C27" s="109"/>
    </row>
    <row r="28" spans="1:4" s="3" customFormat="1" ht="15.75" x14ac:dyDescent="0.25">
      <c r="A28" s="2"/>
      <c r="B28" s="5" t="s">
        <v>32</v>
      </c>
      <c r="C28" s="5" t="s">
        <v>29</v>
      </c>
    </row>
    <row r="29" spans="1:4" s="3" customFormat="1" ht="15.75" x14ac:dyDescent="0.25">
      <c r="A29" s="2" t="s">
        <v>27</v>
      </c>
      <c r="B29" s="13">
        <v>5280</v>
      </c>
      <c r="C29" s="6">
        <f>B29/5280</f>
        <v>1</v>
      </c>
    </row>
    <row r="30" spans="1:4" s="3" customFormat="1" ht="15.75" x14ac:dyDescent="0.25">
      <c r="A30" s="2" t="s">
        <v>28</v>
      </c>
      <c r="B30" s="13">
        <v>1600</v>
      </c>
      <c r="C30" s="6">
        <f>B30/1609.34</f>
        <v>0.9941963786396909</v>
      </c>
    </row>
    <row r="31" spans="1:4" s="3" customFormat="1" ht="15.75" x14ac:dyDescent="0.25"/>
    <row r="32" spans="1:4" s="3" customFormat="1" ht="15.75" x14ac:dyDescent="0.25"/>
    <row r="33" s="3" customFormat="1" ht="15.75" x14ac:dyDescent="0.25"/>
    <row r="34" s="3" customFormat="1" ht="15.75" x14ac:dyDescent="0.25"/>
    <row r="35" s="3" customFormat="1" ht="15.75" x14ac:dyDescent="0.25"/>
    <row r="36" s="3" customFormat="1" ht="15.75" x14ac:dyDescent="0.25"/>
    <row r="37" s="3" customFormat="1" ht="15.75" x14ac:dyDescent="0.25"/>
    <row r="38" s="3" customFormat="1" ht="15.75" x14ac:dyDescent="0.25"/>
    <row r="39" s="3" customFormat="1" ht="15.75" x14ac:dyDescent="0.25"/>
  </sheetData>
  <sheetProtection algorithmName="SHA-512" hashValue="/uldlTDLrMSt4sp/pJ+sX1S9cRuTADSodUt42ydkeUAgeMXQ2opHovkMVb7YZhjCkBZTO4A/ppN6R9qRKKm9CA==" saltValue="DWgBilUvrwgI6Zxudb60cg==" spinCount="100000" sheet="1" objects="1" scenarios="1"/>
  <mergeCells count="2">
    <mergeCell ref="A26:C27"/>
    <mergeCell ref="A1:D1"/>
  </mergeCells>
  <dataValidations xWindow="423" yWindow="521" count="2">
    <dataValidation operator="greaterThan" allowBlank="1" showInputMessage="1" showErrorMessage="1" errorTitle="Invalid Entry" error="Please enter the length of the trail (miles)" promptTitle="Trail Length" prompt="Enter the length of the trail in miles." sqref="B5"/>
    <dataValidation type="whole" operator="greaterThanOrEqual" allowBlank="1" showInputMessage="1" showErrorMessage="1" errorTitle="Invalid Entry" error="Please select an answer from the dropdown menu" promptTitle="Trail Width" prompt="Enter the trail width in feet (minimum of 8 feet) not including shoulders. Trails are typically 10 to 12 feet wide." sqref="B6">
      <formula1>8</formula1>
    </dataValidation>
  </dataValidations>
  <pageMargins left="0.7" right="0.7" top="0.75" bottom="0.75" header="0.3" footer="0.3"/>
  <pageSetup orientation="portrait" horizontalDpi="1200" verticalDpi="1200" r:id="rId1"/>
  <drawing r:id="rId2"/>
  <extLst>
    <ext xmlns:x14="http://schemas.microsoft.com/office/spreadsheetml/2009/9/main" uri="{CCE6A557-97BC-4b89-ADB6-D9C93CAAB3DF}">
      <x14:dataValidations xmlns:xm="http://schemas.microsoft.com/office/excel/2006/main" xWindow="423" yWindow="521" count="6">
        <x14:dataValidation type="list" allowBlank="1" showInputMessage="1" showErrorMessage="1" errorTitle="Invalid Entry" error="Please select a trail type from the list" promptTitle="Trail Type" prompt="Select the trail surface type.">
          <x14:formula1>
            <xm:f>'Back Office'!$A$4:$A$6</xm:f>
          </x14:formula1>
          <xm:sqref>B4</xm:sqref>
        </x14:dataValidation>
        <x14:dataValidation type="list" allowBlank="1" showInputMessage="1" showErrorMessage="1" errorTitle="Invalid Entry" error="Please select an answer from the dropdown menu" promptTitle="Funding Source" prompt="Select the funding source for trail construction. If multiple funding sources are used, select the highest level of government.">
          <x14:formula1>
            <xm:f>'Back Office'!$A$30:$A$32</xm:f>
          </x14:formula1>
          <xm:sqref>B20</xm:sqref>
        </x14:dataValidation>
        <x14:dataValidation type="list" allowBlank="1" showInputMessage="1" showErrorMessage="1" errorTitle="Invalid Entry" error="Please select an answer from the dropdown menu" promptTitle="Setting" prompt="Is the trail location urban or rural? If the trail runs through both urban and rural environments, select &quot;urban.&quot;">
          <x14:formula1>
            <xm:f>'Back Office'!$A$14:$A$15</xm:f>
          </x14:formula1>
          <xm:sqref>B7</xm:sqref>
        </x14:dataValidation>
        <x14:dataValidation type="list" allowBlank="1" showInputMessage="1" showErrorMessage="1" errorTitle="Invalid Entry" error="Please select an option from the dropdown menu" promptTitle="Terrain" prompt="What is the general topography for this trail?">
          <x14:formula1>
            <xm:f>'Back Office'!$A$18:$A$19</xm:f>
          </x14:formula1>
          <xm:sqref>B8</xm:sqref>
        </x14:dataValidation>
        <x14:dataValidation type="list" allowBlank="1" showInputMessage="1" showErrorMessage="1" errorTitle="Invalid Entry" error="Please select an option from the dropdown menu" promptTitle="RR Grade" prompt="It the trail on a former railroad grade?">
          <x14:formula1>
            <xm:f>'Back Office'!$A$22:$A$23</xm:f>
          </x14:formula1>
          <xm:sqref>B9</xm:sqref>
        </x14:dataValidation>
        <x14:dataValidation type="list" allowBlank="1" showInputMessage="1" showErrorMessage="1" errorTitle="Invalid Entry" error="Please select an answer from the dropdown menu" promptTitle="Stream/River" prompt="Is any part of the trail along a stream or river?">
          <x14:formula1>
            <xm:f>'Back Office'!$A$26:$A$27</xm:f>
          </x14:formula1>
          <xm:sqref>B10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election activeCell="F9" sqref="F9"/>
    </sheetView>
  </sheetViews>
  <sheetFormatPr defaultRowHeight="15" x14ac:dyDescent="0.25"/>
  <cols>
    <col min="1" max="2" width="16.7109375" customWidth="1"/>
    <col min="3" max="3" width="59.7109375" customWidth="1"/>
  </cols>
  <sheetData>
    <row r="1" spans="1:3" ht="30" customHeight="1" thickBot="1" x14ac:dyDescent="0.45">
      <c r="A1" s="110" t="s">
        <v>45</v>
      </c>
      <c r="B1" s="110"/>
      <c r="C1" s="110"/>
    </row>
    <row r="2" spans="1:3" ht="18" customHeight="1" thickBot="1" x14ac:dyDescent="0.3"/>
    <row r="3" spans="1:3" x14ac:dyDescent="0.25">
      <c r="A3" s="24" t="s">
        <v>18</v>
      </c>
      <c r="B3" s="96" t="s">
        <v>116</v>
      </c>
      <c r="C3" s="19" t="s">
        <v>108</v>
      </c>
    </row>
    <row r="4" spans="1:3" x14ac:dyDescent="0.25">
      <c r="A4" s="20" t="s">
        <v>46</v>
      </c>
      <c r="B4" s="101">
        <f>'Unit Costs'!C38</f>
        <v>75000</v>
      </c>
      <c r="C4" s="22" t="s">
        <v>114</v>
      </c>
    </row>
    <row r="5" spans="1:3" x14ac:dyDescent="0.25">
      <c r="A5" s="20" t="s">
        <v>0</v>
      </c>
      <c r="B5" s="101">
        <f>'Unit Costs'!C67</f>
        <v>112000</v>
      </c>
      <c r="C5" s="22" t="s">
        <v>114</v>
      </c>
    </row>
    <row r="6" spans="1:3" ht="15.75" thickBot="1" x14ac:dyDescent="0.3">
      <c r="A6" s="21" t="s">
        <v>1</v>
      </c>
      <c r="B6" s="102">
        <f>'Unit Costs'!C95</f>
        <v>76000</v>
      </c>
      <c r="C6" s="23" t="s">
        <v>114</v>
      </c>
    </row>
    <row r="7" spans="1:3" ht="15.75" thickBot="1" x14ac:dyDescent="0.3"/>
    <row r="8" spans="1:3" x14ac:dyDescent="0.25">
      <c r="A8" s="24" t="s">
        <v>18</v>
      </c>
      <c r="B8" s="96" t="s">
        <v>116</v>
      </c>
      <c r="C8" s="19" t="s">
        <v>108</v>
      </c>
    </row>
    <row r="9" spans="1:3" x14ac:dyDescent="0.25">
      <c r="A9" s="20" t="s">
        <v>46</v>
      </c>
      <c r="B9" s="101">
        <f>'Unit Costs'!C49</f>
        <v>19000</v>
      </c>
      <c r="C9" s="22" t="s">
        <v>115</v>
      </c>
    </row>
    <row r="10" spans="1:3" x14ac:dyDescent="0.25">
      <c r="A10" s="20" t="s">
        <v>0</v>
      </c>
      <c r="B10" s="101">
        <f>'Unit Costs'!C79</f>
        <v>42000</v>
      </c>
      <c r="C10" s="22" t="s">
        <v>115</v>
      </c>
    </row>
    <row r="11" spans="1:3" ht="15.75" thickBot="1" x14ac:dyDescent="0.3">
      <c r="A11" s="21" t="s">
        <v>1</v>
      </c>
      <c r="B11" s="102">
        <f>'Unit Costs'!C106</f>
        <v>51000</v>
      </c>
      <c r="C11" s="23" t="s">
        <v>115</v>
      </c>
    </row>
    <row r="12" spans="1:3" ht="15.75" thickBot="1" x14ac:dyDescent="0.3"/>
    <row r="13" spans="1:3" x14ac:dyDescent="0.25">
      <c r="A13" s="24" t="s">
        <v>11</v>
      </c>
      <c r="B13" s="96" t="s">
        <v>22</v>
      </c>
      <c r="C13" s="19" t="s">
        <v>108</v>
      </c>
    </row>
    <row r="14" spans="1:3" x14ac:dyDescent="0.25">
      <c r="A14" s="20" t="s">
        <v>12</v>
      </c>
      <c r="B14" s="99">
        <v>1</v>
      </c>
      <c r="C14" s="22"/>
    </row>
    <row r="15" spans="1:3" ht="15.75" thickBot="1" x14ac:dyDescent="0.3">
      <c r="A15" s="21" t="s">
        <v>13</v>
      </c>
      <c r="B15" s="100">
        <v>1.5</v>
      </c>
      <c r="C15" s="23" t="s">
        <v>109</v>
      </c>
    </row>
    <row r="16" spans="1:3" ht="15.75" thickBot="1" x14ac:dyDescent="0.3"/>
    <row r="17" spans="1:3" x14ac:dyDescent="0.25">
      <c r="A17" s="24" t="s">
        <v>8</v>
      </c>
      <c r="B17" s="96" t="s">
        <v>22</v>
      </c>
      <c r="C17" s="19" t="s">
        <v>108</v>
      </c>
    </row>
    <row r="18" spans="1:3" x14ac:dyDescent="0.25">
      <c r="A18" s="20" t="s">
        <v>14</v>
      </c>
      <c r="B18" s="99">
        <v>1</v>
      </c>
      <c r="C18" s="22"/>
    </row>
    <row r="19" spans="1:3" ht="15.75" thickBot="1" x14ac:dyDescent="0.3">
      <c r="A19" s="21" t="s">
        <v>15</v>
      </c>
      <c r="B19" s="100">
        <v>1.2</v>
      </c>
      <c r="C19" s="23" t="s">
        <v>110</v>
      </c>
    </row>
    <row r="20" spans="1:3" ht="15.75" thickBot="1" x14ac:dyDescent="0.3"/>
    <row r="21" spans="1:3" x14ac:dyDescent="0.25">
      <c r="A21" s="24" t="s">
        <v>25</v>
      </c>
      <c r="B21" s="96" t="s">
        <v>22</v>
      </c>
      <c r="C21" s="19" t="s">
        <v>108</v>
      </c>
    </row>
    <row r="22" spans="1:3" x14ac:dyDescent="0.25">
      <c r="A22" s="20" t="s">
        <v>20</v>
      </c>
      <c r="B22" s="99">
        <v>0.5</v>
      </c>
      <c r="C22" s="22" t="s">
        <v>111</v>
      </c>
    </row>
    <row r="23" spans="1:3" ht="15.75" thickBot="1" x14ac:dyDescent="0.3">
      <c r="A23" s="21" t="s">
        <v>21</v>
      </c>
      <c r="B23" s="100">
        <v>1</v>
      </c>
      <c r="C23" s="23"/>
    </row>
    <row r="24" spans="1:3" ht="15.75" thickBot="1" x14ac:dyDescent="0.3">
      <c r="B24" s="1"/>
    </row>
    <row r="25" spans="1:3" x14ac:dyDescent="0.25">
      <c r="A25" s="24" t="s">
        <v>16</v>
      </c>
      <c r="B25" s="96" t="s">
        <v>22</v>
      </c>
      <c r="C25" s="19" t="s">
        <v>108</v>
      </c>
    </row>
    <row r="26" spans="1:3" x14ac:dyDescent="0.25">
      <c r="A26" s="20" t="s">
        <v>20</v>
      </c>
      <c r="B26" s="99">
        <v>1.2</v>
      </c>
      <c r="C26" s="22" t="s">
        <v>112</v>
      </c>
    </row>
    <row r="27" spans="1:3" ht="15.75" thickBot="1" x14ac:dyDescent="0.3">
      <c r="A27" s="21" t="s">
        <v>21</v>
      </c>
      <c r="B27" s="100">
        <v>1</v>
      </c>
      <c r="C27" s="23"/>
    </row>
    <row r="28" spans="1:3" ht="15.75" thickBot="1" x14ac:dyDescent="0.3"/>
    <row r="29" spans="1:3" x14ac:dyDescent="0.25">
      <c r="A29" s="24" t="s">
        <v>19</v>
      </c>
      <c r="B29" s="96" t="s">
        <v>22</v>
      </c>
      <c r="C29" s="19" t="s">
        <v>108</v>
      </c>
    </row>
    <row r="30" spans="1:3" x14ac:dyDescent="0.25">
      <c r="A30" s="71" t="s">
        <v>10</v>
      </c>
      <c r="B30" s="97">
        <v>0</v>
      </c>
      <c r="C30" s="22"/>
    </row>
    <row r="31" spans="1:3" x14ac:dyDescent="0.25">
      <c r="A31" s="71" t="s">
        <v>99</v>
      </c>
      <c r="B31" s="97">
        <v>0.3</v>
      </c>
      <c r="C31" s="22" t="s">
        <v>113</v>
      </c>
    </row>
    <row r="32" spans="1:3" ht="15.75" thickBot="1" x14ac:dyDescent="0.3">
      <c r="A32" s="87" t="s">
        <v>100</v>
      </c>
      <c r="B32" s="98">
        <v>0.5</v>
      </c>
      <c r="C32" s="23" t="s">
        <v>113</v>
      </c>
    </row>
    <row r="34" spans="1:1" x14ac:dyDescent="0.25">
      <c r="A34" s="4"/>
    </row>
  </sheetData>
  <sheetProtection algorithmName="SHA-512" hashValue="Vw/Djz3CTl5zce2JLi3w9szqHqmpegqXFnd/5wMFi2DnDlWhyhvpElEezvDKZCNboBgS1lriO60MFQ2iDtOG3w==" saltValue="zfXqKiTUcDPgWHWwDhBe9g==" spinCount="100000" sheet="1" objects="1" scenarios="1"/>
  <mergeCells count="1">
    <mergeCell ref="A1:C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6"/>
  <sheetViews>
    <sheetView topLeftCell="A13" workbookViewId="0">
      <selection activeCell="C35" sqref="C35"/>
    </sheetView>
  </sheetViews>
  <sheetFormatPr defaultRowHeight="12.75" x14ac:dyDescent="0.2"/>
  <cols>
    <col min="1" max="1" width="26.7109375" style="26" customWidth="1"/>
    <col min="2" max="2" width="10.7109375" style="26" customWidth="1"/>
    <col min="3" max="3" width="10.7109375" style="62" customWidth="1"/>
    <col min="4" max="4" width="44.7109375" style="26" customWidth="1"/>
    <col min="5" max="8" width="9.140625" style="26"/>
    <col min="9" max="9" width="4.7109375" style="26" customWidth="1"/>
    <col min="10" max="10" width="6.7109375" style="26" customWidth="1"/>
    <col min="11" max="16384" width="9.140625" style="26"/>
  </cols>
  <sheetData>
    <row r="1" spans="1:4" ht="30" customHeight="1" thickBot="1" x14ac:dyDescent="0.45">
      <c r="A1" s="110" t="s">
        <v>17</v>
      </c>
      <c r="B1" s="110"/>
      <c r="C1" s="110"/>
      <c r="D1" s="110"/>
    </row>
    <row r="2" spans="1:4" ht="18" customHeight="1" x14ac:dyDescent="0.2"/>
    <row r="3" spans="1:4" ht="24" thickBot="1" x14ac:dyDescent="0.4">
      <c r="A3" s="111" t="s">
        <v>47</v>
      </c>
      <c r="B3" s="111"/>
      <c r="C3" s="111"/>
      <c r="D3" s="111"/>
    </row>
    <row r="4" spans="1:4" x14ac:dyDescent="0.2">
      <c r="A4" s="27" t="s">
        <v>4</v>
      </c>
      <c r="B4" s="84">
        <v>20</v>
      </c>
      <c r="C4" s="63"/>
      <c r="D4" s="27" t="s">
        <v>81</v>
      </c>
    </row>
    <row r="5" spans="1:4" x14ac:dyDescent="0.2">
      <c r="A5" s="28" t="s">
        <v>63</v>
      </c>
      <c r="B5" s="85">
        <v>50</v>
      </c>
      <c r="C5" s="49"/>
      <c r="D5" s="28" t="s">
        <v>81</v>
      </c>
    </row>
    <row r="6" spans="1:4" x14ac:dyDescent="0.2">
      <c r="A6" s="29" t="s">
        <v>50</v>
      </c>
      <c r="B6" s="85">
        <v>60</v>
      </c>
      <c r="C6" s="64"/>
      <c r="D6" s="29" t="s">
        <v>81</v>
      </c>
    </row>
    <row r="7" spans="1:4" x14ac:dyDescent="0.2">
      <c r="A7" s="28" t="s">
        <v>51</v>
      </c>
      <c r="B7" s="85">
        <v>80</v>
      </c>
      <c r="C7" s="49"/>
      <c r="D7" s="28" t="s">
        <v>81</v>
      </c>
    </row>
    <row r="8" spans="1:4" x14ac:dyDescent="0.2">
      <c r="A8" s="29" t="s">
        <v>52</v>
      </c>
      <c r="B8" s="85">
        <v>100</v>
      </c>
      <c r="C8" s="64"/>
      <c r="D8" s="29" t="s">
        <v>81</v>
      </c>
    </row>
    <row r="9" spans="1:4" x14ac:dyDescent="0.2">
      <c r="A9" s="30" t="s">
        <v>5</v>
      </c>
      <c r="B9" s="86">
        <v>50</v>
      </c>
      <c r="C9" s="65"/>
      <c r="D9" s="30" t="s">
        <v>81</v>
      </c>
    </row>
    <row r="10" spans="1:4" x14ac:dyDescent="0.2">
      <c r="A10" s="31"/>
      <c r="B10" s="32"/>
      <c r="C10" s="66"/>
      <c r="D10" s="31"/>
    </row>
    <row r="11" spans="1:4" ht="24" thickBot="1" x14ac:dyDescent="0.4">
      <c r="A11" s="111" t="s">
        <v>68</v>
      </c>
      <c r="B11" s="111"/>
      <c r="C11" s="111"/>
      <c r="D11" s="111"/>
    </row>
    <row r="12" spans="1:4" x14ac:dyDescent="0.2">
      <c r="A12" s="33" t="s">
        <v>71</v>
      </c>
      <c r="B12" s="93">
        <v>0.05</v>
      </c>
      <c r="C12" s="67"/>
      <c r="D12" s="33" t="s">
        <v>70</v>
      </c>
    </row>
    <row r="13" spans="1:4" x14ac:dyDescent="0.2">
      <c r="A13" s="31" t="s">
        <v>72</v>
      </c>
      <c r="B13" s="93">
        <v>0.1</v>
      </c>
      <c r="C13" s="66"/>
      <c r="D13" s="31" t="s">
        <v>70</v>
      </c>
    </row>
    <row r="14" spans="1:4" x14ac:dyDescent="0.2">
      <c r="A14" s="33" t="s">
        <v>73</v>
      </c>
      <c r="B14" s="93">
        <v>0.05</v>
      </c>
      <c r="C14" s="67"/>
      <c r="D14" s="33" t="s">
        <v>70</v>
      </c>
    </row>
    <row r="15" spans="1:4" x14ac:dyDescent="0.2">
      <c r="A15" s="28" t="s">
        <v>74</v>
      </c>
      <c r="B15" s="94">
        <v>0.1</v>
      </c>
      <c r="C15" s="49"/>
      <c r="D15" s="28" t="s">
        <v>70</v>
      </c>
    </row>
    <row r="16" spans="1:4" x14ac:dyDescent="0.2">
      <c r="A16" s="55" t="s">
        <v>97</v>
      </c>
      <c r="B16" s="95">
        <v>0.2</v>
      </c>
      <c r="C16" s="68"/>
      <c r="D16" s="55" t="s">
        <v>70</v>
      </c>
    </row>
    <row r="17" spans="1:11" x14ac:dyDescent="0.2">
      <c r="A17" s="31"/>
      <c r="B17" s="31"/>
      <c r="C17" s="66"/>
      <c r="D17" s="31"/>
    </row>
    <row r="18" spans="1:11" ht="24" thickBot="1" x14ac:dyDescent="0.4">
      <c r="A18" s="111" t="s">
        <v>53</v>
      </c>
      <c r="B18" s="111"/>
      <c r="C18" s="111"/>
      <c r="D18" s="111"/>
    </row>
    <row r="19" spans="1:11" x14ac:dyDescent="0.2">
      <c r="A19" s="33" t="s">
        <v>55</v>
      </c>
      <c r="B19" s="34">
        <f>3915/2000</f>
        <v>1.9575</v>
      </c>
      <c r="C19" s="67"/>
      <c r="D19" s="33"/>
    </row>
    <row r="20" spans="1:11" x14ac:dyDescent="0.2">
      <c r="A20" s="31" t="s">
        <v>54</v>
      </c>
      <c r="B20" s="35">
        <f>36*36*36</f>
        <v>46656</v>
      </c>
      <c r="C20" s="66"/>
      <c r="D20" s="31"/>
    </row>
    <row r="21" spans="1:11" x14ac:dyDescent="0.2">
      <c r="A21" s="33" t="s">
        <v>57</v>
      </c>
      <c r="B21" s="36">
        <v>12</v>
      </c>
      <c r="C21" s="67"/>
      <c r="D21" s="33"/>
    </row>
    <row r="22" spans="1:11" x14ac:dyDescent="0.2">
      <c r="A22" s="30" t="s">
        <v>58</v>
      </c>
      <c r="B22" s="37">
        <f>12*5280</f>
        <v>63360</v>
      </c>
      <c r="C22" s="65"/>
      <c r="D22" s="30"/>
    </row>
    <row r="23" spans="1:11" x14ac:dyDescent="0.2">
      <c r="A23" s="31"/>
      <c r="B23" s="31"/>
      <c r="C23" s="66"/>
      <c r="D23" s="31"/>
    </row>
    <row r="24" spans="1:11" ht="24" thickBot="1" x14ac:dyDescent="0.4">
      <c r="A24" s="111" t="s">
        <v>77</v>
      </c>
      <c r="B24" s="111"/>
      <c r="C24" s="111"/>
      <c r="D24" s="111"/>
    </row>
    <row r="25" spans="1:11" x14ac:dyDescent="0.2">
      <c r="A25" s="31" t="s">
        <v>59</v>
      </c>
      <c r="B25" s="31">
        <v>24</v>
      </c>
      <c r="C25" s="66"/>
      <c r="D25" s="31"/>
      <c r="F25" s="38" t="s">
        <v>48</v>
      </c>
      <c r="G25" s="38" t="s">
        <v>49</v>
      </c>
      <c r="H25" s="38" t="s">
        <v>48</v>
      </c>
    </row>
    <row r="26" spans="1:11" x14ac:dyDescent="0.2">
      <c r="A26" s="31" t="s">
        <v>60</v>
      </c>
      <c r="B26" s="31">
        <v>8</v>
      </c>
      <c r="C26" s="66"/>
      <c r="D26" s="31"/>
      <c r="F26" s="39" t="s">
        <v>82</v>
      </c>
      <c r="G26" s="39" t="s">
        <v>83</v>
      </c>
      <c r="H26" s="39" t="s">
        <v>82</v>
      </c>
    </row>
    <row r="27" spans="1:11" s="31" customFormat="1" x14ac:dyDescent="0.2">
      <c r="A27" s="31" t="s">
        <v>78</v>
      </c>
      <c r="B27" s="31">
        <v>4</v>
      </c>
      <c r="C27" s="66"/>
      <c r="F27" s="40"/>
      <c r="G27" s="40" t="s">
        <v>85</v>
      </c>
      <c r="H27" s="40"/>
      <c r="J27" s="41" t="s">
        <v>84</v>
      </c>
      <c r="K27" s="26" t="s">
        <v>87</v>
      </c>
    </row>
    <row r="28" spans="1:11" x14ac:dyDescent="0.2">
      <c r="A28" s="31"/>
      <c r="B28" s="31"/>
      <c r="C28" s="66"/>
      <c r="D28" s="31"/>
      <c r="F28" s="42"/>
      <c r="G28" s="42" t="s">
        <v>84</v>
      </c>
      <c r="H28" s="42"/>
      <c r="J28" s="41" t="s">
        <v>85</v>
      </c>
      <c r="K28" s="26" t="s">
        <v>88</v>
      </c>
    </row>
    <row r="29" spans="1:11" s="41" customFormat="1" x14ac:dyDescent="0.2">
      <c r="A29" s="56" t="s">
        <v>65</v>
      </c>
      <c r="B29" s="56" t="s">
        <v>2</v>
      </c>
      <c r="C29" s="69" t="s">
        <v>3</v>
      </c>
      <c r="D29" s="56"/>
    </row>
    <row r="30" spans="1:11" x14ac:dyDescent="0.2">
      <c r="A30" s="26" t="s">
        <v>4</v>
      </c>
      <c r="B30" s="43">
        <f>(SUM(B26:B27)*(B25*2)*$B$22/$B$20)</f>
        <v>782.22222222222217</v>
      </c>
      <c r="C30" s="50">
        <f>B30*$B$4</f>
        <v>15644.444444444443</v>
      </c>
    </row>
    <row r="31" spans="1:11" x14ac:dyDescent="0.2">
      <c r="A31" s="26" t="s">
        <v>63</v>
      </c>
      <c r="B31" s="43">
        <f>(B26*($B$25*2))*$B$22/$B$20</f>
        <v>521.48148148148152</v>
      </c>
      <c r="C31" s="50">
        <f>B31*$B$5</f>
        <v>26074.074074074077</v>
      </c>
    </row>
    <row r="32" spans="1:11" x14ac:dyDescent="0.2">
      <c r="A32" s="26" t="s">
        <v>50</v>
      </c>
      <c r="B32" s="43">
        <f>(B27*($B$25*2))*$B$22/$B$20</f>
        <v>260.74074074074076</v>
      </c>
      <c r="C32" s="50">
        <f>B32*$B$6</f>
        <v>15644.444444444445</v>
      </c>
    </row>
    <row r="33" spans="1:4" s="41" customFormat="1" ht="12.75" customHeight="1" x14ac:dyDescent="0.2">
      <c r="A33" s="44" t="s">
        <v>64</v>
      </c>
      <c r="B33" s="45"/>
      <c r="C33" s="46">
        <f>SUM(C30:C32)</f>
        <v>57362.962962962964</v>
      </c>
      <c r="D33" s="44"/>
    </row>
    <row r="34" spans="1:4" s="28" customFormat="1" ht="12.75" customHeight="1" x14ac:dyDescent="0.2">
      <c r="A34" s="28" t="s">
        <v>71</v>
      </c>
      <c r="B34" s="48">
        <v>0.05</v>
      </c>
      <c r="C34" s="49">
        <f>$C$33*B34</f>
        <v>2868.1481481481483</v>
      </c>
    </row>
    <row r="35" spans="1:4" s="28" customFormat="1" ht="12.75" customHeight="1" x14ac:dyDescent="0.2">
      <c r="A35" s="28" t="s">
        <v>72</v>
      </c>
      <c r="B35" s="48">
        <v>0.1</v>
      </c>
      <c r="C35" s="49">
        <f>$C$33*B35</f>
        <v>5736.2962962962965</v>
      </c>
    </row>
    <row r="36" spans="1:4" s="28" customFormat="1" ht="12.75" customHeight="1" x14ac:dyDescent="0.2">
      <c r="A36" s="28" t="s">
        <v>73</v>
      </c>
      <c r="B36" s="48">
        <v>0.05</v>
      </c>
      <c r="C36" s="49">
        <f>$C$33*B36</f>
        <v>2868.1481481481483</v>
      </c>
    </row>
    <row r="37" spans="1:4" s="28" customFormat="1" ht="12.75" customHeight="1" x14ac:dyDescent="0.2">
      <c r="A37" s="28" t="s">
        <v>74</v>
      </c>
      <c r="B37" s="48">
        <v>0.1</v>
      </c>
      <c r="C37" s="49">
        <f>$C$33*B37</f>
        <v>5736.2962962962965</v>
      </c>
    </row>
    <row r="38" spans="1:4" ht="12.75" customHeight="1" x14ac:dyDescent="0.2">
      <c r="A38" s="44" t="s">
        <v>102</v>
      </c>
      <c r="B38" s="45"/>
      <c r="C38" s="46">
        <f>ROUNDUP(SUM(C33:C37),-3)</f>
        <v>75000</v>
      </c>
      <c r="D38" s="47" t="s">
        <v>69</v>
      </c>
    </row>
    <row r="39" spans="1:4" x14ac:dyDescent="0.2">
      <c r="B39" s="43"/>
      <c r="C39" s="50"/>
    </row>
    <row r="40" spans="1:4" s="41" customFormat="1" x14ac:dyDescent="0.2">
      <c r="A40" s="56" t="s">
        <v>66</v>
      </c>
      <c r="B40" s="56" t="s">
        <v>2</v>
      </c>
      <c r="C40" s="69" t="s">
        <v>3</v>
      </c>
      <c r="D40" s="56"/>
    </row>
    <row r="41" spans="1:4" x14ac:dyDescent="0.2">
      <c r="A41" s="26" t="s">
        <v>4</v>
      </c>
      <c r="B41" s="43">
        <f>((SUM(B26:B27)*12*$B$22)/$B$20)</f>
        <v>195.55555555555554</v>
      </c>
      <c r="C41" s="50">
        <f>B41*$B$4</f>
        <v>3911.1111111111109</v>
      </c>
    </row>
    <row r="42" spans="1:4" x14ac:dyDescent="0.2">
      <c r="A42" s="26" t="s">
        <v>63</v>
      </c>
      <c r="B42" s="43">
        <f>((B26*12)*$B$22/$B$20)</f>
        <v>130.37037037037038</v>
      </c>
      <c r="C42" s="50">
        <f>B42*$B$5</f>
        <v>6518.5185185185192</v>
      </c>
    </row>
    <row r="43" spans="1:4" x14ac:dyDescent="0.2">
      <c r="A43" s="26" t="s">
        <v>50</v>
      </c>
      <c r="B43" s="43">
        <f>((B27*12)*$B$22/$B$20)</f>
        <v>65.18518518518519</v>
      </c>
      <c r="C43" s="50">
        <f>B43*B6</f>
        <v>3911.1111111111113</v>
      </c>
    </row>
    <row r="44" spans="1:4" x14ac:dyDescent="0.2">
      <c r="A44" s="44" t="s">
        <v>67</v>
      </c>
      <c r="B44" s="51"/>
      <c r="C44" s="46">
        <f>SUM(C41:C43)</f>
        <v>14340.740740740741</v>
      </c>
      <c r="D44" s="47" t="s">
        <v>76</v>
      </c>
    </row>
    <row r="45" spans="1:4" s="28" customFormat="1" ht="12.75" customHeight="1" x14ac:dyDescent="0.2">
      <c r="A45" s="28" t="s">
        <v>71</v>
      </c>
      <c r="B45" s="48">
        <v>0.05</v>
      </c>
      <c r="C45" s="49">
        <f>$C$44*B45</f>
        <v>717.03703703703707</v>
      </c>
    </row>
    <row r="46" spans="1:4" s="28" customFormat="1" ht="12.75" customHeight="1" x14ac:dyDescent="0.2">
      <c r="A46" s="28" t="s">
        <v>72</v>
      </c>
      <c r="B46" s="48">
        <v>0.1</v>
      </c>
      <c r="C46" s="49">
        <f t="shared" ref="C46:C48" si="0">$C$44*B46</f>
        <v>1434.0740740740741</v>
      </c>
    </row>
    <row r="47" spans="1:4" s="28" customFormat="1" ht="12.75" customHeight="1" x14ac:dyDescent="0.2">
      <c r="A47" s="28" t="s">
        <v>73</v>
      </c>
      <c r="B47" s="48">
        <v>0.05</v>
      </c>
      <c r="C47" s="49">
        <f t="shared" si="0"/>
        <v>717.03703703703707</v>
      </c>
    </row>
    <row r="48" spans="1:4" s="28" customFormat="1" ht="12.75" customHeight="1" x14ac:dyDescent="0.2">
      <c r="A48" s="28" t="s">
        <v>74</v>
      </c>
      <c r="B48" s="48">
        <v>0.1</v>
      </c>
      <c r="C48" s="49">
        <f t="shared" si="0"/>
        <v>1434.0740740740741</v>
      </c>
    </row>
    <row r="49" spans="1:11" ht="12.75" customHeight="1" x14ac:dyDescent="0.2">
      <c r="A49" s="44" t="s">
        <v>101</v>
      </c>
      <c r="B49" s="45"/>
      <c r="C49" s="46">
        <f>ROUNDUP(SUM(C44:C48),-3)</f>
        <v>19000</v>
      </c>
      <c r="D49" s="47" t="s">
        <v>69</v>
      </c>
    </row>
    <row r="51" spans="1:11" ht="24" thickBot="1" x14ac:dyDescent="0.4">
      <c r="A51" s="111" t="s">
        <v>56</v>
      </c>
      <c r="B51" s="111"/>
      <c r="C51" s="111"/>
      <c r="D51" s="111"/>
    </row>
    <row r="52" spans="1:11" x14ac:dyDescent="0.2">
      <c r="A52" s="26" t="s">
        <v>59</v>
      </c>
      <c r="B52" s="26">
        <v>24</v>
      </c>
      <c r="F52" s="38" t="s">
        <v>48</v>
      </c>
      <c r="G52" s="38" t="s">
        <v>49</v>
      </c>
      <c r="H52" s="38" t="s">
        <v>48</v>
      </c>
    </row>
    <row r="53" spans="1:11" x14ac:dyDescent="0.2">
      <c r="A53" s="52" t="s">
        <v>60</v>
      </c>
      <c r="B53" s="52">
        <v>12</v>
      </c>
      <c r="C53" s="70"/>
      <c r="D53" s="52"/>
      <c r="F53" s="39" t="s">
        <v>82</v>
      </c>
      <c r="G53" s="39" t="s">
        <v>83</v>
      </c>
      <c r="H53" s="39" t="s">
        <v>82</v>
      </c>
    </row>
    <row r="54" spans="1:11" s="31" customFormat="1" x14ac:dyDescent="0.2">
      <c r="A54" s="31" t="s">
        <v>61</v>
      </c>
      <c r="B54" s="31">
        <v>4</v>
      </c>
      <c r="C54" s="66"/>
      <c r="F54" s="112" t="s">
        <v>85</v>
      </c>
      <c r="G54" s="53" t="s">
        <v>90</v>
      </c>
      <c r="H54" s="112" t="s">
        <v>85</v>
      </c>
      <c r="J54" s="41" t="s">
        <v>84</v>
      </c>
      <c r="K54" s="26" t="s">
        <v>87</v>
      </c>
    </row>
    <row r="55" spans="1:11" x14ac:dyDescent="0.2">
      <c r="A55" s="52" t="s">
        <v>62</v>
      </c>
      <c r="B55" s="52">
        <v>2</v>
      </c>
      <c r="C55" s="70"/>
      <c r="D55" s="52"/>
      <c r="F55" s="112"/>
      <c r="G55" s="54" t="s">
        <v>89</v>
      </c>
      <c r="H55" s="112"/>
      <c r="J55" s="41" t="s">
        <v>85</v>
      </c>
      <c r="K55" s="26" t="s">
        <v>88</v>
      </c>
    </row>
    <row r="56" spans="1:11" x14ac:dyDescent="0.2">
      <c r="F56" s="42"/>
      <c r="G56" s="42" t="s">
        <v>84</v>
      </c>
      <c r="H56" s="42"/>
      <c r="J56" s="41" t="s">
        <v>89</v>
      </c>
      <c r="K56" s="26" t="s">
        <v>91</v>
      </c>
    </row>
    <row r="57" spans="1:11" x14ac:dyDescent="0.2">
      <c r="A57" s="113" t="s">
        <v>65</v>
      </c>
      <c r="B57" s="113"/>
      <c r="C57" s="113"/>
      <c r="D57" s="113"/>
      <c r="J57" s="41" t="s">
        <v>90</v>
      </c>
      <c r="K57" s="26" t="s">
        <v>92</v>
      </c>
    </row>
    <row r="58" spans="1:11" x14ac:dyDescent="0.2">
      <c r="B58" s="26" t="s">
        <v>2</v>
      </c>
      <c r="C58" s="62" t="s">
        <v>3</v>
      </c>
    </row>
    <row r="59" spans="1:11" x14ac:dyDescent="0.2">
      <c r="A59" s="26" t="s">
        <v>4</v>
      </c>
      <c r="B59" s="43">
        <f>(SUM(B53:B55)*(B52*2)*$B$22/$B$20)</f>
        <v>1173.3333333333333</v>
      </c>
      <c r="C59" s="50">
        <f>B59*$B$4</f>
        <v>23466.666666666664</v>
      </c>
    </row>
    <row r="60" spans="1:11" x14ac:dyDescent="0.2">
      <c r="A60" s="26" t="s">
        <v>63</v>
      </c>
      <c r="B60" s="43">
        <f>(B53*($B$25*2))*$B$22/$B$20</f>
        <v>782.22222222222217</v>
      </c>
      <c r="C60" s="50">
        <f>B60*$B$5</f>
        <v>39111.111111111109</v>
      </c>
    </row>
    <row r="61" spans="1:11" x14ac:dyDescent="0.2">
      <c r="A61" s="26" t="s">
        <v>50</v>
      </c>
      <c r="B61" s="43">
        <f>(SUM(B54:B55)*($B$25*2))*$B$22/$B$20</f>
        <v>391.11111111111109</v>
      </c>
      <c r="C61" s="50">
        <f>B61*$B$6</f>
        <v>23466.666666666664</v>
      </c>
      <c r="D61" s="26" t="s">
        <v>75</v>
      </c>
    </row>
    <row r="62" spans="1:11" s="41" customFormat="1" x14ac:dyDescent="0.2">
      <c r="A62" s="44" t="s">
        <v>64</v>
      </c>
      <c r="B62" s="45"/>
      <c r="C62" s="46">
        <f>SUM(C59:C61)</f>
        <v>86044.444444444438</v>
      </c>
      <c r="D62" s="47" t="s">
        <v>69</v>
      </c>
      <c r="F62" s="26"/>
      <c r="G62" s="26"/>
      <c r="H62" s="26"/>
    </row>
    <row r="63" spans="1:11" s="28" customFormat="1" ht="12.75" customHeight="1" x14ac:dyDescent="0.2">
      <c r="A63" s="28" t="s">
        <v>71</v>
      </c>
      <c r="B63" s="48">
        <v>0.05</v>
      </c>
      <c r="C63" s="49">
        <f>$C$62*B63</f>
        <v>4302.2222222222217</v>
      </c>
    </row>
    <row r="64" spans="1:11" s="28" customFormat="1" ht="12.75" customHeight="1" x14ac:dyDescent="0.2">
      <c r="A64" s="28" t="s">
        <v>72</v>
      </c>
      <c r="B64" s="48">
        <v>0.1</v>
      </c>
      <c r="C64" s="49">
        <f>$C$62*B64</f>
        <v>8604.4444444444434</v>
      </c>
    </row>
    <row r="65" spans="1:8" s="28" customFormat="1" ht="12.75" customHeight="1" x14ac:dyDescent="0.2">
      <c r="A65" s="28" t="s">
        <v>73</v>
      </c>
      <c r="B65" s="48">
        <v>0.05</v>
      </c>
      <c r="C65" s="49">
        <f>$C$62*B65</f>
        <v>4302.2222222222217</v>
      </c>
    </row>
    <row r="66" spans="1:8" s="28" customFormat="1" ht="12.75" customHeight="1" x14ac:dyDescent="0.2">
      <c r="A66" s="28" t="s">
        <v>74</v>
      </c>
      <c r="B66" s="48">
        <v>0.1</v>
      </c>
      <c r="C66" s="49">
        <f>$C$62*B66</f>
        <v>8604.4444444444434</v>
      </c>
    </row>
    <row r="67" spans="1:8" ht="12.75" customHeight="1" x14ac:dyDescent="0.2">
      <c r="A67" s="44" t="s">
        <v>102</v>
      </c>
      <c r="B67" s="45"/>
      <c r="C67" s="46">
        <f>ROUNDUP(SUM(C62:C66),-3)</f>
        <v>112000</v>
      </c>
      <c r="D67" s="47" t="s">
        <v>69</v>
      </c>
    </row>
    <row r="68" spans="1:8" x14ac:dyDescent="0.2">
      <c r="B68" s="43"/>
      <c r="C68" s="50"/>
      <c r="F68" s="41"/>
      <c r="G68" s="41"/>
      <c r="H68" s="41"/>
    </row>
    <row r="69" spans="1:8" x14ac:dyDescent="0.2">
      <c r="A69" s="113" t="s">
        <v>66</v>
      </c>
      <c r="B69" s="113"/>
      <c r="C69" s="113"/>
      <c r="D69" s="113"/>
    </row>
    <row r="70" spans="1:8" x14ac:dyDescent="0.2">
      <c r="A70" s="26" t="s">
        <v>4</v>
      </c>
      <c r="B70" s="43">
        <f>(((B53+B54+B55)*12*$B$22)/$B$20)</f>
        <v>293.33333333333331</v>
      </c>
      <c r="C70" s="50">
        <f>B70*$B$4</f>
        <v>5866.6666666666661</v>
      </c>
    </row>
    <row r="71" spans="1:8" x14ac:dyDescent="0.2">
      <c r="A71" s="26" t="s">
        <v>63</v>
      </c>
      <c r="B71" s="43">
        <f>((B53*12)*$B$22/$B$20)</f>
        <v>195.55555555555554</v>
      </c>
      <c r="C71" s="50">
        <f>B71*$B$5</f>
        <v>9777.7777777777774</v>
      </c>
    </row>
    <row r="72" spans="1:8" x14ac:dyDescent="0.2">
      <c r="A72" s="26" t="s">
        <v>51</v>
      </c>
      <c r="B72" s="43">
        <f>((B54*12)*$B$22/$B$20)*$B$19</f>
        <v>127.60000000000001</v>
      </c>
      <c r="C72" s="50">
        <f>B72*$B$7</f>
        <v>10208</v>
      </c>
    </row>
    <row r="73" spans="1:8" x14ac:dyDescent="0.2">
      <c r="A73" s="26" t="s">
        <v>52</v>
      </c>
      <c r="B73" s="43">
        <f>((B55*12)*$B$22/$B$20)*$B$19</f>
        <v>63.800000000000004</v>
      </c>
      <c r="C73" s="50">
        <f>B73*$B$8</f>
        <v>6380</v>
      </c>
    </row>
    <row r="74" spans="1:8" s="41" customFormat="1" x14ac:dyDescent="0.2">
      <c r="A74" s="44" t="s">
        <v>67</v>
      </c>
      <c r="B74" s="51"/>
      <c r="C74" s="46">
        <f>SUM(C70:C73)</f>
        <v>32232.444444444445</v>
      </c>
      <c r="D74" s="47" t="s">
        <v>76</v>
      </c>
    </row>
    <row r="75" spans="1:8" s="28" customFormat="1" ht="12.75" customHeight="1" x14ac:dyDescent="0.2">
      <c r="A75" s="28" t="s">
        <v>71</v>
      </c>
      <c r="B75" s="48">
        <v>0.05</v>
      </c>
      <c r="C75" s="49">
        <f>$C$74*B75</f>
        <v>1611.6222222222223</v>
      </c>
    </row>
    <row r="76" spans="1:8" s="28" customFormat="1" ht="12.75" customHeight="1" x14ac:dyDescent="0.2">
      <c r="A76" s="28" t="s">
        <v>72</v>
      </c>
      <c r="B76" s="48">
        <v>0.1</v>
      </c>
      <c r="C76" s="49">
        <f>$C$74*B76</f>
        <v>3223.2444444444445</v>
      </c>
    </row>
    <row r="77" spans="1:8" s="28" customFormat="1" ht="12.75" customHeight="1" x14ac:dyDescent="0.2">
      <c r="A77" s="28" t="s">
        <v>73</v>
      </c>
      <c r="B77" s="48">
        <v>0.05</v>
      </c>
      <c r="C77" s="49">
        <f>$C$74*B77</f>
        <v>1611.6222222222223</v>
      </c>
    </row>
    <row r="78" spans="1:8" s="28" customFormat="1" ht="12.75" customHeight="1" x14ac:dyDescent="0.2">
      <c r="A78" s="28" t="s">
        <v>74</v>
      </c>
      <c r="B78" s="48">
        <v>0.1</v>
      </c>
      <c r="C78" s="49">
        <f>$C$74*B78</f>
        <v>3223.2444444444445</v>
      </c>
    </row>
    <row r="79" spans="1:8" ht="12.75" customHeight="1" x14ac:dyDescent="0.2">
      <c r="A79" s="44" t="s">
        <v>101</v>
      </c>
      <c r="B79" s="45"/>
      <c r="C79" s="46">
        <f>ROUNDUP(SUM(C74:C78),-3)</f>
        <v>42000</v>
      </c>
      <c r="D79" s="47" t="s">
        <v>69</v>
      </c>
    </row>
    <row r="81" spans="1:11" ht="24" thickBot="1" x14ac:dyDescent="0.4">
      <c r="A81" s="111" t="s">
        <v>79</v>
      </c>
      <c r="B81" s="111"/>
      <c r="C81" s="111"/>
      <c r="D81" s="111"/>
    </row>
    <row r="82" spans="1:11" x14ac:dyDescent="0.2">
      <c r="A82" s="26" t="s">
        <v>59</v>
      </c>
      <c r="B82" s="26">
        <v>24</v>
      </c>
      <c r="F82" s="38" t="s">
        <v>48</v>
      </c>
      <c r="G82" s="38" t="s">
        <v>49</v>
      </c>
      <c r="H82" s="38" t="s">
        <v>48</v>
      </c>
    </row>
    <row r="83" spans="1:11" x14ac:dyDescent="0.2">
      <c r="A83" s="52" t="s">
        <v>60</v>
      </c>
      <c r="B83" s="52">
        <v>7</v>
      </c>
      <c r="C83" s="70"/>
      <c r="D83" s="52"/>
      <c r="F83" s="39" t="s">
        <v>82</v>
      </c>
      <c r="G83" s="39" t="s">
        <v>83</v>
      </c>
      <c r="H83" s="39" t="s">
        <v>82</v>
      </c>
    </row>
    <row r="84" spans="1:11" x14ac:dyDescent="0.2">
      <c r="A84" s="31" t="s">
        <v>80</v>
      </c>
      <c r="B84" s="31">
        <v>5</v>
      </c>
      <c r="C84" s="66"/>
      <c r="D84" s="31"/>
      <c r="F84" s="40" t="s">
        <v>85</v>
      </c>
      <c r="G84" s="53" t="s">
        <v>86</v>
      </c>
      <c r="H84" s="40" t="s">
        <v>85</v>
      </c>
      <c r="J84" s="41" t="s">
        <v>84</v>
      </c>
      <c r="K84" s="26" t="s">
        <v>87</v>
      </c>
    </row>
    <row r="85" spans="1:11" x14ac:dyDescent="0.2">
      <c r="F85" s="42"/>
      <c r="G85" s="42" t="s">
        <v>84</v>
      </c>
      <c r="H85" s="42"/>
      <c r="J85" s="41" t="s">
        <v>85</v>
      </c>
      <c r="K85" s="26" t="s">
        <v>88</v>
      </c>
    </row>
    <row r="86" spans="1:11" x14ac:dyDescent="0.2">
      <c r="A86" s="56" t="s">
        <v>65</v>
      </c>
      <c r="B86" s="56" t="s">
        <v>2</v>
      </c>
      <c r="C86" s="69" t="s">
        <v>3</v>
      </c>
      <c r="D86" s="56"/>
      <c r="J86" s="41" t="s">
        <v>86</v>
      </c>
      <c r="K86" s="26" t="s">
        <v>1</v>
      </c>
    </row>
    <row r="87" spans="1:11" x14ac:dyDescent="0.2">
      <c r="A87" s="26" t="s">
        <v>4</v>
      </c>
      <c r="B87" s="43">
        <f>(SUM(B83:B84)*(B82*2)*$B$22/$B$20)</f>
        <v>782.22222222222217</v>
      </c>
      <c r="C87" s="50">
        <f>B87*$B$4</f>
        <v>15644.444444444443</v>
      </c>
    </row>
    <row r="88" spans="1:11" x14ac:dyDescent="0.2">
      <c r="A88" s="26" t="s">
        <v>63</v>
      </c>
      <c r="B88" s="43">
        <f>(B83*($B$25*2))*$B$22/$B$20</f>
        <v>456.2962962962963</v>
      </c>
      <c r="C88" s="50">
        <f>B88*$B$5</f>
        <v>22814.814814814814</v>
      </c>
    </row>
    <row r="89" spans="1:11" x14ac:dyDescent="0.2">
      <c r="A89" s="26" t="s">
        <v>50</v>
      </c>
      <c r="B89" s="43">
        <f>(B84*($B$25*2))*$B$22/$B$20</f>
        <v>325.92592592592592</v>
      </c>
      <c r="C89" s="50">
        <f>B89*$B$6</f>
        <v>19555.555555555555</v>
      </c>
      <c r="D89" s="26" t="s">
        <v>75</v>
      </c>
    </row>
    <row r="90" spans="1:11" s="41" customFormat="1" x14ac:dyDescent="0.2">
      <c r="A90" s="44" t="s">
        <v>64</v>
      </c>
      <c r="B90" s="45"/>
      <c r="C90" s="46">
        <f>SUM(C87:C89)</f>
        <v>58014.81481481481</v>
      </c>
      <c r="D90" s="47" t="s">
        <v>69</v>
      </c>
    </row>
    <row r="91" spans="1:11" s="28" customFormat="1" ht="12.75" customHeight="1" x14ac:dyDescent="0.2">
      <c r="A91" s="28" t="s">
        <v>71</v>
      </c>
      <c r="B91" s="48">
        <v>0.05</v>
      </c>
      <c r="C91" s="49">
        <f>$C$90*B91</f>
        <v>2900.7407407407409</v>
      </c>
    </row>
    <row r="92" spans="1:11" s="28" customFormat="1" ht="12.75" customHeight="1" x14ac:dyDescent="0.2">
      <c r="A92" s="28" t="s">
        <v>72</v>
      </c>
      <c r="B92" s="48">
        <v>0.1</v>
      </c>
      <c r="C92" s="49">
        <f>$C$90*B92</f>
        <v>5801.4814814814818</v>
      </c>
    </row>
    <row r="93" spans="1:11" s="28" customFormat="1" ht="12.75" customHeight="1" x14ac:dyDescent="0.2">
      <c r="A93" s="28" t="s">
        <v>73</v>
      </c>
      <c r="B93" s="48">
        <v>0.05</v>
      </c>
      <c r="C93" s="49">
        <f>$C$90*B93</f>
        <v>2900.7407407407409</v>
      </c>
    </row>
    <row r="94" spans="1:11" s="28" customFormat="1" ht="12.75" customHeight="1" x14ac:dyDescent="0.2">
      <c r="A94" s="28" t="s">
        <v>74</v>
      </c>
      <c r="B94" s="48">
        <v>0.1</v>
      </c>
      <c r="C94" s="49">
        <f>$C$90*B94</f>
        <v>5801.4814814814818</v>
      </c>
    </row>
    <row r="95" spans="1:11" ht="12.75" customHeight="1" x14ac:dyDescent="0.2">
      <c r="A95" s="44" t="s">
        <v>102</v>
      </c>
      <c r="B95" s="45"/>
      <c r="C95" s="46">
        <f>ROUNDUP(SUM(C90:C94),-3)</f>
        <v>76000</v>
      </c>
      <c r="D95" s="47" t="s">
        <v>69</v>
      </c>
    </row>
    <row r="96" spans="1:11" x14ac:dyDescent="0.2">
      <c r="B96" s="43"/>
      <c r="C96" s="50"/>
    </row>
    <row r="97" spans="1:4" s="41" customFormat="1" x14ac:dyDescent="0.2">
      <c r="A97" s="56" t="s">
        <v>66</v>
      </c>
      <c r="B97" s="56" t="s">
        <v>2</v>
      </c>
      <c r="C97" s="69" t="s">
        <v>3</v>
      </c>
      <c r="D97" s="56"/>
    </row>
    <row r="98" spans="1:4" x14ac:dyDescent="0.2">
      <c r="A98" s="26" t="s">
        <v>4</v>
      </c>
      <c r="B98" s="43">
        <f>((SUM(B83:B84)*12*$B$22)/$B$20)</f>
        <v>195.55555555555554</v>
      </c>
      <c r="C98" s="50">
        <f>B98*$B$4</f>
        <v>3911.1111111111109</v>
      </c>
    </row>
    <row r="99" spans="1:4" x14ac:dyDescent="0.2">
      <c r="A99" s="26" t="s">
        <v>63</v>
      </c>
      <c r="B99" s="43">
        <f>((B83*12)*$B$22/$B$20)</f>
        <v>114.07407407407408</v>
      </c>
      <c r="C99" s="50">
        <f>B99*$B$5</f>
        <v>5703.7037037037035</v>
      </c>
    </row>
    <row r="100" spans="1:4" x14ac:dyDescent="0.2">
      <c r="A100" s="26" t="s">
        <v>5</v>
      </c>
      <c r="B100" s="43">
        <f>5280/9</f>
        <v>586.66666666666663</v>
      </c>
      <c r="C100" s="50">
        <f>B100*$B$9</f>
        <v>29333.333333333332</v>
      </c>
    </row>
    <row r="101" spans="1:4" s="41" customFormat="1" x14ac:dyDescent="0.2">
      <c r="A101" s="44" t="s">
        <v>67</v>
      </c>
      <c r="B101" s="51"/>
      <c r="C101" s="46">
        <f>SUM(C98:C100)</f>
        <v>38948.148148148146</v>
      </c>
      <c r="D101" s="47" t="s">
        <v>76</v>
      </c>
    </row>
    <row r="102" spans="1:4" s="28" customFormat="1" ht="12.75" customHeight="1" x14ac:dyDescent="0.2">
      <c r="A102" s="28" t="s">
        <v>71</v>
      </c>
      <c r="B102" s="48">
        <v>0.05</v>
      </c>
      <c r="C102" s="49">
        <f>$C$101*B102</f>
        <v>1947.4074074074074</v>
      </c>
    </row>
    <row r="103" spans="1:4" s="28" customFormat="1" ht="12.75" customHeight="1" x14ac:dyDescent="0.2">
      <c r="A103" s="28" t="s">
        <v>72</v>
      </c>
      <c r="B103" s="48">
        <v>0.1</v>
      </c>
      <c r="C103" s="49">
        <f t="shared" ref="C103:C105" si="1">$C$101*B103</f>
        <v>3894.8148148148148</v>
      </c>
    </row>
    <row r="104" spans="1:4" s="28" customFormat="1" ht="12.75" customHeight="1" x14ac:dyDescent="0.2">
      <c r="A104" s="28" t="s">
        <v>73</v>
      </c>
      <c r="B104" s="48">
        <v>0.05</v>
      </c>
      <c r="C104" s="49">
        <f t="shared" si="1"/>
        <v>1947.4074074074074</v>
      </c>
    </row>
    <row r="105" spans="1:4" s="28" customFormat="1" ht="12.75" customHeight="1" x14ac:dyDescent="0.2">
      <c r="A105" s="28" t="s">
        <v>74</v>
      </c>
      <c r="B105" s="48">
        <v>0.1</v>
      </c>
      <c r="C105" s="49">
        <f t="shared" si="1"/>
        <v>3894.8148148148148</v>
      </c>
    </row>
    <row r="106" spans="1:4" ht="12.75" customHeight="1" x14ac:dyDescent="0.2">
      <c r="A106" s="44" t="s">
        <v>101</v>
      </c>
      <c r="B106" s="45"/>
      <c r="C106" s="46">
        <f>ROUNDUP(SUM(C101:C105),-3)</f>
        <v>51000</v>
      </c>
      <c r="D106" s="47" t="s">
        <v>69</v>
      </c>
    </row>
  </sheetData>
  <sheetProtection algorithmName="SHA-512" hashValue="yq544yYIk6cwFdB46rynldK1+4+ESq5lmAXDJdiHm1biaPWM4Jdmk5rakKQ4BFh2o5kcCH3quypptgUvmhPdGg==" saltValue="kvw53T5ZIxP1Y2VaZEBaQQ==" spinCount="100000" sheet="1" objects="1" scenarios="1"/>
  <mergeCells count="11">
    <mergeCell ref="A1:D1"/>
    <mergeCell ref="A24:D24"/>
    <mergeCell ref="A18:D18"/>
    <mergeCell ref="A3:D3"/>
    <mergeCell ref="A11:D11"/>
    <mergeCell ref="A81:D81"/>
    <mergeCell ref="F54:F55"/>
    <mergeCell ref="H54:H55"/>
    <mergeCell ref="A51:D51"/>
    <mergeCell ref="A57:D57"/>
    <mergeCell ref="A69:D6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Cost Calculator</vt:lpstr>
      <vt:lpstr>Back Office</vt:lpstr>
      <vt:lpstr>Unit Costs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Loughran</dc:creator>
  <cp:lastModifiedBy>Burgoa, Brandon S</cp:lastModifiedBy>
  <dcterms:created xsi:type="dcterms:W3CDTF">2019-01-07T17:41:31Z</dcterms:created>
  <dcterms:modified xsi:type="dcterms:W3CDTF">2019-07-11T14:46:49Z</dcterms:modified>
</cp:coreProperties>
</file>