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heckCompatibility="1"/>
  <mc:AlternateContent xmlns:mc="http://schemas.openxmlformats.org/markup-compatibility/2006">
    <mc:Choice Requires="x15">
      <x15ac:absPath xmlns:x15ac="http://schemas.microsoft.com/office/spreadsheetml/2010/11/ac" url="S:\ICSB Meetings\Board Meetings\2017\39 Thirtynineth Board Meeting 06.07.17\"/>
    </mc:Choice>
  </mc:AlternateContent>
  <workbookProtection workbookAlgorithmName="SHA-512" workbookHashValue="uKjELlFC8/LciUTmDtkRVvn0UPvDfD6v3CQb3xDceF/lQApIQ75y9pXepaa7CJA/ewF4zzLnQGlqWsrm1mn+nw==" workbookSaltValue="c7Nv70+sBBbp6X58aTBLLA==" workbookSpinCount="100000" lockStructure="1"/>
  <bookViews>
    <workbookView xWindow="0" yWindow="0" windowWidth="20490" windowHeight="7155" tabRatio="911" activeTab="5"/>
  </bookViews>
  <sheets>
    <sheet name="INSTRUCTIONS" sheetId="22" r:id="rId1"/>
    <sheet name="School Enrollment Projection" sheetId="1" r:id="rId2"/>
    <sheet name="6 YEAR TOTAL" sheetId="2" r:id="rId3"/>
    <sheet name="YEAR 6 - Budget and Cash Flow" sheetId="21" r:id="rId4"/>
    <sheet name="Staffing Year 6" sheetId="15" r:id="rId5"/>
    <sheet name="YEAR 6" sheetId="16" r:id="rId6"/>
    <sheet name="Staffing Year 7" sheetId="5" r:id="rId7"/>
    <sheet name="YEAR 7" sheetId="23" r:id="rId8"/>
    <sheet name="Staffing Year 8" sheetId="27" r:id="rId9"/>
    <sheet name="YEAR 8" sheetId="24" r:id="rId10"/>
    <sheet name="Staffing Year 9" sheetId="28" r:id="rId11"/>
    <sheet name="YEAR 9" sheetId="25" r:id="rId12"/>
    <sheet name="Staffing Year 10" sheetId="29" r:id="rId13"/>
    <sheet name="YEAR 10" sheetId="26" r:id="rId14"/>
  </sheets>
  <definedNames>
    <definedName name="_xlnm.Print_Area" localSheetId="13">'YEAR 10'!$A$1:$C$141</definedName>
    <definedName name="_xlnm.Print_Area" localSheetId="5">'YEAR 6'!$A$1:$C$141</definedName>
    <definedName name="_xlnm.Print_Area" localSheetId="3">'YEAR 6 - Budget and Cash Flow'!$A$1:$R$126</definedName>
    <definedName name="_xlnm.Print_Area" localSheetId="7">'YEAR 7'!$A$1:$C$141</definedName>
    <definedName name="_xlnm.Print_Area" localSheetId="9">'YEAR 8'!$A$1:$C$141</definedName>
    <definedName name="_xlnm.Print_Area" localSheetId="11">'YEAR 9'!$A$1:$C$141</definedName>
    <definedName name="_xlnm.Print_Titles" localSheetId="3">'YEAR 6 - Budget and Cash Flow'!$4:$4</definedName>
  </definedNames>
  <calcPr calcId="152511"/>
  <customWorkbookViews>
    <customWorkbookView name="Matthew Shaw - Personal View" guid="{4EB07C87-A9F4-403E-8C0F-324FFB87E1FF}" mergeInterval="0" personalView="1" maximized="1" windowWidth="1676" windowHeight="825" tabRatio="911" activeSheetId="3"/>
    <customWorkbookView name="ca10146 - Personal View" guid="{78108F25-E067-40AC-B09B-6FE5187CDB4B}" mergeInterval="0" personalView="1" maximized="1" xWindow="1" yWindow="1" windowWidth="1276" windowHeight="803" tabRatio="911" activeSheetId="4"/>
  </customWorkbookViews>
</workbook>
</file>

<file path=xl/calcChain.xml><?xml version="1.0" encoding="utf-8"?>
<calcChain xmlns="http://schemas.openxmlformats.org/spreadsheetml/2006/main">
  <c r="S22" i="21" l="1"/>
  <c r="S23" i="21"/>
  <c r="S24" i="21"/>
  <c r="S25" i="21"/>
  <c r="S26" i="21"/>
  <c r="S27" i="21"/>
  <c r="S29" i="21"/>
  <c r="S30" i="21"/>
  <c r="S31" i="21"/>
  <c r="S32" i="21"/>
  <c r="S33" i="21"/>
  <c r="S34" i="21"/>
  <c r="S35" i="21"/>
  <c r="S36" i="21"/>
  <c r="S37" i="21"/>
  <c r="S38" i="21"/>
  <c r="S39" i="21"/>
  <c r="S40" i="21"/>
  <c r="S41" i="21"/>
  <c r="S42" i="21"/>
  <c r="S43" i="21"/>
  <c r="S44" i="21"/>
  <c r="S45" i="21"/>
  <c r="S46" i="21"/>
  <c r="S47" i="21"/>
  <c r="S48" i="21"/>
  <c r="S49" i="21"/>
  <c r="S50" i="21"/>
  <c r="S51" i="21"/>
  <c r="S52" i="21"/>
  <c r="S53" i="21"/>
  <c r="S54" i="21"/>
  <c r="S55" i="21"/>
  <c r="S56" i="21"/>
  <c r="S57" i="21"/>
  <c r="S58" i="21"/>
  <c r="S59" i="21"/>
  <c r="S60" i="21"/>
  <c r="S61" i="21"/>
  <c r="S62" i="21"/>
  <c r="S63" i="21"/>
  <c r="S64" i="21"/>
  <c r="S65" i="21"/>
  <c r="S66" i="21"/>
  <c r="S67" i="21"/>
  <c r="S68" i="21"/>
  <c r="S69" i="21"/>
  <c r="S70" i="21"/>
  <c r="S71" i="21"/>
  <c r="S72" i="21"/>
  <c r="S73" i="21"/>
  <c r="S74" i="21"/>
  <c r="S75" i="21"/>
  <c r="S76" i="21"/>
  <c r="S77" i="21"/>
  <c r="S78" i="21"/>
  <c r="S79" i="21"/>
  <c r="S80" i="21"/>
  <c r="S81" i="21"/>
  <c r="S82" i="21"/>
  <c r="S83" i="21"/>
  <c r="S84" i="21"/>
  <c r="S85" i="21"/>
  <c r="S86" i="21"/>
  <c r="S87" i="21"/>
  <c r="S88" i="21"/>
  <c r="S89" i="21"/>
  <c r="S90" i="21"/>
  <c r="S92" i="21"/>
  <c r="S93" i="21"/>
  <c r="S94" i="21"/>
  <c r="S95" i="21"/>
  <c r="S96" i="21"/>
  <c r="S97" i="21"/>
  <c r="S98" i="21"/>
  <c r="S99" i="21"/>
  <c r="S100" i="21"/>
  <c r="S101" i="21"/>
  <c r="S102" i="21"/>
  <c r="S103" i="21"/>
  <c r="S104" i="21"/>
  <c r="S105" i="21"/>
  <c r="S106" i="21"/>
  <c r="S107" i="21"/>
  <c r="S108" i="21"/>
  <c r="S109" i="21"/>
  <c r="S110" i="21"/>
  <c r="S111" i="21"/>
  <c r="S112" i="21"/>
  <c r="S113" i="21"/>
  <c r="S114" i="21"/>
  <c r="S115" i="21"/>
  <c r="S116" i="21"/>
  <c r="S117" i="21"/>
  <c r="S118" i="21"/>
  <c r="S120" i="21"/>
  <c r="S122" i="21"/>
  <c r="S123" i="21"/>
  <c r="S124" i="21"/>
  <c r="S125" i="21"/>
  <c r="S126" i="21"/>
  <c r="S127" i="21"/>
  <c r="S128" i="21"/>
  <c r="S129" i="21"/>
  <c r="S130" i="21"/>
  <c r="S131" i="21"/>
  <c r="S132" i="21"/>
  <c r="S133" i="21"/>
  <c r="S134" i="21"/>
  <c r="S135" i="21"/>
  <c r="S136" i="21"/>
  <c r="S137" i="21"/>
  <c r="S138" i="21"/>
  <c r="S140" i="21"/>
  <c r="S142" i="21"/>
  <c r="S14" i="21"/>
  <c r="S15" i="21"/>
  <c r="S16" i="21"/>
  <c r="S17" i="21"/>
  <c r="S8" i="21"/>
  <c r="S9" i="21"/>
  <c r="S10" i="21"/>
  <c r="S11" i="21"/>
  <c r="S12" i="21"/>
  <c r="S13" i="21"/>
  <c r="D13" i="21" l="1"/>
  <c r="E13" i="21"/>
  <c r="F13" i="21"/>
  <c r="G13" i="21"/>
  <c r="B134" i="16"/>
  <c r="O11" i="1" l="1"/>
  <c r="O10" i="1"/>
  <c r="O9" i="1"/>
  <c r="O8" i="1"/>
  <c r="O7" i="1"/>
  <c r="G142" i="2"/>
  <c r="G143" i="2"/>
  <c r="G140" i="2"/>
  <c r="G138" i="2"/>
  <c r="G136" i="2"/>
  <c r="G134" i="2"/>
  <c r="G133" i="2"/>
  <c r="G132" i="2"/>
  <c r="G131" i="2"/>
  <c r="G130"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5" i="2"/>
  <c r="G44" i="2"/>
  <c r="G43" i="2"/>
  <c r="G42" i="2"/>
  <c r="G41" i="2"/>
  <c r="G40" i="2"/>
  <c r="G39" i="2"/>
  <c r="G38" i="2"/>
  <c r="G36" i="2"/>
  <c r="G35" i="2"/>
  <c r="G34" i="2"/>
  <c r="G32" i="2"/>
  <c r="G31" i="2"/>
  <c r="G30" i="2"/>
  <c r="G29" i="2"/>
  <c r="G28" i="2"/>
  <c r="G27" i="2"/>
  <c r="G26" i="2"/>
  <c r="G25" i="2"/>
  <c r="G24" i="2"/>
  <c r="G23" i="2"/>
  <c r="G22" i="2"/>
  <c r="G21" i="2"/>
  <c r="G20" i="2"/>
  <c r="G18" i="2"/>
  <c r="G17" i="2"/>
  <c r="G16" i="2"/>
  <c r="G15" i="2"/>
  <c r="G13" i="2"/>
  <c r="G12" i="2"/>
  <c r="G11" i="2"/>
  <c r="G10" i="2"/>
  <c r="G9" i="2"/>
  <c r="G8" i="2"/>
  <c r="G7" i="2"/>
  <c r="G5" i="2"/>
  <c r="F140" i="2"/>
  <c r="F138" i="2"/>
  <c r="F136" i="2"/>
  <c r="F134" i="2"/>
  <c r="F133" i="2"/>
  <c r="F132" i="2"/>
  <c r="F131" i="2"/>
  <c r="F130"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5" i="2"/>
  <c r="F44" i="2"/>
  <c r="F43" i="2"/>
  <c r="F42" i="2"/>
  <c r="F41" i="2"/>
  <c r="F40" i="2"/>
  <c r="F39" i="2"/>
  <c r="F38" i="2"/>
  <c r="F36" i="2"/>
  <c r="F35" i="2"/>
  <c r="F34" i="2"/>
  <c r="F32" i="2"/>
  <c r="F31" i="2"/>
  <c r="F30" i="2"/>
  <c r="F29" i="2"/>
  <c r="F28" i="2"/>
  <c r="F27" i="2"/>
  <c r="F26" i="2"/>
  <c r="F25" i="2"/>
  <c r="F24" i="2"/>
  <c r="F23" i="2"/>
  <c r="F22" i="2"/>
  <c r="F21" i="2"/>
  <c r="F20" i="2"/>
  <c r="F18" i="2"/>
  <c r="F17" i="2"/>
  <c r="F16" i="2"/>
  <c r="F15" i="2"/>
  <c r="F13" i="2"/>
  <c r="F12" i="2"/>
  <c r="F11" i="2"/>
  <c r="F10" i="2"/>
  <c r="F9" i="2"/>
  <c r="F8" i="2"/>
  <c r="F7" i="2"/>
  <c r="E140" i="2"/>
  <c r="E138" i="2"/>
  <c r="E136" i="2"/>
  <c r="E134" i="2"/>
  <c r="E133" i="2"/>
  <c r="E132" i="2"/>
  <c r="E131" i="2"/>
  <c r="E130"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5" i="2"/>
  <c r="E44" i="2"/>
  <c r="E43" i="2"/>
  <c r="E42" i="2"/>
  <c r="E41" i="2"/>
  <c r="E40" i="2"/>
  <c r="E39" i="2"/>
  <c r="E38" i="2"/>
  <c r="E36" i="2"/>
  <c r="E35" i="2"/>
  <c r="E34" i="2"/>
  <c r="E32" i="2"/>
  <c r="E31" i="2"/>
  <c r="E30" i="2"/>
  <c r="E29" i="2"/>
  <c r="E28" i="2"/>
  <c r="E27" i="2"/>
  <c r="E26" i="2"/>
  <c r="E25" i="2"/>
  <c r="E24" i="2"/>
  <c r="E23" i="2"/>
  <c r="E22" i="2"/>
  <c r="E21" i="2"/>
  <c r="E20" i="2"/>
  <c r="E18" i="2"/>
  <c r="E17" i="2"/>
  <c r="E16" i="2"/>
  <c r="E15" i="2"/>
  <c r="E13" i="2"/>
  <c r="E12" i="2"/>
  <c r="E11" i="2"/>
  <c r="E10" i="2"/>
  <c r="E9" i="2"/>
  <c r="E8" i="2"/>
  <c r="E7" i="2"/>
  <c r="D140" i="2"/>
  <c r="D138" i="2"/>
  <c r="D136" i="2"/>
  <c r="D134" i="2"/>
  <c r="D133" i="2"/>
  <c r="D132" i="2"/>
  <c r="D131" i="2"/>
  <c r="D130"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5" i="2"/>
  <c r="D44" i="2"/>
  <c r="D43" i="2"/>
  <c r="D42" i="2"/>
  <c r="D41" i="2"/>
  <c r="D40" i="2"/>
  <c r="D39" i="2"/>
  <c r="D38" i="2"/>
  <c r="D36" i="2"/>
  <c r="D35" i="2"/>
  <c r="D34" i="2"/>
  <c r="D32" i="2"/>
  <c r="D31" i="2"/>
  <c r="D30" i="2"/>
  <c r="D29" i="2"/>
  <c r="D28" i="2"/>
  <c r="D27" i="2"/>
  <c r="D26" i="2"/>
  <c r="D25" i="2"/>
  <c r="D24" i="2"/>
  <c r="D23" i="2"/>
  <c r="D22" i="2"/>
  <c r="D21" i="2"/>
  <c r="D20" i="2"/>
  <c r="D18" i="2"/>
  <c r="D17" i="2"/>
  <c r="D16" i="2"/>
  <c r="D15" i="2"/>
  <c r="D13" i="2"/>
  <c r="D12" i="2"/>
  <c r="D11" i="2"/>
  <c r="D10" i="2"/>
  <c r="D9" i="2"/>
  <c r="D8" i="2"/>
  <c r="D7" i="2"/>
  <c r="C7" i="2"/>
  <c r="C8" i="2"/>
  <c r="C9" i="2"/>
  <c r="C10" i="2"/>
  <c r="C11" i="2"/>
  <c r="C12" i="2"/>
  <c r="C13" i="2"/>
  <c r="C15" i="2"/>
  <c r="C16" i="2"/>
  <c r="C17" i="2"/>
  <c r="C18" i="2"/>
  <c r="C20" i="2"/>
  <c r="C21" i="2"/>
  <c r="C22" i="2"/>
  <c r="C23" i="2"/>
  <c r="C24" i="2"/>
  <c r="C25" i="2"/>
  <c r="C26" i="2"/>
  <c r="C27" i="2"/>
  <c r="C28" i="2"/>
  <c r="C29" i="2"/>
  <c r="C30" i="2"/>
  <c r="C31" i="2"/>
  <c r="C32" i="2"/>
  <c r="C34" i="2"/>
  <c r="C35" i="2"/>
  <c r="C36" i="2"/>
  <c r="C38" i="2"/>
  <c r="C39" i="2"/>
  <c r="C40" i="2"/>
  <c r="C41" i="2"/>
  <c r="C42" i="2"/>
  <c r="C43" i="2"/>
  <c r="C44" i="2"/>
  <c r="C45"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10" i="2"/>
  <c r="C111" i="2"/>
  <c r="C112" i="2"/>
  <c r="C113" i="2"/>
  <c r="C114" i="2"/>
  <c r="C115" i="2"/>
  <c r="C116" i="2"/>
  <c r="C117" i="2"/>
  <c r="C118" i="2"/>
  <c r="C119" i="2"/>
  <c r="C120" i="2"/>
  <c r="C121" i="2"/>
  <c r="C122" i="2"/>
  <c r="C123" i="2"/>
  <c r="C124" i="2"/>
  <c r="C126" i="2"/>
  <c r="C127" i="2"/>
  <c r="C128" i="2"/>
  <c r="C130" i="2"/>
  <c r="C131" i="2"/>
  <c r="C132" i="2"/>
  <c r="C133" i="2"/>
  <c r="C134" i="2"/>
  <c r="C136" i="2"/>
  <c r="C138" i="2"/>
  <c r="C140"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5" i="2"/>
  <c r="A36" i="2"/>
  <c r="A37" i="2"/>
  <c r="A38" i="2"/>
  <c r="A39" i="2"/>
  <c r="A40" i="2"/>
  <c r="A41" i="2"/>
  <c r="A42" i="2"/>
  <c r="A43" i="2"/>
  <c r="A44" i="2"/>
  <c r="A45" i="2"/>
  <c r="A46" i="2"/>
  <c r="A48" i="2"/>
  <c r="A49" i="2"/>
  <c r="A50" i="2"/>
  <c r="A51" i="2"/>
  <c r="A52" i="2"/>
  <c r="A53" i="2"/>
  <c r="A54" i="2"/>
  <c r="A55" i="2"/>
  <c r="A56" i="2"/>
  <c r="A57" i="2"/>
  <c r="A58" i="2"/>
  <c r="A59" i="2"/>
  <c r="A60" i="2"/>
  <c r="A61" i="2"/>
  <c r="A62" i="2"/>
  <c r="A63" i="2"/>
  <c r="A65" i="2"/>
  <c r="A66" i="2"/>
  <c r="A67" i="2"/>
  <c r="A68" i="2"/>
  <c r="A69" i="2"/>
  <c r="A70" i="2"/>
  <c r="A71" i="2"/>
  <c r="A72" i="2"/>
  <c r="A73" i="2"/>
  <c r="A74" i="2"/>
  <c r="A75" i="2"/>
  <c r="A77" i="2"/>
  <c r="A78" i="2"/>
  <c r="A79" i="2"/>
  <c r="A80" i="2"/>
  <c r="A81" i="2"/>
  <c r="A82" i="2"/>
  <c r="A83" i="2"/>
  <c r="A84" i="2"/>
  <c r="A85" i="2"/>
  <c r="A86" i="2"/>
  <c r="A88" i="2"/>
  <c r="A89" i="2"/>
  <c r="A90" i="2"/>
  <c r="A91" i="2"/>
  <c r="A92" i="2"/>
  <c r="A93" i="2"/>
  <c r="A94" i="2"/>
  <c r="A95" i="2"/>
  <c r="A96" i="2"/>
  <c r="A97" i="2"/>
  <c r="A98" i="2"/>
  <c r="A99" i="2"/>
  <c r="A100" i="2"/>
  <c r="A101" i="2"/>
  <c r="A102" i="2"/>
  <c r="A103" i="2"/>
  <c r="A104" i="2"/>
  <c r="A105" i="2"/>
  <c r="A106" i="2"/>
  <c r="A107" i="2"/>
  <c r="A108" i="2"/>
  <c r="A109" i="2"/>
  <c r="A111" i="2"/>
  <c r="A112" i="2"/>
  <c r="A113" i="2"/>
  <c r="A114" i="2"/>
  <c r="A115" i="2"/>
  <c r="A116" i="2"/>
  <c r="A117" i="2"/>
  <c r="A118" i="2"/>
  <c r="A119" i="2"/>
  <c r="A120" i="2"/>
  <c r="A121" i="2"/>
  <c r="A122" i="2"/>
  <c r="A123" i="2"/>
  <c r="A124" i="2"/>
  <c r="A125" i="2"/>
  <c r="A127" i="2"/>
  <c r="A128" i="2"/>
  <c r="A129" i="2"/>
  <c r="A130" i="2"/>
  <c r="A131" i="2"/>
  <c r="A132" i="2"/>
  <c r="A133" i="2"/>
  <c r="A134" i="2"/>
  <c r="A135" i="2"/>
  <c r="A137" i="2"/>
  <c r="A139" i="2"/>
  <c r="A141" i="2"/>
  <c r="A4" i="2"/>
  <c r="C8" i="5" l="1"/>
  <c r="C9" i="5"/>
  <c r="C10" i="5"/>
  <c r="C11" i="5"/>
  <c r="C12" i="5"/>
  <c r="C13" i="5"/>
  <c r="C14" i="5"/>
  <c r="C15" i="5"/>
  <c r="C16" i="5"/>
  <c r="C17" i="5"/>
  <c r="C18" i="5"/>
  <c r="C19" i="5"/>
  <c r="C7" i="5"/>
  <c r="C8" i="27"/>
  <c r="C9" i="27"/>
  <c r="C10" i="27"/>
  <c r="C11" i="27"/>
  <c r="C12" i="27"/>
  <c r="C13" i="27"/>
  <c r="C14" i="27"/>
  <c r="C15" i="27"/>
  <c r="C16" i="27"/>
  <c r="C17" i="27"/>
  <c r="C18" i="27"/>
  <c r="C19" i="27"/>
  <c r="C7" i="27"/>
  <c r="C8" i="28"/>
  <c r="C9" i="28"/>
  <c r="C10" i="28"/>
  <c r="C11" i="28"/>
  <c r="C12" i="28"/>
  <c r="C13" i="28"/>
  <c r="C14" i="28"/>
  <c r="C15" i="28"/>
  <c r="C16" i="28"/>
  <c r="C17" i="28"/>
  <c r="C18" i="28"/>
  <c r="C19" i="28"/>
  <c r="C7" i="28"/>
  <c r="C8" i="29"/>
  <c r="C9" i="29"/>
  <c r="C10" i="29"/>
  <c r="C11" i="29"/>
  <c r="C12" i="29"/>
  <c r="C13" i="29"/>
  <c r="C14" i="29"/>
  <c r="C15" i="29"/>
  <c r="C16" i="29"/>
  <c r="C17" i="29"/>
  <c r="C18" i="29"/>
  <c r="C19" i="29"/>
  <c r="C7" i="29"/>
  <c r="D23" i="29"/>
  <c r="F23" i="29" s="1"/>
  <c r="D22" i="29"/>
  <c r="F22" i="29" s="1"/>
  <c r="D21" i="29"/>
  <c r="F21" i="29" s="1"/>
  <c r="D20" i="29"/>
  <c r="F20" i="29" s="1"/>
  <c r="B19" i="29"/>
  <c r="D19" i="29" s="1"/>
  <c r="E19" i="29" s="1"/>
  <c r="A19" i="29"/>
  <c r="B18" i="29"/>
  <c r="D18" i="29" s="1"/>
  <c r="A18" i="29"/>
  <c r="B17" i="29"/>
  <c r="D17" i="29" s="1"/>
  <c r="A17" i="29"/>
  <c r="B16" i="29"/>
  <c r="A16" i="29"/>
  <c r="B15" i="29"/>
  <c r="A15" i="29"/>
  <c r="B14" i="29"/>
  <c r="D14" i="29" s="1"/>
  <c r="A14" i="29"/>
  <c r="B13" i="29"/>
  <c r="D13" i="29" s="1"/>
  <c r="E13" i="29" s="1"/>
  <c r="A13" i="29"/>
  <c r="B12" i="29"/>
  <c r="A12" i="29"/>
  <c r="B11" i="29"/>
  <c r="A11" i="29"/>
  <c r="B10" i="29"/>
  <c r="D10" i="29" s="1"/>
  <c r="A10" i="29"/>
  <c r="B9" i="29"/>
  <c r="D9" i="29" s="1"/>
  <c r="E9" i="29" s="1"/>
  <c r="A9" i="29"/>
  <c r="B8" i="29"/>
  <c r="A8" i="29"/>
  <c r="B7" i="29"/>
  <c r="A7" i="29"/>
  <c r="A5" i="29"/>
  <c r="D23" i="28"/>
  <c r="F23" i="28" s="1"/>
  <c r="D22" i="28"/>
  <c r="F22" i="28" s="1"/>
  <c r="D21" i="28"/>
  <c r="F21" i="28" s="1"/>
  <c r="D20" i="28"/>
  <c r="F20" i="28" s="1"/>
  <c r="B19" i="28"/>
  <c r="D19" i="28" s="1"/>
  <c r="A19" i="28"/>
  <c r="B18" i="28"/>
  <c r="D18" i="28" s="1"/>
  <c r="A18" i="28"/>
  <c r="B17" i="28"/>
  <c r="A17" i="28"/>
  <c r="B16" i="28"/>
  <c r="A16" i="28"/>
  <c r="B15" i="28"/>
  <c r="D15" i="28" s="1"/>
  <c r="A15" i="28"/>
  <c r="B14" i="28"/>
  <c r="D14" i="28" s="1"/>
  <c r="A14" i="28"/>
  <c r="B13" i="28"/>
  <c r="A13" i="28"/>
  <c r="B12" i="28"/>
  <c r="A12" i="28"/>
  <c r="B11" i="28"/>
  <c r="D11" i="28" s="1"/>
  <c r="E11" i="28" s="1"/>
  <c r="A11" i="28"/>
  <c r="B10" i="28"/>
  <c r="D10" i="28" s="1"/>
  <c r="A10" i="28"/>
  <c r="B9" i="28"/>
  <c r="A9" i="28"/>
  <c r="B8" i="28"/>
  <c r="A8" i="28"/>
  <c r="B7" i="28"/>
  <c r="A7" i="28"/>
  <c r="A5" i="28"/>
  <c r="D27" i="27"/>
  <c r="F27" i="27" s="1"/>
  <c r="D26" i="27"/>
  <c r="F26" i="27" s="1"/>
  <c r="D25" i="27"/>
  <c r="F25" i="27" s="1"/>
  <c r="D24" i="27"/>
  <c r="F24" i="27" s="1"/>
  <c r="D23" i="27"/>
  <c r="F23" i="27" s="1"/>
  <c r="D22" i="27"/>
  <c r="F22" i="27" s="1"/>
  <c r="D21" i="27"/>
  <c r="F21" i="27" s="1"/>
  <c r="D20" i="27"/>
  <c r="F20" i="27" s="1"/>
  <c r="B19" i="27"/>
  <c r="A19" i="27"/>
  <c r="B18" i="27"/>
  <c r="A18" i="27"/>
  <c r="B17" i="27"/>
  <c r="D17" i="27" s="1"/>
  <c r="A17" i="27"/>
  <c r="B16" i="27"/>
  <c r="D16" i="27" s="1"/>
  <c r="A16" i="27"/>
  <c r="B15" i="27"/>
  <c r="A15" i="27"/>
  <c r="B14" i="27"/>
  <c r="A14" i="27"/>
  <c r="B13" i="27"/>
  <c r="D13" i="27" s="1"/>
  <c r="E13" i="27" s="1"/>
  <c r="A13" i="27"/>
  <c r="B12" i="27"/>
  <c r="D12" i="27" s="1"/>
  <c r="A12" i="27"/>
  <c r="B11" i="27"/>
  <c r="A11" i="27"/>
  <c r="B10" i="27"/>
  <c r="A10" i="27"/>
  <c r="B9" i="27"/>
  <c r="D9" i="27" s="1"/>
  <c r="E9" i="27" s="1"/>
  <c r="A9" i="27"/>
  <c r="B8" i="27"/>
  <c r="D8" i="27" s="1"/>
  <c r="A8" i="27"/>
  <c r="B7" i="27"/>
  <c r="D7" i="27" s="1"/>
  <c r="E7" i="27" s="1"/>
  <c r="A7" i="27"/>
  <c r="A5" i="27"/>
  <c r="A8" i="5"/>
  <c r="B8" i="5"/>
  <c r="D8" i="5" s="1"/>
  <c r="E8" i="5" s="1"/>
  <c r="A9" i="5"/>
  <c r="B9" i="5"/>
  <c r="D9" i="5" s="1"/>
  <c r="A10" i="5"/>
  <c r="B10" i="5"/>
  <c r="A11" i="5"/>
  <c r="B11" i="5"/>
  <c r="A12" i="5"/>
  <c r="B12" i="5"/>
  <c r="D12" i="5"/>
  <c r="E12" i="5" s="1"/>
  <c r="A13" i="5"/>
  <c r="B13" i="5"/>
  <c r="D13" i="5" s="1"/>
  <c r="A14" i="5"/>
  <c r="B14" i="5"/>
  <c r="A15" i="5"/>
  <c r="B15" i="5"/>
  <c r="A16" i="5"/>
  <c r="B16" i="5"/>
  <c r="D16" i="5"/>
  <c r="E16" i="5" s="1"/>
  <c r="A17" i="5"/>
  <c r="B17" i="5"/>
  <c r="D17" i="5" s="1"/>
  <c r="A18" i="5"/>
  <c r="B18" i="5"/>
  <c r="D18" i="5" s="1"/>
  <c r="E18" i="5" s="1"/>
  <c r="A19" i="5"/>
  <c r="B19" i="5"/>
  <c r="B7" i="5"/>
  <c r="A5" i="5"/>
  <c r="A7" i="5"/>
  <c r="B53" i="26"/>
  <c r="B53" i="25"/>
  <c r="B53" i="24"/>
  <c r="B134" i="26"/>
  <c r="B125" i="26"/>
  <c r="B109" i="26"/>
  <c r="B102" i="26"/>
  <c r="B86" i="26"/>
  <c r="B75" i="26"/>
  <c r="B52" i="26"/>
  <c r="B134" i="25"/>
  <c r="B125" i="25"/>
  <c r="B109" i="25"/>
  <c r="B102" i="25"/>
  <c r="B86" i="25"/>
  <c r="B75" i="25"/>
  <c r="B63" i="25"/>
  <c r="B52" i="25"/>
  <c r="B134" i="24"/>
  <c r="B125" i="24"/>
  <c r="B102" i="24"/>
  <c r="B109" i="24" s="1"/>
  <c r="B86" i="24"/>
  <c r="B75" i="24"/>
  <c r="B52" i="24"/>
  <c r="B63" i="24" s="1"/>
  <c r="B134" i="23"/>
  <c r="B125" i="23"/>
  <c r="B102" i="23"/>
  <c r="B109" i="23" s="1"/>
  <c r="B86" i="23"/>
  <c r="B75" i="23"/>
  <c r="B52" i="23"/>
  <c r="B63" i="23" s="1"/>
  <c r="I133" i="21"/>
  <c r="H133" i="21"/>
  <c r="Q115" i="21"/>
  <c r="P115" i="21"/>
  <c r="O115" i="21"/>
  <c r="N115" i="21"/>
  <c r="M115" i="21"/>
  <c r="L115" i="21"/>
  <c r="Q114" i="21"/>
  <c r="P114" i="21"/>
  <c r="O114" i="21"/>
  <c r="N114" i="21"/>
  <c r="M114" i="21"/>
  <c r="L114" i="21"/>
  <c r="E114" i="21"/>
  <c r="F114" i="21"/>
  <c r="G114" i="21"/>
  <c r="H114" i="21"/>
  <c r="I114" i="21"/>
  <c r="E115" i="21"/>
  <c r="F115" i="21"/>
  <c r="G115" i="21"/>
  <c r="H115" i="21"/>
  <c r="I115" i="21"/>
  <c r="D115" i="21"/>
  <c r="D114" i="21"/>
  <c r="A115" i="21"/>
  <c r="A116" i="21"/>
  <c r="A114" i="21"/>
  <c r="Q106" i="21"/>
  <c r="P106" i="21"/>
  <c r="O106" i="21"/>
  <c r="N106" i="21"/>
  <c r="M106" i="21"/>
  <c r="L106" i="21"/>
  <c r="Q104" i="21"/>
  <c r="P104" i="21"/>
  <c r="O104" i="21"/>
  <c r="N104" i="21"/>
  <c r="M104" i="21"/>
  <c r="L104" i="21"/>
  <c r="Q103" i="21"/>
  <c r="P103" i="21"/>
  <c r="O103" i="21"/>
  <c r="N103" i="21"/>
  <c r="M103" i="21"/>
  <c r="L103" i="21"/>
  <c r="Q101" i="21"/>
  <c r="P101" i="21"/>
  <c r="O101" i="21"/>
  <c r="N101" i="21"/>
  <c r="M101" i="21"/>
  <c r="L101" i="21"/>
  <c r="Q100" i="21"/>
  <c r="P100" i="21"/>
  <c r="O100" i="21"/>
  <c r="N100" i="21"/>
  <c r="M100" i="21"/>
  <c r="L100" i="21"/>
  <c r="Q99" i="21"/>
  <c r="P99" i="21"/>
  <c r="O99" i="21"/>
  <c r="N99" i="21"/>
  <c r="M99" i="21"/>
  <c r="L99" i="21"/>
  <c r="Q98" i="21"/>
  <c r="P98" i="21"/>
  <c r="O98" i="21"/>
  <c r="N98" i="21"/>
  <c r="M98" i="21"/>
  <c r="L98" i="21"/>
  <c r="Q97" i="21"/>
  <c r="P97" i="21"/>
  <c r="O97" i="21"/>
  <c r="N97" i="21"/>
  <c r="M97" i="21"/>
  <c r="L97" i="21"/>
  <c r="Q96" i="21"/>
  <c r="P96" i="21"/>
  <c r="O96" i="21"/>
  <c r="N96" i="21"/>
  <c r="M96" i="21"/>
  <c r="L96" i="21"/>
  <c r="E96" i="21"/>
  <c r="F96" i="21"/>
  <c r="G96" i="21"/>
  <c r="H96" i="21"/>
  <c r="I96" i="21"/>
  <c r="E97" i="21"/>
  <c r="F97" i="21"/>
  <c r="G97" i="21"/>
  <c r="H97" i="21"/>
  <c r="I97" i="21"/>
  <c r="E98" i="21"/>
  <c r="F98" i="21"/>
  <c r="G98" i="21"/>
  <c r="H98" i="21"/>
  <c r="I98" i="21"/>
  <c r="E99" i="21"/>
  <c r="F99" i="21"/>
  <c r="G99" i="21"/>
  <c r="H99" i="21"/>
  <c r="I99" i="21"/>
  <c r="E100" i="21"/>
  <c r="F100" i="21"/>
  <c r="G100" i="21"/>
  <c r="H100" i="21"/>
  <c r="I100" i="21"/>
  <c r="E101" i="21"/>
  <c r="F101" i="21"/>
  <c r="G101" i="21"/>
  <c r="H101" i="21"/>
  <c r="I101" i="21"/>
  <c r="E103" i="21"/>
  <c r="F103" i="21"/>
  <c r="G103" i="21"/>
  <c r="H103" i="21"/>
  <c r="I103" i="21"/>
  <c r="E104" i="21"/>
  <c r="F104" i="21"/>
  <c r="G104" i="21"/>
  <c r="H104" i="21"/>
  <c r="I104" i="21"/>
  <c r="E106" i="21"/>
  <c r="F106" i="21"/>
  <c r="G106" i="21"/>
  <c r="H106" i="21"/>
  <c r="I106" i="21"/>
  <c r="C96" i="21"/>
  <c r="C97" i="21"/>
  <c r="C98" i="21"/>
  <c r="C99" i="21"/>
  <c r="C100" i="21"/>
  <c r="C101" i="21"/>
  <c r="C103" i="21"/>
  <c r="C104" i="21"/>
  <c r="C106" i="21"/>
  <c r="D106" i="21"/>
  <c r="D104" i="21"/>
  <c r="D103" i="21"/>
  <c r="D101" i="21"/>
  <c r="D100" i="21"/>
  <c r="D99" i="21"/>
  <c r="D98" i="21"/>
  <c r="D97" i="21"/>
  <c r="D96" i="21"/>
  <c r="A104" i="21"/>
  <c r="A105" i="21"/>
  <c r="A106" i="21"/>
  <c r="A103" i="21"/>
  <c r="Q94" i="21"/>
  <c r="P94" i="21"/>
  <c r="O94" i="21"/>
  <c r="N94" i="21"/>
  <c r="M94" i="21"/>
  <c r="L94" i="21"/>
  <c r="E94" i="21"/>
  <c r="F94" i="21"/>
  <c r="G94" i="21"/>
  <c r="H94" i="21"/>
  <c r="I94" i="21"/>
  <c r="E95" i="21"/>
  <c r="F95" i="21"/>
  <c r="G95" i="21"/>
  <c r="H95" i="21"/>
  <c r="I95" i="21"/>
  <c r="D95" i="21"/>
  <c r="D94" i="21"/>
  <c r="N71" i="21"/>
  <c r="O71" i="21"/>
  <c r="P71" i="21"/>
  <c r="Q71" i="21"/>
  <c r="N73" i="21"/>
  <c r="O73" i="21"/>
  <c r="P73" i="21"/>
  <c r="Q73" i="21"/>
  <c r="N74" i="21"/>
  <c r="O74" i="21"/>
  <c r="P74" i="21"/>
  <c r="Q74" i="21"/>
  <c r="M74" i="21"/>
  <c r="M73" i="21"/>
  <c r="L74" i="21"/>
  <c r="L73" i="21"/>
  <c r="M71" i="21"/>
  <c r="L71" i="21"/>
  <c r="F71" i="21"/>
  <c r="G71" i="21"/>
  <c r="H71" i="21"/>
  <c r="I71" i="21"/>
  <c r="F73" i="21"/>
  <c r="G73" i="21"/>
  <c r="H73" i="21"/>
  <c r="I73" i="21"/>
  <c r="F74" i="21"/>
  <c r="G74" i="21"/>
  <c r="H74" i="21"/>
  <c r="I74" i="21"/>
  <c r="C71" i="21"/>
  <c r="D71" i="21"/>
  <c r="C73" i="21"/>
  <c r="D73" i="21"/>
  <c r="C74" i="21"/>
  <c r="D74" i="21"/>
  <c r="E73" i="21"/>
  <c r="E74" i="21"/>
  <c r="D75" i="21"/>
  <c r="E71" i="21"/>
  <c r="L72" i="21"/>
  <c r="M77" i="21"/>
  <c r="N77" i="21"/>
  <c r="O77" i="21"/>
  <c r="P77" i="21"/>
  <c r="Q77" i="21"/>
  <c r="M78" i="21"/>
  <c r="N78" i="21"/>
  <c r="O78" i="21"/>
  <c r="P78" i="21"/>
  <c r="Q78" i="21"/>
  <c r="L78" i="21"/>
  <c r="L77" i="21"/>
  <c r="F77" i="21"/>
  <c r="G77" i="21"/>
  <c r="H77" i="21"/>
  <c r="I77" i="21"/>
  <c r="F78" i="21"/>
  <c r="G78" i="21"/>
  <c r="H78" i="21"/>
  <c r="I78" i="21"/>
  <c r="C78" i="21"/>
  <c r="D78" i="21"/>
  <c r="C77" i="21"/>
  <c r="D77" i="21"/>
  <c r="E77" i="21"/>
  <c r="E78" i="21"/>
  <c r="E81" i="21"/>
  <c r="M79" i="21"/>
  <c r="N79" i="21"/>
  <c r="O79" i="21"/>
  <c r="P79" i="21"/>
  <c r="M80" i="21"/>
  <c r="N80" i="21"/>
  <c r="O80" i="21"/>
  <c r="P80" i="21"/>
  <c r="M81" i="21"/>
  <c r="N81" i="21"/>
  <c r="O81" i="21"/>
  <c r="P81" i="21"/>
  <c r="M82" i="21"/>
  <c r="N82" i="21"/>
  <c r="O82" i="21"/>
  <c r="P82" i="21"/>
  <c r="L82" i="21"/>
  <c r="L80" i="21"/>
  <c r="L79" i="21"/>
  <c r="F79" i="21"/>
  <c r="G79" i="21"/>
  <c r="H79" i="21"/>
  <c r="I79" i="21"/>
  <c r="F80" i="21"/>
  <c r="G80" i="21"/>
  <c r="H80" i="21"/>
  <c r="I80" i="21"/>
  <c r="F81" i="21"/>
  <c r="G81" i="21"/>
  <c r="H81" i="21"/>
  <c r="I81" i="21"/>
  <c r="F82" i="21"/>
  <c r="G82" i="21"/>
  <c r="H82" i="21"/>
  <c r="I82" i="21"/>
  <c r="E79" i="21"/>
  <c r="E80" i="21"/>
  <c r="E82" i="21"/>
  <c r="P85" i="21"/>
  <c r="O85" i="21"/>
  <c r="N85" i="21"/>
  <c r="M85" i="21"/>
  <c r="L85" i="21"/>
  <c r="I85" i="21"/>
  <c r="H85" i="21"/>
  <c r="G85" i="21"/>
  <c r="F85" i="21"/>
  <c r="E85" i="21"/>
  <c r="D87" i="21"/>
  <c r="A87" i="21"/>
  <c r="E76" i="21"/>
  <c r="E86" i="21"/>
  <c r="E88" i="21"/>
  <c r="E51" i="21"/>
  <c r="P53" i="21"/>
  <c r="O53" i="21"/>
  <c r="N53" i="21"/>
  <c r="M53" i="21"/>
  <c r="L53" i="21"/>
  <c r="I53" i="21"/>
  <c r="H53" i="21"/>
  <c r="G53" i="21"/>
  <c r="F53" i="21"/>
  <c r="E53" i="21"/>
  <c r="A53" i="21"/>
  <c r="A54" i="21"/>
  <c r="A55" i="21"/>
  <c r="A52" i="21"/>
  <c r="E49" i="21"/>
  <c r="E50" i="21"/>
  <c r="E52" i="21"/>
  <c r="E54" i="21"/>
  <c r="E48" i="21"/>
  <c r="E36" i="21"/>
  <c r="E37" i="21"/>
  <c r="M38" i="21"/>
  <c r="N38" i="21"/>
  <c r="O38" i="21"/>
  <c r="L38" i="21"/>
  <c r="F38" i="21"/>
  <c r="G38" i="21"/>
  <c r="H38" i="21"/>
  <c r="I38" i="21"/>
  <c r="E38" i="21"/>
  <c r="L39" i="21"/>
  <c r="E39" i="21"/>
  <c r="Q40" i="21"/>
  <c r="P40" i="21"/>
  <c r="O40" i="21"/>
  <c r="N40" i="21"/>
  <c r="M40" i="21"/>
  <c r="L40" i="21"/>
  <c r="I40" i="21"/>
  <c r="H40" i="21"/>
  <c r="G40" i="21"/>
  <c r="F40" i="21"/>
  <c r="D40" i="21"/>
  <c r="E40" i="21"/>
  <c r="P41" i="21"/>
  <c r="O41" i="21"/>
  <c r="N41" i="21"/>
  <c r="M41" i="21"/>
  <c r="L41" i="21"/>
  <c r="I41" i="21"/>
  <c r="H41" i="21"/>
  <c r="G41" i="21"/>
  <c r="F41" i="21"/>
  <c r="E41" i="21"/>
  <c r="L42" i="21"/>
  <c r="E42" i="21"/>
  <c r="A41" i="21"/>
  <c r="A42" i="21"/>
  <c r="A43" i="21"/>
  <c r="A40" i="21"/>
  <c r="E32" i="21"/>
  <c r="E33" i="21"/>
  <c r="E43" i="21"/>
  <c r="E31" i="21"/>
  <c r="Q24" i="21"/>
  <c r="P24" i="21"/>
  <c r="O24" i="21"/>
  <c r="N24" i="21"/>
  <c r="M24" i="21"/>
  <c r="L24" i="21"/>
  <c r="I24" i="21"/>
  <c r="H24" i="21"/>
  <c r="G24" i="21"/>
  <c r="F24" i="21"/>
  <c r="E24" i="21"/>
  <c r="D24" i="21"/>
  <c r="C24" i="21"/>
  <c r="D25" i="21"/>
  <c r="A25" i="21"/>
  <c r="A24" i="21"/>
  <c r="O23" i="21"/>
  <c r="N23" i="21"/>
  <c r="M23" i="21"/>
  <c r="L23" i="21"/>
  <c r="I23" i="21"/>
  <c r="H23" i="21"/>
  <c r="G23" i="21"/>
  <c r="F23" i="21"/>
  <c r="E23" i="21"/>
  <c r="A23" i="21"/>
  <c r="D22" i="21"/>
  <c r="Q11" i="21"/>
  <c r="P11" i="21"/>
  <c r="O11" i="21"/>
  <c r="N11" i="21"/>
  <c r="M11" i="21"/>
  <c r="L11" i="21"/>
  <c r="I11" i="21"/>
  <c r="H11" i="21"/>
  <c r="G11" i="21"/>
  <c r="F11" i="21"/>
  <c r="R12" i="21"/>
  <c r="Q10" i="21"/>
  <c r="P10" i="21"/>
  <c r="O10" i="21"/>
  <c r="N10" i="21"/>
  <c r="M10" i="21"/>
  <c r="R10" i="21" s="1"/>
  <c r="L10" i="21"/>
  <c r="I10" i="21"/>
  <c r="H10" i="21"/>
  <c r="G10" i="21"/>
  <c r="F10" i="21"/>
  <c r="J10" i="21" s="1"/>
  <c r="Q9" i="21"/>
  <c r="P9" i="21"/>
  <c r="O9" i="21"/>
  <c r="N9" i="21"/>
  <c r="M9" i="21"/>
  <c r="L9" i="21"/>
  <c r="I9" i="21"/>
  <c r="H9" i="21"/>
  <c r="G9" i="21"/>
  <c r="G15" i="21"/>
  <c r="H14" i="21"/>
  <c r="D8" i="28" l="1"/>
  <c r="D12" i="28"/>
  <c r="D16" i="28"/>
  <c r="E16" i="28" s="1"/>
  <c r="F16" i="28" s="1"/>
  <c r="D14" i="5"/>
  <c r="E14" i="5" s="1"/>
  <c r="F14" i="5" s="1"/>
  <c r="D10" i="5"/>
  <c r="E10" i="5" s="1"/>
  <c r="D9" i="28"/>
  <c r="D7" i="29"/>
  <c r="E7" i="29" s="1"/>
  <c r="D10" i="27"/>
  <c r="D14" i="27"/>
  <c r="E14" i="27" s="1"/>
  <c r="F14" i="27" s="1"/>
  <c r="D18" i="27"/>
  <c r="E18" i="27" s="1"/>
  <c r="F18" i="27" s="1"/>
  <c r="D13" i="28"/>
  <c r="D8" i="29"/>
  <c r="E8" i="29" s="1"/>
  <c r="D12" i="29"/>
  <c r="D17" i="28"/>
  <c r="E17" i="28" s="1"/>
  <c r="D15" i="29"/>
  <c r="E15" i="29" s="1"/>
  <c r="F15" i="29" s="1"/>
  <c r="D11" i="29"/>
  <c r="E11" i="29" s="1"/>
  <c r="D7" i="28"/>
  <c r="E7" i="28" s="1"/>
  <c r="B63" i="26"/>
  <c r="D19" i="27"/>
  <c r="E19" i="27" s="1"/>
  <c r="F19" i="27" s="1"/>
  <c r="D15" i="27"/>
  <c r="E15" i="27" s="1"/>
  <c r="F15" i="27" s="1"/>
  <c r="D11" i="27"/>
  <c r="E11" i="27" s="1"/>
  <c r="D16" i="29"/>
  <c r="E16" i="29" s="1"/>
  <c r="F16" i="29" s="1"/>
  <c r="E10" i="29"/>
  <c r="F10" i="29" s="1"/>
  <c r="E18" i="29"/>
  <c r="F18" i="29" s="1"/>
  <c r="E12" i="29"/>
  <c r="F12" i="29" s="1"/>
  <c r="E14" i="29"/>
  <c r="F14" i="29" s="1"/>
  <c r="E17" i="29"/>
  <c r="F17" i="29" s="1"/>
  <c r="F7" i="29"/>
  <c r="F9" i="29"/>
  <c r="F13" i="29"/>
  <c r="F19" i="29"/>
  <c r="E8" i="28"/>
  <c r="F8" i="28" s="1"/>
  <c r="E12" i="28"/>
  <c r="F12" i="28" s="1"/>
  <c r="E10" i="28"/>
  <c r="F10" i="28" s="1"/>
  <c r="E18" i="28"/>
  <c r="F18" i="28" s="1"/>
  <c r="E14" i="28"/>
  <c r="F14" i="28" s="1"/>
  <c r="E9" i="28"/>
  <c r="F9" i="28" s="1"/>
  <c r="E13" i="28"/>
  <c r="F13" i="28" s="1"/>
  <c r="E15" i="28"/>
  <c r="F15" i="28" s="1"/>
  <c r="E19" i="28"/>
  <c r="F19" i="28" s="1"/>
  <c r="F11" i="28"/>
  <c r="E8" i="27"/>
  <c r="E16" i="27"/>
  <c r="F16" i="27" s="1"/>
  <c r="E12" i="27"/>
  <c r="F12" i="27" s="1"/>
  <c r="E10" i="27"/>
  <c r="F10" i="27" s="1"/>
  <c r="E17" i="27"/>
  <c r="F17" i="27" s="1"/>
  <c r="F7" i="27"/>
  <c r="F9" i="27"/>
  <c r="F13" i="27"/>
  <c r="D19" i="5"/>
  <c r="E19" i="5" s="1"/>
  <c r="F19" i="5" s="1"/>
  <c r="D11" i="5"/>
  <c r="E11" i="5" s="1"/>
  <c r="F11" i="5" s="1"/>
  <c r="D15" i="5"/>
  <c r="E13" i="5"/>
  <c r="F13" i="5" s="1"/>
  <c r="E17" i="5"/>
  <c r="F17" i="5" s="1"/>
  <c r="E9" i="5"/>
  <c r="F18" i="5"/>
  <c r="F16" i="5"/>
  <c r="F12" i="5"/>
  <c r="F10" i="5"/>
  <c r="F8" i="5"/>
  <c r="R11" i="21"/>
  <c r="J11" i="21"/>
  <c r="A10" i="21"/>
  <c r="A11" i="21"/>
  <c r="A9" i="21"/>
  <c r="A8" i="21"/>
  <c r="A16" i="21"/>
  <c r="A15" i="21"/>
  <c r="A14" i="21"/>
  <c r="A13" i="21"/>
  <c r="B25" i="15"/>
  <c r="D8" i="15"/>
  <c r="E8" i="15" s="1"/>
  <c r="F8" i="15" s="1"/>
  <c r="D9" i="15"/>
  <c r="E9" i="15" s="1"/>
  <c r="D10" i="15"/>
  <c r="E10" i="15" s="1"/>
  <c r="F10" i="15" s="1"/>
  <c r="D11" i="15"/>
  <c r="E11" i="15" s="1"/>
  <c r="F11" i="15" s="1"/>
  <c r="D12" i="15"/>
  <c r="E12" i="15" s="1"/>
  <c r="F12" i="15" s="1"/>
  <c r="D13" i="15"/>
  <c r="E13" i="15" s="1"/>
  <c r="F13" i="15" s="1"/>
  <c r="D14" i="15"/>
  <c r="E14" i="15" s="1"/>
  <c r="F14" i="15" s="1"/>
  <c r="D15" i="15"/>
  <c r="E15" i="15" s="1"/>
  <c r="F15" i="15" s="1"/>
  <c r="D16" i="15"/>
  <c r="E16" i="15" s="1"/>
  <c r="F16" i="15" s="1"/>
  <c r="D7" i="15"/>
  <c r="E7" i="15" s="1"/>
  <c r="B53" i="16"/>
  <c r="B52" i="16"/>
  <c r="E34" i="21" s="1"/>
  <c r="B102" i="16"/>
  <c r="H16" i="1"/>
  <c r="H17" i="1"/>
  <c r="M17" i="1"/>
  <c r="H18" i="1"/>
  <c r="N10" i="1"/>
  <c r="N18" i="1" s="1"/>
  <c r="H19" i="1"/>
  <c r="I15" i="1"/>
  <c r="J15" i="1"/>
  <c r="K15" i="1"/>
  <c r="L15" i="1"/>
  <c r="M15" i="1"/>
  <c r="N15" i="1"/>
  <c r="H15" i="1"/>
  <c r="I9" i="1"/>
  <c r="I17" i="1" s="1"/>
  <c r="I10" i="1"/>
  <c r="I18" i="1" s="1"/>
  <c r="I11" i="1"/>
  <c r="I19" i="1" s="1"/>
  <c r="I8" i="1"/>
  <c r="J9" i="1" s="1"/>
  <c r="K8" i="1"/>
  <c r="K16" i="1" s="1"/>
  <c r="L8" i="1"/>
  <c r="L16" i="1" s="1"/>
  <c r="M8" i="1"/>
  <c r="M16" i="1" s="1"/>
  <c r="N8" i="1"/>
  <c r="N16" i="1" s="1"/>
  <c r="J8" i="1"/>
  <c r="J16" i="1" s="1"/>
  <c r="A1" i="2"/>
  <c r="J112" i="21"/>
  <c r="R112" i="21"/>
  <c r="J103" i="21"/>
  <c r="R103" i="21"/>
  <c r="J99" i="21"/>
  <c r="R99" i="21"/>
  <c r="J90" i="21"/>
  <c r="R90" i="21"/>
  <c r="J86" i="21"/>
  <c r="R86" i="21"/>
  <c r="J85" i="21"/>
  <c r="R85" i="21"/>
  <c r="J81" i="21"/>
  <c r="R81" i="21"/>
  <c r="J80" i="21"/>
  <c r="R80" i="21"/>
  <c r="J76" i="21"/>
  <c r="R76" i="21"/>
  <c r="J67" i="21"/>
  <c r="R67" i="21"/>
  <c r="J63" i="21"/>
  <c r="R63" i="21"/>
  <c r="J54" i="21"/>
  <c r="R54" i="21"/>
  <c r="J50" i="21"/>
  <c r="R50" i="21"/>
  <c r="J49" i="21"/>
  <c r="R49" i="21"/>
  <c r="J43" i="21"/>
  <c r="R43" i="21"/>
  <c r="J42" i="21"/>
  <c r="R42" i="21"/>
  <c r="J38" i="21"/>
  <c r="R38" i="21"/>
  <c r="J31" i="21"/>
  <c r="R31" i="21"/>
  <c r="J25" i="21"/>
  <c r="R25" i="21"/>
  <c r="J9" i="21"/>
  <c r="R9" i="21"/>
  <c r="R134" i="21"/>
  <c r="R133" i="21"/>
  <c r="R130" i="21"/>
  <c r="R129" i="21"/>
  <c r="R126" i="21"/>
  <c r="R125" i="21"/>
  <c r="R115" i="21"/>
  <c r="R114" i="21"/>
  <c r="R113" i="21"/>
  <c r="R110" i="21"/>
  <c r="R106" i="21"/>
  <c r="R105" i="21"/>
  <c r="R104" i="21"/>
  <c r="J104" i="21"/>
  <c r="R102" i="21"/>
  <c r="R101" i="21"/>
  <c r="R100" i="21"/>
  <c r="R98" i="21"/>
  <c r="R97" i="21"/>
  <c r="R96" i="21"/>
  <c r="R95" i="21"/>
  <c r="R94" i="21"/>
  <c r="R89" i="21"/>
  <c r="R88" i="21"/>
  <c r="R87" i="21"/>
  <c r="R83" i="21"/>
  <c r="R82" i="21"/>
  <c r="R79" i="21"/>
  <c r="R78" i="21"/>
  <c r="R77" i="21"/>
  <c r="R75" i="21"/>
  <c r="R74" i="21"/>
  <c r="J74" i="21"/>
  <c r="R73" i="21"/>
  <c r="R72" i="21"/>
  <c r="R71" i="21"/>
  <c r="R66" i="21"/>
  <c r="R65" i="21"/>
  <c r="R64" i="21"/>
  <c r="R62" i="21"/>
  <c r="R61" i="21"/>
  <c r="R60" i="21"/>
  <c r="R56" i="21"/>
  <c r="R55" i="21"/>
  <c r="R53" i="21"/>
  <c r="R52" i="21"/>
  <c r="R51" i="21"/>
  <c r="R48" i="21"/>
  <c r="R44" i="21"/>
  <c r="R41" i="21"/>
  <c r="R40" i="21"/>
  <c r="R39" i="21"/>
  <c r="R37" i="21"/>
  <c r="R36" i="21"/>
  <c r="R35" i="21"/>
  <c r="R34" i="21"/>
  <c r="R33" i="21"/>
  <c r="R32" i="21"/>
  <c r="R27" i="21"/>
  <c r="R26" i="21"/>
  <c r="R24" i="21"/>
  <c r="J24" i="21"/>
  <c r="R23" i="21"/>
  <c r="R22" i="21"/>
  <c r="R15" i="21"/>
  <c r="R14" i="21"/>
  <c r="H107" i="21"/>
  <c r="H68" i="21"/>
  <c r="H57" i="21"/>
  <c r="H45" i="21"/>
  <c r="D17" i="21"/>
  <c r="D107" i="21"/>
  <c r="D91" i="21"/>
  <c r="D68" i="21"/>
  <c r="D57" i="21"/>
  <c r="D45" i="21"/>
  <c r="D127" i="21"/>
  <c r="D131" i="21"/>
  <c r="D135" i="21"/>
  <c r="L127" i="21"/>
  <c r="L131" i="21"/>
  <c r="L135" i="21"/>
  <c r="G127" i="21"/>
  <c r="G131" i="21"/>
  <c r="G135" i="21"/>
  <c r="Q135" i="21"/>
  <c r="P135" i="21"/>
  <c r="O135" i="21"/>
  <c r="N135" i="21"/>
  <c r="M135" i="21"/>
  <c r="J135" i="21"/>
  <c r="I135" i="21"/>
  <c r="H135" i="21"/>
  <c r="F135" i="21"/>
  <c r="E135" i="21"/>
  <c r="C135" i="21"/>
  <c r="Q131" i="21"/>
  <c r="P131" i="21"/>
  <c r="P127" i="21"/>
  <c r="P137" i="21" s="1"/>
  <c r="O131" i="21"/>
  <c r="N131" i="21"/>
  <c r="M131" i="21"/>
  <c r="J131" i="21"/>
  <c r="I131" i="21"/>
  <c r="H131" i="21"/>
  <c r="F131" i="21"/>
  <c r="F127" i="21"/>
  <c r="F137" i="21" s="1"/>
  <c r="E131" i="21"/>
  <c r="C131" i="21"/>
  <c r="C127" i="21"/>
  <c r="Q127" i="21"/>
  <c r="O127" i="21"/>
  <c r="O137" i="21" s="1"/>
  <c r="N127" i="21"/>
  <c r="N137" i="21" s="1"/>
  <c r="M127" i="21"/>
  <c r="M137" i="21"/>
  <c r="J127" i="21"/>
  <c r="I127" i="21"/>
  <c r="H127" i="21"/>
  <c r="E127" i="21"/>
  <c r="J115" i="21"/>
  <c r="J114" i="21"/>
  <c r="J113" i="21"/>
  <c r="J110" i="21"/>
  <c r="J106" i="21"/>
  <c r="J105" i="21"/>
  <c r="J102" i="21"/>
  <c r="J101" i="21"/>
  <c r="J100" i="21"/>
  <c r="J98" i="21"/>
  <c r="J97" i="21"/>
  <c r="J96" i="21"/>
  <c r="J95" i="21"/>
  <c r="J94" i="21"/>
  <c r="J89" i="21"/>
  <c r="J88" i="21"/>
  <c r="J87" i="21"/>
  <c r="J83" i="21"/>
  <c r="J82" i="21"/>
  <c r="J79" i="21"/>
  <c r="J78" i="21"/>
  <c r="J77" i="21"/>
  <c r="J75" i="21"/>
  <c r="J73" i="21"/>
  <c r="J72" i="21"/>
  <c r="J71" i="21"/>
  <c r="J66" i="21"/>
  <c r="J65" i="21"/>
  <c r="J64" i="21"/>
  <c r="J62" i="21"/>
  <c r="J61" i="21"/>
  <c r="J60" i="21"/>
  <c r="J56" i="21"/>
  <c r="J55" i="21"/>
  <c r="J53" i="21"/>
  <c r="J52" i="21"/>
  <c r="J51" i="21"/>
  <c r="J48" i="21"/>
  <c r="J44" i="21"/>
  <c r="J41" i="21"/>
  <c r="J40" i="21"/>
  <c r="J39" i="21"/>
  <c r="J37" i="21"/>
  <c r="J36" i="21"/>
  <c r="J34" i="21"/>
  <c r="J33" i="21"/>
  <c r="J32" i="21"/>
  <c r="J27" i="21"/>
  <c r="J26" i="21"/>
  <c r="J23" i="21"/>
  <c r="J22" i="21"/>
  <c r="J15" i="21"/>
  <c r="J14" i="21"/>
  <c r="C28" i="21"/>
  <c r="Q45" i="21"/>
  <c r="P45" i="21"/>
  <c r="O45" i="21"/>
  <c r="N45" i="21"/>
  <c r="M45" i="21"/>
  <c r="L45" i="21"/>
  <c r="I45" i="21"/>
  <c r="G45" i="21"/>
  <c r="F45" i="21"/>
  <c r="C45" i="21"/>
  <c r="Q57" i="21"/>
  <c r="P57" i="21"/>
  <c r="O57" i="21"/>
  <c r="N57" i="21"/>
  <c r="N107" i="21"/>
  <c r="N68" i="21"/>
  <c r="M57" i="21"/>
  <c r="L57" i="21"/>
  <c r="I57" i="21"/>
  <c r="G57" i="21"/>
  <c r="F57" i="21"/>
  <c r="E57" i="21"/>
  <c r="C57" i="21"/>
  <c r="Q68" i="21"/>
  <c r="P68" i="21"/>
  <c r="O68" i="21"/>
  <c r="M68" i="21"/>
  <c r="L68" i="21"/>
  <c r="I68" i="21"/>
  <c r="G68" i="21"/>
  <c r="F68" i="21"/>
  <c r="E68" i="21"/>
  <c r="C68" i="21"/>
  <c r="Q91" i="21"/>
  <c r="L107" i="21"/>
  <c r="C91" i="21"/>
  <c r="Q107" i="21"/>
  <c r="P107" i="21"/>
  <c r="O107" i="21"/>
  <c r="M107" i="21"/>
  <c r="I107" i="21"/>
  <c r="G107" i="21"/>
  <c r="F107" i="21"/>
  <c r="E107" i="21"/>
  <c r="C107" i="21"/>
  <c r="C117" i="21"/>
  <c r="E17" i="21"/>
  <c r="B75" i="16"/>
  <c r="B125" i="16"/>
  <c r="C125" i="2" s="1"/>
  <c r="B109" i="16"/>
  <c r="C109" i="2" s="1"/>
  <c r="B86" i="16"/>
  <c r="D24" i="15"/>
  <c r="E24" i="15" s="1"/>
  <c r="F24" i="15" s="1"/>
  <c r="D23" i="15"/>
  <c r="D22" i="15"/>
  <c r="E22" i="15" s="1"/>
  <c r="F22" i="15" s="1"/>
  <c r="D21" i="15"/>
  <c r="D20" i="15"/>
  <c r="E20" i="15" s="1"/>
  <c r="F20" i="15" s="1"/>
  <c r="D19" i="15"/>
  <c r="D18" i="15"/>
  <c r="E18" i="15" s="1"/>
  <c r="F18" i="15" s="1"/>
  <c r="D17" i="15"/>
  <c r="F7" i="15"/>
  <c r="D23" i="5"/>
  <c r="F23" i="5" s="1"/>
  <c r="D22" i="5"/>
  <c r="F22" i="5" s="1"/>
  <c r="D20" i="5"/>
  <c r="F20" i="5" s="1"/>
  <c r="D21" i="5"/>
  <c r="F21" i="5" s="1"/>
  <c r="D24" i="5"/>
  <c r="F24" i="5" s="1"/>
  <c r="D25" i="5"/>
  <c r="F25" i="5" s="1"/>
  <c r="D7" i="5"/>
  <c r="B6" i="23"/>
  <c r="O15" i="1"/>
  <c r="J137" i="21"/>
  <c r="B129" i="23" l="1"/>
  <c r="D6" i="2"/>
  <c r="F11" i="29"/>
  <c r="F11" i="27"/>
  <c r="F7" i="28"/>
  <c r="F17" i="28"/>
  <c r="F24" i="28" s="1"/>
  <c r="B37" i="25" s="1"/>
  <c r="D28" i="27"/>
  <c r="D24" i="28"/>
  <c r="D24" i="29"/>
  <c r="J11" i="1"/>
  <c r="J19" i="1" s="1"/>
  <c r="N9" i="1"/>
  <c r="N17" i="1" s="1"/>
  <c r="E35" i="21"/>
  <c r="R135" i="21"/>
  <c r="O116" i="21"/>
  <c r="G116" i="21"/>
  <c r="N116" i="21"/>
  <c r="H116" i="21"/>
  <c r="Q116" i="21"/>
  <c r="M116" i="21"/>
  <c r="E116" i="21"/>
  <c r="I116" i="21"/>
  <c r="P116" i="21"/>
  <c r="L116" i="21"/>
  <c r="F116" i="21"/>
  <c r="D116" i="21"/>
  <c r="B19" i="24"/>
  <c r="E19" i="2" s="1"/>
  <c r="B6" i="16"/>
  <c r="C6" i="2" s="1"/>
  <c r="B19" i="25"/>
  <c r="F19" i="2" s="1"/>
  <c r="B14" i="24"/>
  <c r="E14" i="2" s="1"/>
  <c r="B19" i="26"/>
  <c r="G19" i="2" s="1"/>
  <c r="B14" i="25"/>
  <c r="F14" i="2" s="1"/>
  <c r="B19" i="23"/>
  <c r="D19" i="2" s="1"/>
  <c r="B14" i="26"/>
  <c r="G14" i="2" s="1"/>
  <c r="B14" i="23"/>
  <c r="D14" i="2" s="1"/>
  <c r="M84" i="21"/>
  <c r="M91" i="21" s="1"/>
  <c r="L84" i="21"/>
  <c r="F84" i="21"/>
  <c r="F91" i="21" s="1"/>
  <c r="N84" i="21"/>
  <c r="N91" i="21" s="1"/>
  <c r="G84" i="21"/>
  <c r="G91" i="21" s="1"/>
  <c r="O84" i="21"/>
  <c r="O91" i="21" s="1"/>
  <c r="H84" i="21"/>
  <c r="H91" i="21" s="1"/>
  <c r="P84" i="21"/>
  <c r="P91" i="21" s="1"/>
  <c r="I84" i="21"/>
  <c r="I91" i="21" s="1"/>
  <c r="E84" i="21"/>
  <c r="E15" i="5"/>
  <c r="F15" i="5" s="1"/>
  <c r="G137" i="21"/>
  <c r="R131" i="21"/>
  <c r="E24" i="29"/>
  <c r="F8" i="29"/>
  <c r="F24" i="29" s="1"/>
  <c r="B37" i="26" s="1"/>
  <c r="E24" i="28"/>
  <c r="E28" i="27"/>
  <c r="F8" i="27"/>
  <c r="F28" i="27" s="1"/>
  <c r="B37" i="24" s="1"/>
  <c r="D26" i="5"/>
  <c r="E7" i="5"/>
  <c r="E26" i="5" s="1"/>
  <c r="F9" i="5"/>
  <c r="I137" i="21"/>
  <c r="E137" i="21"/>
  <c r="D137" i="21"/>
  <c r="C137" i="21"/>
  <c r="R45" i="21"/>
  <c r="R68" i="21"/>
  <c r="R107" i="21"/>
  <c r="J68" i="21"/>
  <c r="C119" i="21"/>
  <c r="L137" i="21"/>
  <c r="R57" i="21"/>
  <c r="Q137" i="21"/>
  <c r="J107" i="21"/>
  <c r="H137" i="21"/>
  <c r="B63" i="16"/>
  <c r="K10" i="1"/>
  <c r="J17" i="1"/>
  <c r="F9" i="15"/>
  <c r="E19" i="15"/>
  <c r="F19" i="15" s="1"/>
  <c r="B14" i="16"/>
  <c r="C14" i="2" s="1"/>
  <c r="B19" i="16"/>
  <c r="C19" i="2" s="1"/>
  <c r="D25" i="15"/>
  <c r="E17" i="15"/>
  <c r="F17" i="15" s="1"/>
  <c r="E21" i="15"/>
  <c r="F21" i="15" s="1"/>
  <c r="R127" i="21"/>
  <c r="R137" i="21" s="1"/>
  <c r="E23" i="15"/>
  <c r="F23" i="15" s="1"/>
  <c r="J57" i="21"/>
  <c r="J10" i="1"/>
  <c r="L9" i="1"/>
  <c r="I16" i="1"/>
  <c r="O16" i="1" s="1"/>
  <c r="K9" i="1"/>
  <c r="B46" i="24" l="1"/>
  <c r="E46" i="2" s="1"/>
  <c r="E37" i="2"/>
  <c r="B46" i="25"/>
  <c r="F46" i="2" s="1"/>
  <c r="F37" i="2"/>
  <c r="B46" i="26"/>
  <c r="G46" i="2" s="1"/>
  <c r="G37" i="2"/>
  <c r="S91" i="21"/>
  <c r="B135" i="23"/>
  <c r="D135" i="2" s="1"/>
  <c r="D129" i="2"/>
  <c r="O13" i="21"/>
  <c r="N13" i="21"/>
  <c r="I13" i="21"/>
  <c r="L13" i="21"/>
  <c r="Q13" i="21"/>
  <c r="M13" i="21"/>
  <c r="H13" i="21"/>
  <c r="P13" i="21"/>
  <c r="R116" i="21"/>
  <c r="B6" i="25"/>
  <c r="F6" i="2" s="1"/>
  <c r="B6" i="24"/>
  <c r="E6" i="2" s="1"/>
  <c r="B6" i="26"/>
  <c r="G6" i="2" s="1"/>
  <c r="G8" i="21"/>
  <c r="L8" i="21"/>
  <c r="O8" i="21"/>
  <c r="H8" i="21"/>
  <c r="I8" i="21"/>
  <c r="N8" i="21"/>
  <c r="N17" i="21" s="1"/>
  <c r="P8" i="21"/>
  <c r="M8" i="21"/>
  <c r="Q8" i="21"/>
  <c r="Q17" i="21" s="1"/>
  <c r="J116" i="21"/>
  <c r="J84" i="21"/>
  <c r="E91" i="21"/>
  <c r="L91" i="21"/>
  <c r="R84" i="21"/>
  <c r="R91" i="21" s="1"/>
  <c r="B33" i="23"/>
  <c r="D33" i="2" s="1"/>
  <c r="J35" i="21"/>
  <c r="E45" i="21"/>
  <c r="F7" i="5"/>
  <c r="F26" i="5" s="1"/>
  <c r="B37" i="23" s="1"/>
  <c r="M16" i="21"/>
  <c r="R16" i="21" s="1"/>
  <c r="F16" i="21"/>
  <c r="L17" i="1"/>
  <c r="M10" i="1"/>
  <c r="B129" i="16"/>
  <c r="C129" i="2" s="1"/>
  <c r="B33" i="16"/>
  <c r="C33" i="2" s="1"/>
  <c r="E25" i="15"/>
  <c r="K11" i="1"/>
  <c r="J18" i="1"/>
  <c r="K17" i="1"/>
  <c r="O17" i="1" s="1"/>
  <c r="L10" i="1"/>
  <c r="L11" i="1"/>
  <c r="L19" i="1" s="1"/>
  <c r="K18" i="1"/>
  <c r="F25" i="15"/>
  <c r="B46" i="23" l="1"/>
  <c r="D37" i="2"/>
  <c r="H17" i="21"/>
  <c r="P17" i="21"/>
  <c r="B37" i="16"/>
  <c r="C37" i="2" s="1"/>
  <c r="P21" i="21"/>
  <c r="P28" i="21" s="1"/>
  <c r="L21" i="21"/>
  <c r="O21" i="21"/>
  <c r="O28" i="21" s="1"/>
  <c r="I21" i="21"/>
  <c r="I28" i="21" s="1"/>
  <c r="E21" i="21"/>
  <c r="E28" i="21" s="1"/>
  <c r="N21" i="21"/>
  <c r="N28" i="21" s="1"/>
  <c r="H21" i="21"/>
  <c r="H28" i="21" s="1"/>
  <c r="D21" i="21"/>
  <c r="Q21" i="21"/>
  <c r="Q28" i="21" s="1"/>
  <c r="M21" i="21"/>
  <c r="M28" i="21" s="1"/>
  <c r="G21" i="21"/>
  <c r="G28" i="21" s="1"/>
  <c r="F21" i="21"/>
  <c r="F28" i="21" s="1"/>
  <c r="J91" i="21"/>
  <c r="O17" i="21"/>
  <c r="B33" i="26"/>
  <c r="G33" i="2" s="1"/>
  <c r="B129" i="26"/>
  <c r="R13" i="21"/>
  <c r="R8" i="21"/>
  <c r="L17" i="21"/>
  <c r="B33" i="24"/>
  <c r="E33" i="2" s="1"/>
  <c r="B129" i="24"/>
  <c r="I17" i="21"/>
  <c r="J8" i="21"/>
  <c r="G17" i="21"/>
  <c r="B33" i="25"/>
  <c r="F33" i="2" s="1"/>
  <c r="B129" i="25"/>
  <c r="J45" i="21"/>
  <c r="P111" i="21"/>
  <c r="P117" i="21" s="1"/>
  <c r="P119" i="21" s="1"/>
  <c r="P121" i="21" s="1"/>
  <c r="P139" i="21" s="1"/>
  <c r="L111" i="21"/>
  <c r="H111" i="21"/>
  <c r="H117" i="21" s="1"/>
  <c r="D111" i="21"/>
  <c r="N111" i="21"/>
  <c r="N117" i="21" s="1"/>
  <c r="N119" i="21" s="1"/>
  <c r="F111" i="21"/>
  <c r="F117" i="21" s="1"/>
  <c r="Q111" i="21"/>
  <c r="Q117" i="21" s="1"/>
  <c r="Q119" i="21" s="1"/>
  <c r="Q121" i="21" s="1"/>
  <c r="Q139" i="21" s="1"/>
  <c r="G111" i="21"/>
  <c r="G117" i="21" s="1"/>
  <c r="O111" i="21"/>
  <c r="O117" i="21" s="1"/>
  <c r="E111" i="21"/>
  <c r="E117" i="21" s="1"/>
  <c r="E119" i="21" s="1"/>
  <c r="E121" i="21" s="1"/>
  <c r="E139" i="21" s="1"/>
  <c r="I111" i="21"/>
  <c r="I117" i="21" s="1"/>
  <c r="I119" i="21" s="1"/>
  <c r="M111" i="21"/>
  <c r="M117" i="21" s="1"/>
  <c r="M17" i="21"/>
  <c r="J16" i="21"/>
  <c r="F17" i="21"/>
  <c r="L18" i="1"/>
  <c r="M11" i="1"/>
  <c r="M19" i="1" s="1"/>
  <c r="K19" i="1"/>
  <c r="M18" i="1"/>
  <c r="N11" i="1"/>
  <c r="N19" i="1" s="1"/>
  <c r="B46" i="16"/>
  <c r="C46" i="2" s="1"/>
  <c r="B135" i="16"/>
  <c r="C135" i="2" s="1"/>
  <c r="S21" i="21" l="1"/>
  <c r="B137" i="23"/>
  <c r="D46" i="2"/>
  <c r="N121" i="21"/>
  <c r="I121" i="21"/>
  <c r="I139" i="21" s="1"/>
  <c r="B135" i="25"/>
  <c r="F129" i="2"/>
  <c r="B135" i="24"/>
  <c r="E129" i="2"/>
  <c r="B135" i="26"/>
  <c r="G129" i="2"/>
  <c r="O119" i="21"/>
  <c r="O121" i="21" s="1"/>
  <c r="O139" i="21" s="1"/>
  <c r="G119" i="21"/>
  <c r="G121" i="21" s="1"/>
  <c r="G139" i="21" s="1"/>
  <c r="H119" i="21"/>
  <c r="H121" i="21" s="1"/>
  <c r="H139" i="21" s="1"/>
  <c r="J21" i="21"/>
  <c r="D28" i="21"/>
  <c r="F119" i="21"/>
  <c r="F121" i="21" s="1"/>
  <c r="F139" i="21" s="1"/>
  <c r="R17" i="21"/>
  <c r="L28" i="21"/>
  <c r="R21" i="21"/>
  <c r="R28" i="21" s="1"/>
  <c r="O18" i="1"/>
  <c r="M119" i="21"/>
  <c r="M121" i="21" s="1"/>
  <c r="M139" i="21" s="1"/>
  <c r="J111" i="21"/>
  <c r="D117" i="21"/>
  <c r="L117" i="21"/>
  <c r="L119" i="21" s="1"/>
  <c r="L121" i="21" s="1"/>
  <c r="L139" i="21" s="1"/>
  <c r="R111" i="21"/>
  <c r="R117" i="21" s="1"/>
  <c r="B137" i="16"/>
  <c r="C137" i="2" s="1"/>
  <c r="O19" i="1"/>
  <c r="S28" i="21" l="1"/>
  <c r="R119" i="21"/>
  <c r="R121" i="21" s="1"/>
  <c r="R139" i="21" s="1"/>
  <c r="B139" i="23"/>
  <c r="D139" i="2" s="1"/>
  <c r="D137" i="2"/>
  <c r="N139" i="21"/>
  <c r="B137" i="24"/>
  <c r="E135" i="2"/>
  <c r="B137" i="26"/>
  <c r="G135" i="2"/>
  <c r="B137" i="25"/>
  <c r="F135" i="2"/>
  <c r="D119" i="21"/>
  <c r="D121" i="21" s="1"/>
  <c r="D139" i="21" s="1"/>
  <c r="J28" i="21"/>
  <c r="J117" i="21"/>
  <c r="B139" i="16"/>
  <c r="S139" i="21" l="1"/>
  <c r="C139" i="2"/>
  <c r="B141" i="16"/>
  <c r="S119" i="21"/>
  <c r="S121" i="21"/>
  <c r="G137" i="2"/>
  <c r="B139" i="26"/>
  <c r="G139" i="2" s="1"/>
  <c r="F137" i="2"/>
  <c r="B139" i="25"/>
  <c r="F139" i="2" s="1"/>
  <c r="E137" i="2"/>
  <c r="B139" i="24"/>
  <c r="E139" i="2" s="1"/>
  <c r="J119" i="21"/>
  <c r="B141" i="23" l="1"/>
  <c r="C141" i="2"/>
  <c r="B141" i="24" l="1"/>
  <c r="D141" i="2"/>
  <c r="B141" i="25" l="1"/>
  <c r="E141" i="2"/>
  <c r="B141" i="26" l="1"/>
  <c r="G141" i="2" s="1"/>
  <c r="F141" i="2"/>
  <c r="C17" i="21"/>
  <c r="C121" i="21" s="1"/>
  <c r="C139" i="21" s="1"/>
  <c r="C143" i="21" s="1"/>
  <c r="D141" i="21" s="1"/>
  <c r="D143" i="21" s="1"/>
  <c r="E141" i="21" s="1"/>
  <c r="E143" i="21" s="1"/>
  <c r="F141" i="21" s="1"/>
  <c r="F143" i="21" s="1"/>
  <c r="G141" i="21" s="1"/>
  <c r="G143" i="21" s="1"/>
  <c r="H141" i="21" s="1"/>
  <c r="H143" i="21" s="1"/>
  <c r="I141" i="21" s="1"/>
  <c r="I143" i="21" s="1"/>
  <c r="L141" i="21" s="1"/>
  <c r="J13" i="21"/>
  <c r="J17" i="21" s="1"/>
  <c r="J121" i="21" s="1"/>
  <c r="J139" i="21" s="1"/>
  <c r="J143" i="21" s="1"/>
  <c r="L143" i="21" l="1"/>
  <c r="M141" i="21" s="1"/>
  <c r="M143" i="21" s="1"/>
  <c r="N141" i="21" s="1"/>
  <c r="N143" i="21" s="1"/>
  <c r="O141" i="21" l="1"/>
  <c r="O143" i="21" l="1"/>
  <c r="P141" i="21" l="1"/>
  <c r="P143" i="21" l="1"/>
  <c r="Q141" i="21" l="1"/>
  <c r="Q143" i="21" l="1"/>
  <c r="R141" i="21"/>
  <c r="R143" i="21" s="1"/>
</calcChain>
</file>

<file path=xl/sharedStrings.xml><?xml version="1.0" encoding="utf-8"?>
<sst xmlns="http://schemas.openxmlformats.org/spreadsheetml/2006/main" count="1032" uniqueCount="223">
  <si>
    <t>REVENUE</t>
  </si>
  <si>
    <t>Amount</t>
  </si>
  <si>
    <t>Title I</t>
  </si>
  <si>
    <t>Title II</t>
  </si>
  <si>
    <t>Total Revenue</t>
  </si>
  <si>
    <t>Use staffing workbook</t>
  </si>
  <si>
    <t xml:space="preserve"> </t>
  </si>
  <si>
    <t>Textbooks</t>
  </si>
  <si>
    <t>Library, periodicals, etc</t>
  </si>
  <si>
    <t>Technology</t>
  </si>
  <si>
    <t>Assessment materials</t>
  </si>
  <si>
    <t>Computers</t>
  </si>
  <si>
    <t>Software</t>
  </si>
  <si>
    <t>Field trips, other unclassified items</t>
  </si>
  <si>
    <t>Charter Board Supplies &amp; Equipment</t>
  </si>
  <si>
    <t>Charter Board Dues, fees, etc</t>
  </si>
  <si>
    <t>Legal Services</t>
  </si>
  <si>
    <t>Payroll Services</t>
  </si>
  <si>
    <t>Accounting Services</t>
  </si>
  <si>
    <t>Printing/Newsletter/Annual Report Services</t>
  </si>
  <si>
    <t>Administrative Computers</t>
  </si>
  <si>
    <t>Administrative Software</t>
  </si>
  <si>
    <t>Administration Dues, fees, misc expenses</t>
  </si>
  <si>
    <t>Office supplies</t>
  </si>
  <si>
    <t>Internet Services</t>
  </si>
  <si>
    <t>Telephone/Telecommunication Services</t>
  </si>
  <si>
    <t>Custodial</t>
  </si>
  <si>
    <t>Consultants</t>
  </si>
  <si>
    <t>Food service</t>
  </si>
  <si>
    <t>Transportation</t>
  </si>
  <si>
    <t>Waste disposal</t>
  </si>
  <si>
    <t>Travel</t>
  </si>
  <si>
    <t>Postage</t>
  </si>
  <si>
    <t>Facilities</t>
  </si>
  <si>
    <t>Rent, mortgage, or other facility cost</t>
  </si>
  <si>
    <t>Gas/electric</t>
  </si>
  <si>
    <t>Grounds Keeping</t>
  </si>
  <si>
    <t>Maintenance Services</t>
  </si>
  <si>
    <t>Total Facilities</t>
  </si>
  <si>
    <t>Total Other</t>
  </si>
  <si>
    <t>Total Expenditures</t>
  </si>
  <si>
    <t>TOTAL</t>
  </si>
  <si>
    <t>Other Revenue Federal sources (please describe)</t>
  </si>
  <si>
    <t>Federal Revenue</t>
  </si>
  <si>
    <t>Other Revenues</t>
  </si>
  <si>
    <t>Other classroom supplies</t>
  </si>
  <si>
    <t xml:space="preserve">Support Supplies and Resources </t>
  </si>
  <si>
    <t>Professional Purchased or Contracted Services</t>
  </si>
  <si>
    <t>Other (please describe)</t>
  </si>
  <si>
    <t>Student Information Services</t>
  </si>
  <si>
    <t>Year 5</t>
  </si>
  <si>
    <t>Board Expenses</t>
  </si>
  <si>
    <t>Charter Board Services, including Board Training, retreats</t>
  </si>
  <si>
    <t>EXPENDITURES</t>
  </si>
  <si>
    <t>Benefits Assumptions - Please describe how you calculated your benefits and what is included below</t>
  </si>
  <si>
    <t>K</t>
  </si>
  <si>
    <t>ACADEMIC YEAR</t>
  </si>
  <si>
    <t>% ELL</t>
  </si>
  <si>
    <t>% SPED</t>
  </si>
  <si>
    <t>Planned Number of Students</t>
  </si>
  <si>
    <t>Planned Number of Classes</t>
  </si>
  <si>
    <t>SCHOOL ENROLLMENT PROJECTIONS</t>
  </si>
  <si>
    <t>Co-curricular &amp; Athletics</t>
  </si>
  <si>
    <t>Benefits and Payroll Taxes</t>
  </si>
  <si>
    <t>Position Description</t>
  </si>
  <si>
    <t>Total Salary</t>
  </si>
  <si>
    <t>TOTAL Salary and Benefits</t>
  </si>
  <si>
    <t>Number of Staff Per Position</t>
  </si>
  <si>
    <t>Average Salary for the Position</t>
  </si>
  <si>
    <t>Wages, Benefits and Payroll Taxes</t>
  </si>
  <si>
    <t>Professional Development</t>
  </si>
  <si>
    <t>Bonuses</t>
  </si>
  <si>
    <t>Total Personnel Expenses</t>
  </si>
  <si>
    <t>Personnel Expenses</t>
  </si>
  <si>
    <t>Instructional Supplies and Resources</t>
  </si>
  <si>
    <t>Total Instructional Supplies and Resources</t>
  </si>
  <si>
    <t>Total Support Supplies and Resources</t>
  </si>
  <si>
    <t>Total Board Expenses</t>
  </si>
  <si>
    <t>Total Professional Purchased or Contracted Services</t>
  </si>
  <si>
    <t>Other</t>
  </si>
  <si>
    <t>CMO/EMO Fee</t>
  </si>
  <si>
    <t>Contingency</t>
  </si>
  <si>
    <t>Carryover/Deficit</t>
  </si>
  <si>
    <t>Cumulative Carryover/(Deficit)</t>
  </si>
  <si>
    <t>Notes</t>
  </si>
  <si>
    <t>State Revenue</t>
  </si>
  <si>
    <t>Federal Lunch Program</t>
  </si>
  <si>
    <t>Federal Breakfast Reimbursement</t>
  </si>
  <si>
    <t>Basic Grant</t>
  </si>
  <si>
    <t>State Matching Funds for School Lunch Program</t>
  </si>
  <si>
    <t>Remediation Program</t>
  </si>
  <si>
    <t>Gifted and Talented Program</t>
  </si>
  <si>
    <t>Textbook Reimbursement</t>
  </si>
  <si>
    <t>Summer School</t>
  </si>
  <si>
    <t>Committed Philanthropic Donations</t>
  </si>
  <si>
    <t>Before and After Care Fees</t>
  </si>
  <si>
    <t>Interest Income</t>
  </si>
  <si>
    <t>Special Education Services</t>
  </si>
  <si>
    <t>Water/ Sewer</t>
  </si>
  <si>
    <t>Indiana Charter School Board Administrative Fee</t>
  </si>
  <si>
    <t>Public Charter School Program (PCSP) Grant</t>
  </si>
  <si>
    <t>Total Insurance Costs (per ICSB requirements detailed in charter school application)</t>
  </si>
  <si>
    <t>Indiana Charter School Board Administrative Fee (0% in Year 0)</t>
  </si>
  <si>
    <t>CASH FLOW ADJUSTMENTS</t>
  </si>
  <si>
    <t>OPERATING ACTIVITIES</t>
  </si>
  <si>
    <t>Example - Add Back Depreciation</t>
  </si>
  <si>
    <t>Total Operating Activities</t>
  </si>
  <si>
    <t>INVESTMENT ACTIVITIES</t>
  </si>
  <si>
    <t>Total Investment Activities</t>
  </si>
  <si>
    <t>FINANCING ACTIVITIES</t>
  </si>
  <si>
    <t>Total Financing Activities</t>
  </si>
  <si>
    <t>Total Cash Flow Adjustments</t>
  </si>
  <si>
    <t>NET INCOME</t>
  </si>
  <si>
    <t>Beginning Cash Balance</t>
  </si>
  <si>
    <t>ENDING CASH BALANCE</t>
  </si>
  <si>
    <t>Example - Subtract Property and Equipment Expenditures</t>
  </si>
  <si>
    <t>Example - Add Expected Proceeds from a Loan or Line of Credit</t>
  </si>
  <si>
    <t>Net Income (Pre-Cash Flow Adjustments)</t>
  </si>
  <si>
    <t>INDIANA CHARTER SCHOOL BOARD</t>
  </si>
  <si>
    <t xml:space="preserve"> - Complete ALL FIVE staffing tabs in GREEN</t>
  </si>
  <si>
    <t xml:space="preserve"> - Enter information into the WHITE cells</t>
  </si>
  <si>
    <t xml:space="preserve"> - Do not enter information into the GREY cells</t>
  </si>
  <si>
    <t xml:space="preserve"> - Complete ALL FIVE annual budget tabs in BLUE</t>
  </si>
  <si>
    <t xml:space="preserve"> - Complete the School Enrollment Projection tab in ORANGE</t>
  </si>
  <si>
    <t>Be certain to reflect the full amount of any fee, including the management fee and any pass-through fees. If pass-through fees are reflected elsewhere in the budget, please clearly indicate this in the Budget Narrative.</t>
  </si>
  <si>
    <t xml:space="preserve"> - NOTE: Applicants proposing to operate a network of schools should add a worksheet or attach a separate file reflecting the consolidated network's 5-Year pro-forma budget, reflecting all components - including the regional back office/central office - of the Indiana network.</t>
  </si>
  <si>
    <t>Audit Services (compliant with SBOA requirements)</t>
  </si>
  <si>
    <t>Technology Grants</t>
  </si>
  <si>
    <t>Public Law 101-476 (IDEA)</t>
  </si>
  <si>
    <t>Substitute Teachers</t>
  </si>
  <si>
    <t>Please fill in the expected positions along with salary and benefit estimates. Insert rows as needed. Be certain to include all Administrative Staff positions, in addition to Teachers and positions such as Paraprofessional, Teaching Assistant, Counselor, Therapist, Nurse, etc. as may be appropriate for your school model.</t>
  </si>
  <si>
    <t>Nursing Services</t>
  </si>
  <si>
    <t>Furniture &amp; Equipment</t>
  </si>
  <si>
    <t>Debt Service for Facilities (Interest Only)</t>
  </si>
  <si>
    <r>
      <t xml:space="preserve"> - We encourage applicants to contact the Indiana Department of Education Office of School Finance to learn more about Indiana's funding formula and all grant and operating funds available. Visit </t>
    </r>
    <r>
      <rPr>
        <b/>
        <sz val="12"/>
        <rFont val="Times New Roman"/>
        <family val="1"/>
      </rPr>
      <t>http://www.doe.in.gov/idoe/finance</t>
    </r>
    <r>
      <rPr>
        <sz val="12"/>
        <rFont val="Times New Roman"/>
        <family val="1"/>
      </rPr>
      <t xml:space="preserve"> for more information.</t>
    </r>
  </si>
  <si>
    <t>NOTE: This is a competitive grant for planning &amp; implementation. Funding is not guaranteed. The funding for the PCSP grant is distributed through a reimbursement process. Contact Jeff Barber at the IDOE with questions.</t>
  </si>
  <si>
    <t>% SNAP, TANF or Foster Care</t>
  </si>
  <si>
    <t>Charter and Innovation Network School Grant Program</t>
  </si>
  <si>
    <t>Charter and Innovation Network School Advance Program</t>
  </si>
  <si>
    <t>Escrow account for dissillusionment / closure</t>
  </si>
  <si>
    <t>Charter and Innovation Network School Advance Program Interest Costs</t>
  </si>
  <si>
    <t>Note:  FDK students are treated as 1 for purposes of ADM.  1/2 day kindergarten students are 0.5 ADM</t>
  </si>
  <si>
    <t>Foundation Grant</t>
  </si>
  <si>
    <t>Complexity Grant</t>
  </si>
  <si>
    <t>Under the FY16/17 appropriation, all charters in their first two years are automatically awarded $500 / student for capital and transportation costs.   Please review IC 20-24-13 for criteria for schools in subsequent years.</t>
  </si>
  <si>
    <t>Note: Please review IC 20-49-9 for information.</t>
  </si>
  <si>
    <t>Assume 3% of Basic Grant (Row 6).</t>
  </si>
  <si>
    <t>Schools are required to maintain an account in reserve to cover expenses for school closing.  $10,000 should be placed in reserve starting in year 2 with a balance of $30,000 by year 4.</t>
  </si>
  <si>
    <t xml:space="preserve">5-Year Pro Forma Budget Submission Template </t>
  </si>
  <si>
    <t>General Instructions for Renewal School Applicants</t>
  </si>
  <si>
    <t>Year 6</t>
  </si>
  <si>
    <t>Year 7</t>
  </si>
  <si>
    <t>Year 8</t>
  </si>
  <si>
    <t>Year 9</t>
  </si>
  <si>
    <t>Year 10</t>
  </si>
  <si>
    <t>Expected Charter School Staffing Needs -- Year 7</t>
  </si>
  <si>
    <t>Expected Charter School Staffing Needs -- Year 6</t>
  </si>
  <si>
    <t>Expected Renewal School Annual Operating Budget  -- YEAR 6 -- Fiscal Year July 1-June 30</t>
  </si>
  <si>
    <t>Expected Renewal School Annual Operating Budget and Cash Flow Projections  -- YEAR 6 -- Charter Renewal Period</t>
  </si>
  <si>
    <t>TOTAL 2017</t>
  </si>
  <si>
    <t>TOTAL FIRST HALF 2018</t>
  </si>
  <si>
    <t>Year 6: 2017-2018</t>
  </si>
  <si>
    <t>Year 7: 2018-2019</t>
  </si>
  <si>
    <t>Year 8: 2019-2020</t>
  </si>
  <si>
    <t>Year 9: 2020-2021</t>
  </si>
  <si>
    <t>Year 10: 2021-2022</t>
  </si>
  <si>
    <t>2018-2022</t>
  </si>
  <si>
    <t xml:space="preserve"> - Complete the Year 6 - Budget and Cash Flow tab in PURPLE</t>
  </si>
  <si>
    <t>Other (Summer School)</t>
  </si>
  <si>
    <t>may include staff stipends depending on program and year</t>
  </si>
  <si>
    <t>conservative based on FY17; many missed opportunities in past</t>
  </si>
  <si>
    <t>Other (DVA contract)</t>
  </si>
  <si>
    <t>1/2 of contract for Rick Ogston, Superintendent</t>
  </si>
  <si>
    <t>includes breakfast</t>
  </si>
  <si>
    <t>equal to revenue</t>
  </si>
  <si>
    <t>Other (Supplies)</t>
  </si>
  <si>
    <t>Other (misc expenses)</t>
  </si>
  <si>
    <t>curriculum</t>
  </si>
  <si>
    <t>Art, Choir</t>
  </si>
  <si>
    <t>Kelly Services</t>
  </si>
  <si>
    <t>NWEA and Reading RTI</t>
  </si>
  <si>
    <t>Other (additional SPED support/services)</t>
  </si>
  <si>
    <t>Other (elective, dual credit classes)</t>
  </si>
  <si>
    <t>Other (security/alarm)</t>
  </si>
  <si>
    <t>Other (Uniform allocation)</t>
  </si>
  <si>
    <t>Other (copier)</t>
  </si>
  <si>
    <t>Other (Risk Aware)</t>
  </si>
  <si>
    <t>Other (pest control)</t>
  </si>
  <si>
    <t>includes required software and servers</t>
  </si>
  <si>
    <t>after ERate</t>
  </si>
  <si>
    <t>shared with Northwest</t>
  </si>
  <si>
    <t>includes Marketing</t>
  </si>
  <si>
    <t>Indy Go</t>
  </si>
  <si>
    <t>Institute for School Excellence</t>
  </si>
  <si>
    <t>report fee only; staff support is included in Accounting line item</t>
  </si>
  <si>
    <t>includes payroll and HR support; CSMC contract</t>
  </si>
  <si>
    <t>Other ()</t>
  </si>
  <si>
    <t>Included in CSMC contract</t>
  </si>
  <si>
    <t>server room</t>
  </si>
  <si>
    <t>includes summer training</t>
  </si>
  <si>
    <t>IFF</t>
  </si>
  <si>
    <t>Other (CSLF deduction)</t>
  </si>
  <si>
    <t>Other Revenue Federal sources (Medicaid Reimbursement)</t>
  </si>
  <si>
    <t>Other (Challenge debt)</t>
  </si>
  <si>
    <t>includes 1/2 Shadeland</t>
  </si>
  <si>
    <t xml:space="preserve">Other </t>
  </si>
  <si>
    <t>Benefits assumes payroll taxes, retirement (including 401K match), and employee insurance.  This is based off of actual data from FY 2017.</t>
  </si>
  <si>
    <t>Principal</t>
  </si>
  <si>
    <t>Teachers</t>
  </si>
  <si>
    <t>Coaches</t>
  </si>
  <si>
    <t>SPED para</t>
  </si>
  <si>
    <t>COO</t>
  </si>
  <si>
    <t>Office Manager</t>
  </si>
  <si>
    <t>IT Director</t>
  </si>
  <si>
    <t>Registrar</t>
  </si>
  <si>
    <t xml:space="preserve">Assisstant Superintendent </t>
  </si>
  <si>
    <t>RTI teacher</t>
  </si>
  <si>
    <t>Foundation amount for all charter schools in FY2017 is $5088, regardless of corporation of legal settlement. Includes complexity grant and state SPED funding.</t>
  </si>
  <si>
    <t>Dean of Students</t>
  </si>
  <si>
    <t>School Name: Carpe Diem Meridian</t>
  </si>
  <si>
    <t>FY 18</t>
  </si>
  <si>
    <t>Indy Go and Miller Transportation</t>
  </si>
  <si>
    <t>Proposed revised rent plus facility costs for NW and Shadeland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</si>
</sst>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_);\(#,##0.0000\)"/>
  </numFmts>
  <fonts count="28" x14ac:knownFonts="1">
    <font>
      <sz val="11"/>
      <color theme="1"/>
      <name val="Calibri"/>
      <family val="2"/>
      <scheme val="minor"/>
    </font>
    <font>
      <b/>
      <sz val="12"/>
      <name val="Times New Roman"/>
      <family val="1"/>
    </font>
    <font>
      <b/>
      <sz val="10"/>
      <name val="Times New Roman"/>
      <family val="1"/>
    </font>
    <font>
      <sz val="10"/>
      <name val="Times New Roman"/>
      <family val="1"/>
    </font>
    <font>
      <sz val="9"/>
      <name val="Times New Roman"/>
      <family val="1"/>
    </font>
    <font>
      <i/>
      <sz val="10"/>
      <name val="Times New Roman"/>
      <family val="1"/>
    </font>
    <font>
      <sz val="8"/>
      <name val="Tahoma"/>
      <family val="2"/>
    </font>
    <font>
      <b/>
      <sz val="8"/>
      <name val="Tahoma"/>
      <family val="2"/>
    </font>
    <font>
      <sz val="9"/>
      <color indexed="8"/>
      <name val="Times New Roman"/>
      <family val="1"/>
    </font>
    <font>
      <sz val="8"/>
      <name val="Times New Roman"/>
      <family val="1"/>
    </font>
    <font>
      <sz val="12"/>
      <name val="Times New Roman"/>
      <family val="1"/>
    </font>
    <font>
      <sz val="11"/>
      <color indexed="8"/>
      <name val="Calibri"/>
      <family val="2"/>
    </font>
    <font>
      <sz val="11"/>
      <color indexed="8"/>
      <name val="Times New Roman"/>
      <family val="1"/>
    </font>
    <font>
      <b/>
      <sz val="14"/>
      <color indexed="8"/>
      <name val="Times New Roman"/>
      <family val="1"/>
    </font>
    <font>
      <sz val="9"/>
      <color indexed="8"/>
      <name val="Times New Roman"/>
      <family val="1"/>
    </font>
    <font>
      <sz val="10"/>
      <color indexed="49"/>
      <name val="Times New Roman"/>
      <family val="1"/>
    </font>
    <font>
      <b/>
      <sz val="10"/>
      <color indexed="49"/>
      <name val="Times New Roman"/>
      <family val="1"/>
    </font>
    <font>
      <b/>
      <sz val="10"/>
      <color indexed="19"/>
      <name val="Times New Roman"/>
      <family val="1"/>
    </font>
    <font>
      <sz val="10"/>
      <color indexed="8"/>
      <name val="Times New Roman"/>
      <family val="1"/>
    </font>
    <font>
      <i/>
      <sz val="10"/>
      <color indexed="8"/>
      <name val="Times New Roman"/>
      <family val="1"/>
    </font>
    <font>
      <b/>
      <i/>
      <sz val="10"/>
      <color indexed="49"/>
      <name val="Times New Roman"/>
      <family val="1"/>
    </font>
    <font>
      <b/>
      <i/>
      <sz val="10"/>
      <color indexed="62"/>
      <name val="Times New Roman"/>
      <family val="1"/>
    </font>
    <font>
      <b/>
      <sz val="10"/>
      <color indexed="8"/>
      <name val="Times New Roman"/>
      <family val="1"/>
    </font>
    <font>
      <sz val="10"/>
      <color indexed="19"/>
      <name val="Times New Roman"/>
      <family val="1"/>
    </font>
    <font>
      <b/>
      <sz val="12"/>
      <color indexed="8"/>
      <name val="Times New Roman"/>
      <family val="1"/>
    </font>
    <font>
      <sz val="12"/>
      <color indexed="8"/>
      <name val="Times New Roman"/>
      <family val="1"/>
    </font>
    <font>
      <b/>
      <sz val="10"/>
      <color indexed="10"/>
      <name val="Times New Roman"/>
      <family val="1"/>
    </font>
    <font>
      <sz val="8"/>
      <name val="Calibri"/>
      <family val="2"/>
    </font>
  </fonts>
  <fills count="6">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65"/>
        <bgColor indexed="64"/>
      </patternFill>
    </fill>
  </fills>
  <borders count="22">
    <border>
      <left/>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43" fontId="11" fillId="0" borderId="0" applyFont="0" applyFill="0" applyBorder="0" applyAlignment="0" applyProtection="0"/>
    <xf numFmtId="44" fontId="11" fillId="0" borderId="0" applyFont="0" applyFill="0" applyBorder="0" applyAlignment="0" applyProtection="0"/>
  </cellStyleXfs>
  <cellXfs count="210">
    <xf numFmtId="0" fontId="0" fillId="0" borderId="0" xfId="0"/>
    <xf numFmtId="0" fontId="12" fillId="0" borderId="0" xfId="0" applyFont="1" applyBorder="1"/>
    <xf numFmtId="0" fontId="12" fillId="0" borderId="0" xfId="0" applyFont="1"/>
    <xf numFmtId="0" fontId="2" fillId="0" borderId="0" xfId="0" applyFont="1" applyBorder="1"/>
    <xf numFmtId="0" fontId="2" fillId="0" borderId="1" xfId="0" applyFont="1" applyBorder="1"/>
    <xf numFmtId="0" fontId="2" fillId="0" borderId="2" xfId="0" applyFont="1" applyBorder="1"/>
    <xf numFmtId="0" fontId="2" fillId="0" borderId="0" xfId="0" applyFont="1"/>
    <xf numFmtId="0" fontId="3" fillId="0" borderId="3" xfId="0" applyFont="1" applyBorder="1"/>
    <xf numFmtId="0" fontId="2" fillId="0" borderId="4" xfId="0" applyFont="1" applyBorder="1"/>
    <xf numFmtId="0" fontId="3" fillId="0" borderId="5" xfId="0" applyFont="1" applyBorder="1"/>
    <xf numFmtId="0" fontId="2" fillId="2" borderId="3" xfId="0" applyFont="1" applyFill="1" applyBorder="1" applyAlignment="1">
      <alignment horizontal="center"/>
    </xf>
    <xf numFmtId="0" fontId="2" fillId="0" borderId="0" xfId="0" applyFont="1" applyFill="1" applyBorder="1" applyAlignment="1">
      <alignment horizontal="center"/>
    </xf>
    <xf numFmtId="0" fontId="2" fillId="2" borderId="3" xfId="0" applyFont="1" applyFill="1" applyBorder="1" applyAlignment="1">
      <alignment horizontal="left"/>
    </xf>
    <xf numFmtId="0" fontId="3" fillId="0" borderId="3" xfId="0" applyFont="1" applyBorder="1" applyAlignment="1">
      <alignment horizontal="left"/>
    </xf>
    <xf numFmtId="0" fontId="3" fillId="0" borderId="3" xfId="0" applyFont="1" applyBorder="1" applyAlignment="1">
      <alignment wrapText="1"/>
    </xf>
    <xf numFmtId="0" fontId="2" fillId="2" borderId="3" xfId="0" applyFont="1" applyFill="1" applyBorder="1" applyAlignment="1">
      <alignment wrapText="1"/>
    </xf>
    <xf numFmtId="0" fontId="2" fillId="0" borderId="3" xfId="0" applyFont="1" applyFill="1" applyBorder="1" applyAlignment="1">
      <alignment horizontal="left"/>
    </xf>
    <xf numFmtId="0" fontId="2" fillId="2" borderId="3" xfId="0" applyFont="1" applyFill="1" applyBorder="1"/>
    <xf numFmtId="43" fontId="4" fillId="0" borderId="0" xfId="0" applyNumberFormat="1" applyFont="1"/>
    <xf numFmtId="0" fontId="3" fillId="0" borderId="6" xfId="0" applyFont="1" applyBorder="1"/>
    <xf numFmtId="0" fontId="2" fillId="2" borderId="3" xfId="0" applyFont="1" applyFill="1" applyBorder="1" applyAlignment="1">
      <alignment horizontal="right"/>
    </xf>
    <xf numFmtId="0" fontId="2" fillId="0" borderId="4" xfId="0" applyFont="1" applyBorder="1" applyAlignment="1">
      <alignment horizontal="center" wrapText="1"/>
    </xf>
    <xf numFmtId="0" fontId="2" fillId="0" borderId="0" xfId="0" applyFont="1" applyFill="1" applyBorder="1" applyAlignment="1">
      <alignment horizontal="left"/>
    </xf>
    <xf numFmtId="0" fontId="3" fillId="0" borderId="3" xfId="0" applyFont="1" applyFill="1" applyBorder="1" applyAlignment="1">
      <alignment wrapText="1"/>
    </xf>
    <xf numFmtId="0" fontId="3" fillId="0" borderId="3" xfId="0" applyFont="1" applyFill="1" applyBorder="1" applyAlignment="1">
      <alignment horizontal="left"/>
    </xf>
    <xf numFmtId="0" fontId="2" fillId="2" borderId="7" xfId="0" applyFont="1" applyFill="1" applyBorder="1" applyAlignment="1">
      <alignment horizontal="center"/>
    </xf>
    <xf numFmtId="0" fontId="2" fillId="3" borderId="8" xfId="0" applyFont="1" applyFill="1" applyBorder="1" applyAlignment="1">
      <alignment horizontal="center"/>
    </xf>
    <xf numFmtId="0" fontId="2" fillId="3" borderId="3" xfId="0" applyFont="1" applyFill="1" applyBorder="1" applyAlignment="1">
      <alignment horizontal="center"/>
    </xf>
    <xf numFmtId="0" fontId="1" fillId="0" borderId="0" xfId="0" applyFont="1" applyFill="1" applyBorder="1" applyAlignment="1">
      <alignment vertical="top" wrapText="1"/>
    </xf>
    <xf numFmtId="0" fontId="13" fillId="0" borderId="0" xfId="0" applyFont="1"/>
    <xf numFmtId="0" fontId="14" fillId="0" borderId="0" xfId="0" applyFont="1"/>
    <xf numFmtId="1" fontId="3" fillId="0" borderId="3" xfId="0" applyNumberFormat="1" applyFont="1" applyFill="1" applyBorder="1"/>
    <xf numFmtId="1" fontId="3" fillId="0" borderId="7" xfId="0" applyNumberFormat="1" applyFont="1" applyFill="1" applyBorder="1"/>
    <xf numFmtId="1" fontId="3" fillId="0" borderId="5" xfId="0" applyNumberFormat="1" applyFont="1" applyFill="1" applyBorder="1" applyAlignment="1">
      <alignment wrapText="1"/>
    </xf>
    <xf numFmtId="1" fontId="3" fillId="0" borderId="3" xfId="0" applyNumberFormat="1" applyFont="1" applyFill="1" applyBorder="1" applyAlignment="1">
      <alignment wrapText="1"/>
    </xf>
    <xf numFmtId="1" fontId="12" fillId="0" borderId="0" xfId="0" applyNumberFormat="1" applyFont="1"/>
    <xf numFmtId="1" fontId="2" fillId="2" borderId="3" xfId="0" applyNumberFormat="1" applyFont="1" applyFill="1" applyBorder="1" applyAlignment="1">
      <alignment horizontal="center"/>
    </xf>
    <xf numFmtId="0" fontId="2" fillId="0" borderId="0" xfId="0" applyFont="1" applyFill="1" applyBorder="1" applyAlignment="1">
      <alignment horizontal="center" wrapText="1"/>
    </xf>
    <xf numFmtId="0" fontId="2" fillId="0" borderId="0" xfId="0" applyFont="1" applyFill="1" applyBorder="1" applyAlignment="1">
      <alignment horizontal="left" wrapText="1"/>
    </xf>
    <xf numFmtId="0" fontId="15" fillId="0" borderId="3" xfId="0" applyFont="1" applyBorder="1" applyAlignment="1">
      <alignment wrapText="1"/>
    </xf>
    <xf numFmtId="0" fontId="16" fillId="2" borderId="3" xfId="0" applyFont="1" applyFill="1" applyBorder="1" applyAlignment="1">
      <alignment wrapText="1"/>
    </xf>
    <xf numFmtId="0" fontId="15" fillId="2" borderId="3" xfId="0" applyFont="1" applyFill="1" applyBorder="1" applyAlignment="1">
      <alignment wrapText="1"/>
    </xf>
    <xf numFmtId="0" fontId="17" fillId="2" borderId="3" xfId="0" applyFont="1" applyFill="1" applyBorder="1" applyAlignment="1">
      <alignment horizontal="center"/>
    </xf>
    <xf numFmtId="0" fontId="18" fillId="0" borderId="0" xfId="0" applyFont="1" applyBorder="1"/>
    <xf numFmtId="0" fontId="19" fillId="0" borderId="0" xfId="0" applyFont="1" applyBorder="1" applyAlignment="1">
      <alignment horizontal="left" wrapText="1"/>
    </xf>
    <xf numFmtId="0" fontId="18" fillId="0" borderId="0" xfId="0" applyFont="1" applyFill="1"/>
    <xf numFmtId="0" fontId="18" fillId="0" borderId="0" xfId="0" applyFont="1"/>
    <xf numFmtId="0" fontId="18" fillId="0" borderId="0" xfId="0" applyFont="1" applyAlignment="1">
      <alignment wrapText="1"/>
    </xf>
    <xf numFmtId="49" fontId="3" fillId="0" borderId="0" xfId="0" applyNumberFormat="1" applyFont="1" applyAlignment="1">
      <alignment horizontal="left"/>
    </xf>
    <xf numFmtId="0" fontId="3" fillId="4" borderId="3" xfId="0" applyFont="1" applyFill="1" applyBorder="1"/>
    <xf numFmtId="0" fontId="15" fillId="4" borderId="3" xfId="0" applyFont="1" applyFill="1" applyBorder="1" applyAlignment="1">
      <alignment wrapText="1"/>
    </xf>
    <xf numFmtId="0" fontId="20" fillId="4" borderId="3" xfId="0" applyFont="1" applyFill="1" applyBorder="1" applyAlignment="1">
      <alignment wrapText="1"/>
    </xf>
    <xf numFmtId="0" fontId="3" fillId="4" borderId="3" xfId="0" applyFont="1" applyFill="1" applyBorder="1" applyAlignment="1">
      <alignment wrapText="1"/>
    </xf>
    <xf numFmtId="4" fontId="15" fillId="4" borderId="3" xfId="0" applyNumberFormat="1" applyFont="1" applyFill="1" applyBorder="1" applyAlignment="1">
      <alignment wrapText="1"/>
    </xf>
    <xf numFmtId="0" fontId="18" fillId="0" borderId="3" xfId="0" applyFont="1" applyBorder="1"/>
    <xf numFmtId="4" fontId="3" fillId="4" borderId="3" xfId="0" applyNumberFormat="1" applyFont="1" applyFill="1" applyBorder="1" applyAlignment="1">
      <alignment wrapText="1"/>
    </xf>
    <xf numFmtId="0" fontId="18" fillId="4" borderId="0" xfId="0" applyFont="1" applyFill="1"/>
    <xf numFmtId="0" fontId="18" fillId="4" borderId="0" xfId="0" applyFont="1" applyFill="1" applyAlignment="1">
      <alignment horizontal="left"/>
    </xf>
    <xf numFmtId="0" fontId="18" fillId="4" borderId="0" xfId="0" applyFont="1" applyFill="1" applyAlignment="1">
      <alignment wrapText="1"/>
    </xf>
    <xf numFmtId="0" fontId="18" fillId="0" borderId="0" xfId="0" applyFont="1" applyAlignment="1">
      <alignment horizontal="left"/>
    </xf>
    <xf numFmtId="0" fontId="3" fillId="2" borderId="3" xfId="0" applyFont="1" applyFill="1" applyBorder="1" applyAlignment="1">
      <alignment horizontal="left"/>
    </xf>
    <xf numFmtId="0" fontId="18" fillId="2" borderId="3" xfId="0" applyFont="1" applyFill="1" applyBorder="1"/>
    <xf numFmtId="0" fontId="21" fillId="0" borderId="0" xfId="0" applyFont="1"/>
    <xf numFmtId="0" fontId="22" fillId="2" borderId="3" xfId="0" applyFont="1" applyFill="1" applyBorder="1"/>
    <xf numFmtId="9" fontId="3" fillId="0" borderId="8" xfId="0" applyNumberFormat="1" applyFont="1" applyFill="1" applyBorder="1"/>
    <xf numFmtId="9" fontId="3" fillId="0" borderId="3" xfId="0" applyNumberFormat="1" applyFont="1" applyFill="1" applyBorder="1"/>
    <xf numFmtId="164" fontId="3" fillId="0" borderId="10" xfId="1" applyNumberFormat="1" applyFont="1" applyBorder="1"/>
    <xf numFmtId="164" fontId="3" fillId="0" borderId="5" xfId="1" applyNumberFormat="1" applyFont="1" applyBorder="1"/>
    <xf numFmtId="164" fontId="3" fillId="0" borderId="11" xfId="1" applyNumberFormat="1" applyFont="1" applyBorder="1"/>
    <xf numFmtId="164" fontId="3" fillId="0" borderId="12" xfId="1" applyNumberFormat="1" applyFont="1" applyBorder="1"/>
    <xf numFmtId="164" fontId="3" fillId="0" borderId="3" xfId="1" applyNumberFormat="1" applyFont="1" applyBorder="1"/>
    <xf numFmtId="0" fontId="23" fillId="2" borderId="3" xfId="0" applyFont="1" applyFill="1" applyBorder="1" applyAlignment="1">
      <alignment wrapText="1"/>
    </xf>
    <xf numFmtId="49" fontId="5" fillId="0" borderId="0" xfId="0" applyNumberFormat="1" applyFont="1" applyFill="1" applyAlignment="1">
      <alignment horizontal="left" wrapText="1"/>
    </xf>
    <xf numFmtId="0" fontId="15" fillId="0" borderId="3" xfId="0" applyFont="1" applyFill="1" applyBorder="1" applyAlignment="1">
      <alignment wrapText="1"/>
    </xf>
    <xf numFmtId="0" fontId="18" fillId="0" borderId="0" xfId="0" applyFont="1" applyFill="1" applyAlignment="1">
      <alignment horizontal="left"/>
    </xf>
    <xf numFmtId="0" fontId="18" fillId="0" borderId="0" xfId="0" applyFont="1" applyFill="1" applyAlignment="1">
      <alignment wrapText="1"/>
    </xf>
    <xf numFmtId="43" fontId="3" fillId="0" borderId="0" xfId="0" applyNumberFormat="1" applyFont="1" applyAlignment="1">
      <alignment horizontal="left"/>
    </xf>
    <xf numFmtId="0" fontId="18" fillId="0" borderId="3" xfId="0" applyFont="1" applyFill="1" applyBorder="1" applyAlignment="1">
      <alignment wrapText="1"/>
    </xf>
    <xf numFmtId="43" fontId="3" fillId="0" borderId="0" xfId="0" applyNumberFormat="1" applyFont="1" applyFill="1" applyAlignment="1">
      <alignment horizontal="left"/>
    </xf>
    <xf numFmtId="0" fontId="15" fillId="0" borderId="0" xfId="0" applyFont="1" applyAlignment="1">
      <alignment wrapText="1"/>
    </xf>
    <xf numFmtId="0" fontId="18" fillId="0" borderId="3" xfId="0" applyFont="1" applyBorder="1" applyAlignment="1">
      <alignment wrapText="1"/>
    </xf>
    <xf numFmtId="0" fontId="18" fillId="0" borderId="0" xfId="0" applyFont="1" applyBorder="1" applyAlignment="1">
      <alignment horizontal="left"/>
    </xf>
    <xf numFmtId="0" fontId="18" fillId="0" borderId="0" xfId="0" applyFont="1" applyBorder="1" applyAlignment="1">
      <alignment wrapText="1"/>
    </xf>
    <xf numFmtId="0" fontId="18" fillId="0" borderId="0" xfId="0" applyFont="1" applyFill="1" applyBorder="1" applyAlignment="1">
      <alignment horizontal="left"/>
    </xf>
    <xf numFmtId="0" fontId="18" fillId="0" borderId="0" xfId="0" applyFont="1" applyFill="1" applyBorder="1" applyAlignment="1">
      <alignment wrapText="1"/>
    </xf>
    <xf numFmtId="0" fontId="18" fillId="0" borderId="0" xfId="0" applyFont="1" applyFill="1" applyBorder="1"/>
    <xf numFmtId="49" fontId="15" fillId="0" borderId="3" xfId="0" applyNumberFormat="1" applyFont="1" applyBorder="1" applyAlignment="1">
      <alignment horizontal="center" wrapText="1"/>
    </xf>
    <xf numFmtId="43" fontId="3" fillId="0" borderId="0" xfId="0" applyNumberFormat="1" applyFont="1" applyAlignment="1">
      <alignment horizontal="left" wrapText="1"/>
    </xf>
    <xf numFmtId="0" fontId="19" fillId="0" borderId="0" xfId="0" applyFont="1" applyAlignment="1">
      <alignment wrapText="1"/>
    </xf>
    <xf numFmtId="0" fontId="18" fillId="4" borderId="3" xfId="0" applyFont="1" applyFill="1" applyBorder="1"/>
    <xf numFmtId="0" fontId="15" fillId="2" borderId="0" xfId="0" applyFont="1" applyFill="1" applyBorder="1" applyAlignment="1">
      <alignment wrapText="1"/>
    </xf>
    <xf numFmtId="0" fontId="15" fillId="0" borderId="0" xfId="0" applyFont="1"/>
    <xf numFmtId="0" fontId="16" fillId="0" borderId="3" xfId="0" applyFont="1" applyFill="1" applyBorder="1" applyAlignment="1">
      <alignment wrapText="1"/>
    </xf>
    <xf numFmtId="0" fontId="3" fillId="0" borderId="3" xfId="0" applyFont="1" applyFill="1" applyBorder="1"/>
    <xf numFmtId="164" fontId="18" fillId="0" borderId="12" xfId="1" applyNumberFormat="1" applyFont="1" applyBorder="1"/>
    <xf numFmtId="0" fontId="18" fillId="0" borderId="3" xfId="0" applyFont="1" applyBorder="1" applyAlignment="1">
      <alignment horizontal="left"/>
    </xf>
    <xf numFmtId="164" fontId="18" fillId="0" borderId="3" xfId="1" applyNumberFormat="1" applyFont="1" applyBorder="1"/>
    <xf numFmtId="0" fontId="18" fillId="0" borderId="13" xfId="0" applyFont="1" applyBorder="1"/>
    <xf numFmtId="164" fontId="18" fillId="0" borderId="14" xfId="1" applyNumberFormat="1" applyFont="1" applyBorder="1"/>
    <xf numFmtId="164" fontId="18" fillId="0" borderId="13" xfId="1" applyNumberFormat="1" applyFont="1" applyBorder="1"/>
    <xf numFmtId="164" fontId="18" fillId="0" borderId="15" xfId="1" applyNumberFormat="1" applyFont="1" applyBorder="1"/>
    <xf numFmtId="164" fontId="18" fillId="0" borderId="16" xfId="1" applyNumberFormat="1" applyFont="1" applyBorder="1"/>
    <xf numFmtId="164" fontId="18" fillId="0" borderId="17" xfId="1" applyNumberFormat="1" applyFont="1" applyBorder="1"/>
    <xf numFmtId="165" fontId="2" fillId="2" borderId="3" xfId="2" applyNumberFormat="1" applyFont="1" applyFill="1" applyBorder="1" applyAlignment="1">
      <alignment horizontal="center"/>
    </xf>
    <xf numFmtId="165" fontId="3" fillId="2" borderId="3" xfId="2" applyNumberFormat="1" applyFont="1" applyFill="1" applyBorder="1" applyAlignment="1">
      <alignment horizontal="center"/>
    </xf>
    <xf numFmtId="165" fontId="3" fillId="4" borderId="3" xfId="2" applyNumberFormat="1" applyFont="1" applyFill="1" applyBorder="1"/>
    <xf numFmtId="165" fontId="18" fillId="0" borderId="3" xfId="2" applyNumberFormat="1" applyFont="1" applyBorder="1"/>
    <xf numFmtId="165" fontId="18" fillId="2" borderId="3" xfId="2" applyNumberFormat="1" applyFont="1" applyFill="1" applyBorder="1"/>
    <xf numFmtId="165" fontId="18" fillId="0" borderId="3" xfId="2" applyNumberFormat="1" applyFont="1" applyFill="1" applyBorder="1"/>
    <xf numFmtId="165" fontId="18" fillId="0" borderId="12" xfId="2" applyNumberFormat="1" applyFont="1" applyBorder="1"/>
    <xf numFmtId="165" fontId="18" fillId="0" borderId="18" xfId="2" applyNumberFormat="1" applyFont="1" applyBorder="1"/>
    <xf numFmtId="165" fontId="3" fillId="0" borderId="12" xfId="2" applyNumberFormat="1" applyFont="1" applyBorder="1"/>
    <xf numFmtId="165" fontId="18" fillId="4" borderId="12" xfId="2" applyNumberFormat="1" applyFont="1" applyFill="1" applyBorder="1"/>
    <xf numFmtId="165" fontId="18" fillId="4" borderId="3" xfId="2" applyNumberFormat="1" applyFont="1" applyFill="1" applyBorder="1"/>
    <xf numFmtId="165" fontId="3" fillId="2" borderId="3" xfId="2" applyNumberFormat="1" applyFont="1" applyFill="1" applyBorder="1"/>
    <xf numFmtId="165" fontId="3" fillId="0" borderId="3" xfId="2" applyNumberFormat="1" applyFont="1" applyFill="1" applyBorder="1"/>
    <xf numFmtId="165" fontId="18" fillId="2" borderId="0" xfId="2" applyNumberFormat="1" applyFont="1" applyFill="1" applyBorder="1"/>
    <xf numFmtId="165" fontId="18" fillId="0" borderId="0" xfId="2" applyNumberFormat="1" applyFont="1"/>
    <xf numFmtId="0" fontId="22" fillId="0" borderId="0" xfId="0" applyFont="1"/>
    <xf numFmtId="0" fontId="18" fillId="2" borderId="3" xfId="0" applyFont="1" applyFill="1" applyBorder="1" applyAlignment="1">
      <alignment wrapText="1"/>
    </xf>
    <xf numFmtId="0" fontId="18" fillId="0" borderId="3" xfId="0" applyFont="1" applyBorder="1" applyAlignment="1">
      <alignment horizontal="right"/>
    </xf>
    <xf numFmtId="0" fontId="2" fillId="2" borderId="2" xfId="0" applyFont="1" applyFill="1" applyBorder="1" applyAlignment="1">
      <alignment horizontal="right"/>
    </xf>
    <xf numFmtId="0" fontId="2" fillId="2" borderId="0" xfId="0" applyFont="1" applyFill="1" applyBorder="1" applyAlignment="1">
      <alignment horizontal="right"/>
    </xf>
    <xf numFmtId="165" fontId="2" fillId="2" borderId="3" xfId="2" applyNumberFormat="1" applyFont="1" applyFill="1" applyBorder="1" applyAlignment="1">
      <alignment wrapText="1"/>
    </xf>
    <xf numFmtId="165" fontId="3" fillId="2" borderId="3" xfId="2" applyNumberFormat="1" applyFont="1" applyFill="1" applyBorder="1" applyAlignment="1">
      <alignment wrapText="1"/>
    </xf>
    <xf numFmtId="165" fontId="2" fillId="2" borderId="3" xfId="2" applyNumberFormat="1" applyFont="1" applyFill="1" applyBorder="1"/>
    <xf numFmtId="0" fontId="2" fillId="2" borderId="3" xfId="0" applyFont="1" applyFill="1" applyBorder="1" applyAlignment="1">
      <alignment vertical="top" wrapText="1"/>
    </xf>
    <xf numFmtId="43" fontId="3" fillId="0" borderId="0" xfId="0" applyNumberFormat="1" applyFont="1"/>
    <xf numFmtId="43" fontId="3" fillId="0" borderId="0" xfId="0" applyNumberFormat="1" applyFont="1" applyFill="1"/>
    <xf numFmtId="0" fontId="3" fillId="0" borderId="0" xfId="0" applyFont="1" applyFill="1" applyBorder="1" applyAlignment="1">
      <alignment wrapText="1"/>
    </xf>
    <xf numFmtId="0" fontId="12" fillId="0" borderId="0" xfId="0" applyFont="1" applyFill="1" applyBorder="1"/>
    <xf numFmtId="0" fontId="2" fillId="0" borderId="0" xfId="0" applyFont="1" applyFill="1" applyBorder="1" applyAlignment="1"/>
    <xf numFmtId="1" fontId="3" fillId="0" borderId="0" xfId="0" applyNumberFormat="1" applyFont="1" applyFill="1" applyBorder="1" applyAlignment="1"/>
    <xf numFmtId="0" fontId="1" fillId="0" borderId="0" xfId="0" applyFont="1" applyFill="1" applyBorder="1" applyAlignment="1">
      <alignment vertical="top"/>
    </xf>
    <xf numFmtId="0" fontId="23" fillId="0" borderId="3" xfId="0" applyFont="1" applyFill="1" applyBorder="1" applyAlignment="1">
      <alignment wrapText="1"/>
    </xf>
    <xf numFmtId="49" fontId="3" fillId="0" borderId="0" xfId="0" applyNumberFormat="1" applyFont="1" applyFill="1" applyAlignment="1">
      <alignment horizontal="left"/>
    </xf>
    <xf numFmtId="17" fontId="2" fillId="2" borderId="3" xfId="0" applyNumberFormat="1" applyFont="1" applyFill="1" applyBorder="1" applyAlignment="1">
      <alignment horizontal="center"/>
    </xf>
    <xf numFmtId="17" fontId="2" fillId="2" borderId="3" xfId="0" applyNumberFormat="1" applyFont="1" applyFill="1" applyBorder="1" applyAlignment="1">
      <alignment horizontal="center" wrapText="1"/>
    </xf>
    <xf numFmtId="43" fontId="3" fillId="0" borderId="3" xfId="1" applyFont="1" applyBorder="1" applyAlignment="1">
      <alignment horizontal="left"/>
    </xf>
    <xf numFmtId="43" fontId="22" fillId="2" borderId="3" xfId="0" applyNumberFormat="1" applyFont="1" applyFill="1" applyBorder="1" applyAlignment="1">
      <alignment horizontal="left"/>
    </xf>
    <xf numFmtId="0" fontId="18" fillId="0" borderId="3" xfId="0" applyFont="1" applyFill="1" applyBorder="1" applyAlignment="1">
      <alignment horizontal="left"/>
    </xf>
    <xf numFmtId="0" fontId="18" fillId="0" borderId="3" xfId="0" applyFont="1" applyFill="1" applyBorder="1"/>
    <xf numFmtId="0" fontId="18" fillId="2" borderId="3" xfId="0" applyFont="1" applyFill="1" applyBorder="1" applyAlignment="1">
      <alignment horizontal="left"/>
    </xf>
    <xf numFmtId="43" fontId="18" fillId="2" borderId="3" xfId="0" applyNumberFormat="1" applyFont="1" applyFill="1" applyBorder="1" applyAlignment="1">
      <alignment horizontal="left"/>
    </xf>
    <xf numFmtId="49" fontId="3" fillId="2" borderId="3" xfId="0" applyNumberFormat="1" applyFont="1" applyFill="1" applyBorder="1" applyAlignment="1">
      <alignment horizontal="left"/>
    </xf>
    <xf numFmtId="165" fontId="2" fillId="0" borderId="3" xfId="2" applyNumberFormat="1" applyFont="1" applyFill="1" applyBorder="1" applyAlignment="1">
      <alignment horizontal="center"/>
    </xf>
    <xf numFmtId="3" fontId="6" fillId="0" borderId="3" xfId="0" applyNumberFormat="1" applyFont="1" applyFill="1" applyBorder="1" applyAlignment="1" applyProtection="1"/>
    <xf numFmtId="3" fontId="7" fillId="0" borderId="3" xfId="0" applyNumberFormat="1" applyFont="1" applyFill="1" applyBorder="1" applyAlignment="1" applyProtection="1"/>
    <xf numFmtId="0" fontId="6" fillId="0" borderId="3" xfId="0" applyFont="1" applyFill="1" applyBorder="1" applyAlignment="1" applyProtection="1"/>
    <xf numFmtId="0" fontId="7" fillId="0" borderId="3" xfId="0" applyFont="1" applyFill="1" applyBorder="1" applyAlignment="1" applyProtection="1"/>
    <xf numFmtId="0" fontId="8" fillId="0" borderId="3" xfId="0" applyFont="1" applyBorder="1" applyAlignment="1" applyProtection="1">
      <alignment horizontal="left" vertical="top" indent="2"/>
    </xf>
    <xf numFmtId="3" fontId="3" fillId="0" borderId="3" xfId="0" applyNumberFormat="1" applyFont="1" applyFill="1" applyBorder="1" applyAlignment="1" applyProtection="1">
      <alignment horizontal="left" indent="2"/>
    </xf>
    <xf numFmtId="3" fontId="9" fillId="0" borderId="3" xfId="0" applyNumberFormat="1" applyFont="1" applyFill="1" applyBorder="1" applyAlignment="1" applyProtection="1"/>
    <xf numFmtId="0" fontId="2" fillId="0" borderId="3" xfId="0" applyFont="1" applyFill="1" applyBorder="1" applyAlignment="1" applyProtection="1">
      <alignment vertical="center"/>
    </xf>
    <xf numFmtId="43" fontId="18" fillId="2" borderId="3" xfId="1" applyFont="1" applyFill="1" applyBorder="1"/>
    <xf numFmtId="3" fontId="4" fillId="0" borderId="3" xfId="0" applyNumberFormat="1" applyFont="1" applyFill="1" applyBorder="1" applyAlignment="1" applyProtection="1">
      <alignment horizontal="left" indent="6"/>
      <protection locked="0"/>
    </xf>
    <xf numFmtId="43" fontId="18" fillId="0" borderId="3" xfId="1" applyFont="1" applyFill="1" applyBorder="1"/>
    <xf numFmtId="3" fontId="4" fillId="0" borderId="3" xfId="0" applyNumberFormat="1" applyFont="1" applyFill="1" applyBorder="1" applyAlignment="1" applyProtection="1">
      <alignment horizontal="left" wrapText="1" indent="6"/>
      <protection locked="0"/>
    </xf>
    <xf numFmtId="3" fontId="3" fillId="2" borderId="3" xfId="0" applyNumberFormat="1" applyFont="1" applyFill="1" applyBorder="1" applyAlignment="1" applyProtection="1">
      <alignment horizontal="left" indent="2"/>
    </xf>
    <xf numFmtId="43" fontId="18" fillId="2" borderId="3" xfId="0" applyNumberFormat="1" applyFont="1" applyFill="1" applyBorder="1"/>
    <xf numFmtId="0" fontId="2" fillId="2" borderId="3" xfId="0" applyFont="1" applyFill="1" applyBorder="1" applyAlignment="1" applyProtection="1">
      <alignment vertical="center"/>
    </xf>
    <xf numFmtId="43" fontId="18" fillId="0" borderId="3" xfId="1" applyFont="1" applyBorder="1"/>
    <xf numFmtId="44" fontId="22" fillId="2" borderId="3" xfId="0" applyNumberFormat="1" applyFont="1" applyFill="1" applyBorder="1"/>
    <xf numFmtId="44" fontId="18" fillId="2" borderId="3" xfId="0" applyNumberFormat="1" applyFont="1" applyFill="1" applyBorder="1"/>
    <xf numFmtId="43" fontId="3" fillId="2" borderId="3" xfId="1" applyFont="1" applyFill="1" applyBorder="1" applyAlignment="1">
      <alignment horizontal="left"/>
    </xf>
    <xf numFmtId="17" fontId="2" fillId="0" borderId="3" xfId="0" applyNumberFormat="1" applyFont="1" applyFill="1" applyBorder="1" applyAlignment="1">
      <alignment horizontal="center"/>
    </xf>
    <xf numFmtId="43" fontId="3" fillId="0" borderId="3" xfId="1" applyFont="1" applyFill="1" applyBorder="1" applyAlignment="1">
      <alignment horizontal="left"/>
    </xf>
    <xf numFmtId="43" fontId="22" fillId="0" borderId="3" xfId="0" applyNumberFormat="1" applyFont="1" applyFill="1" applyBorder="1" applyAlignment="1">
      <alignment horizontal="left"/>
    </xf>
    <xf numFmtId="43" fontId="18" fillId="0" borderId="3" xfId="0" applyNumberFormat="1" applyFont="1" applyFill="1" applyBorder="1" applyAlignment="1">
      <alignment horizontal="left"/>
    </xf>
    <xf numFmtId="43" fontId="18" fillId="0" borderId="3" xfId="0" applyNumberFormat="1" applyFont="1" applyFill="1" applyBorder="1"/>
    <xf numFmtId="44" fontId="18" fillId="0" borderId="3" xfId="0" applyNumberFormat="1" applyFont="1" applyFill="1" applyBorder="1"/>
    <xf numFmtId="44" fontId="22" fillId="0" borderId="3" xfId="0" applyNumberFormat="1" applyFont="1" applyFill="1" applyBorder="1"/>
    <xf numFmtId="0" fontId="24" fillId="0" borderId="0" xfId="0" applyFont="1"/>
    <xf numFmtId="0" fontId="25" fillId="0" borderId="0" xfId="0" applyFont="1"/>
    <xf numFmtId="0" fontId="10" fillId="5" borderId="2" xfId="0" applyFont="1" applyFill="1" applyBorder="1" applyAlignment="1"/>
    <xf numFmtId="0" fontId="10" fillId="0" borderId="0" xfId="0" applyFont="1" applyFill="1" applyBorder="1" applyAlignment="1"/>
    <xf numFmtId="0" fontId="25" fillId="0" borderId="0" xfId="0" applyFont="1" applyBorder="1"/>
    <xf numFmtId="0" fontId="10" fillId="0" borderId="0" xfId="0" applyFont="1" applyFill="1" applyBorder="1" applyAlignment="1">
      <alignment horizontal="left"/>
    </xf>
    <xf numFmtId="0" fontId="25" fillId="0" borderId="0" xfId="0" applyFont="1" applyFill="1" applyBorder="1"/>
    <xf numFmtId="0" fontId="25" fillId="0" borderId="0" xfId="0" applyFont="1" applyFill="1"/>
    <xf numFmtId="0" fontId="16" fillId="0" borderId="3" xfId="0" applyFont="1" applyBorder="1" applyAlignment="1">
      <alignment wrapText="1"/>
    </xf>
    <xf numFmtId="165" fontId="2" fillId="2" borderId="3" xfId="2" applyNumberFormat="1" applyFont="1" applyFill="1" applyBorder="1" applyAlignment="1">
      <alignment horizontal="center" wrapText="1"/>
    </xf>
    <xf numFmtId="0" fontId="2" fillId="3" borderId="3" xfId="0" applyFont="1" applyFill="1" applyBorder="1" applyAlignment="1">
      <alignment horizontal="center" wrapText="1"/>
    </xf>
    <xf numFmtId="0" fontId="26" fillId="0" borderId="3" xfId="0" applyFont="1" applyBorder="1" applyAlignment="1">
      <alignment wrapText="1"/>
    </xf>
    <xf numFmtId="165" fontId="2" fillId="0" borderId="0" xfId="2" applyNumberFormat="1" applyFont="1" applyFill="1" applyBorder="1" applyAlignment="1"/>
    <xf numFmtId="0" fontId="2" fillId="0" borderId="0" xfId="0" applyFont="1" applyFill="1" applyBorder="1" applyAlignment="1">
      <alignment wrapText="1"/>
    </xf>
    <xf numFmtId="166" fontId="12" fillId="0" borderId="0" xfId="0" applyNumberFormat="1" applyFont="1"/>
    <xf numFmtId="165" fontId="18" fillId="0" borderId="0" xfId="0" applyNumberFormat="1" applyFont="1" applyFill="1" applyAlignment="1">
      <alignment wrapText="1"/>
    </xf>
    <xf numFmtId="0" fontId="2" fillId="0" borderId="9" xfId="0" applyFont="1" applyBorder="1" applyAlignment="1">
      <alignment horizontal="center"/>
    </xf>
    <xf numFmtId="0" fontId="22" fillId="2" borderId="3" xfId="0" applyFont="1" applyFill="1" applyBorder="1" applyAlignment="1">
      <alignment horizontal="left"/>
    </xf>
    <xf numFmtId="0" fontId="3" fillId="2" borderId="3" xfId="0" applyFont="1" applyFill="1" applyBorder="1" applyAlignment="1">
      <alignment horizontal="left" vertical="top" wrapText="1"/>
    </xf>
    <xf numFmtId="43" fontId="2" fillId="0" borderId="0" xfId="0" applyNumberFormat="1" applyFont="1"/>
    <xf numFmtId="43" fontId="18" fillId="0" borderId="0" xfId="0" applyNumberFormat="1" applyFont="1"/>
    <xf numFmtId="43" fontId="18" fillId="0" borderId="0" xfId="0" applyNumberFormat="1" applyFont="1" applyFill="1"/>
    <xf numFmtId="0" fontId="10" fillId="0" borderId="0"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8" xfId="0" applyFont="1" applyFill="1" applyBorder="1" applyAlignment="1">
      <alignment horizontal="left" vertical="top" wrapText="1"/>
    </xf>
    <xf numFmtId="1" fontId="1" fillId="2" borderId="12" xfId="0" applyNumberFormat="1" applyFont="1" applyFill="1" applyBorder="1" applyAlignment="1">
      <alignment horizontal="left" vertical="top" wrapText="1"/>
    </xf>
    <xf numFmtId="1" fontId="1" fillId="2" borderId="18" xfId="0" applyNumberFormat="1" applyFont="1" applyFill="1" applyBorder="1" applyAlignment="1">
      <alignment horizontal="left" vertical="top" wrapText="1"/>
    </xf>
    <xf numFmtId="1" fontId="1" fillId="2" borderId="8" xfId="0" applyNumberFormat="1" applyFont="1" applyFill="1" applyBorder="1" applyAlignment="1">
      <alignment horizontal="left" vertical="top" wrapText="1"/>
    </xf>
    <xf numFmtId="0" fontId="2" fillId="0" borderId="3" xfId="0" applyFont="1" applyBorder="1" applyAlignment="1">
      <alignment horizontal="center" vertical="top"/>
    </xf>
    <xf numFmtId="0" fontId="2" fillId="0" borderId="0" xfId="0" applyFont="1" applyBorder="1" applyAlignment="1">
      <alignment horizontal="center" vertical="top"/>
    </xf>
    <xf numFmtId="0" fontId="26" fillId="0" borderId="0" xfId="0" applyFont="1" applyBorder="1" applyAlignment="1">
      <alignment horizontal="center" vertical="top" wrapText="1"/>
    </xf>
    <xf numFmtId="0" fontId="2" fillId="0" borderId="15" xfId="0"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19" xfId="0" applyFont="1" applyBorder="1" applyAlignment="1">
      <alignment horizontal="center" vertical="top" wrapText="1"/>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election activeCell="J7" sqref="J7"/>
    </sheetView>
  </sheetViews>
  <sheetFormatPr defaultRowHeight="15.75" x14ac:dyDescent="0.25"/>
  <cols>
    <col min="1" max="1" width="9.42578125" style="173" bestFit="1" customWidth="1"/>
    <col min="2" max="16384" width="9.140625" style="173"/>
  </cols>
  <sheetData>
    <row r="1" spans="1:12" x14ac:dyDescent="0.25">
      <c r="A1" s="172" t="s">
        <v>118</v>
      </c>
    </row>
    <row r="2" spans="1:12" x14ac:dyDescent="0.25">
      <c r="A2" s="173" t="s">
        <v>148</v>
      </c>
    </row>
    <row r="4" spans="1:12" x14ac:dyDescent="0.25">
      <c r="A4" s="174" t="s">
        <v>149</v>
      </c>
      <c r="B4" s="175"/>
      <c r="C4" s="175"/>
      <c r="D4" s="175"/>
      <c r="E4" s="175"/>
      <c r="F4" s="175"/>
      <c r="G4" s="175"/>
    </row>
    <row r="5" spans="1:12" x14ac:dyDescent="0.25">
      <c r="A5" s="176"/>
      <c r="B5" s="176"/>
      <c r="C5" s="176"/>
      <c r="D5" s="176"/>
      <c r="E5" s="176"/>
      <c r="F5" s="176"/>
    </row>
    <row r="6" spans="1:12" x14ac:dyDescent="0.25">
      <c r="A6" s="177" t="s">
        <v>123</v>
      </c>
      <c r="B6" s="178"/>
      <c r="C6" s="178"/>
      <c r="D6" s="178"/>
      <c r="E6" s="178"/>
      <c r="F6" s="178"/>
      <c r="G6" s="179"/>
    </row>
    <row r="7" spans="1:12" x14ac:dyDescent="0.25">
      <c r="A7" s="177" t="s">
        <v>167</v>
      </c>
      <c r="B7" s="178"/>
      <c r="C7" s="178"/>
      <c r="D7" s="178"/>
      <c r="E7" s="178"/>
      <c r="F7" s="178"/>
      <c r="G7" s="179"/>
    </row>
    <row r="8" spans="1:12" x14ac:dyDescent="0.25">
      <c r="A8" s="177" t="s">
        <v>122</v>
      </c>
      <c r="B8" s="177"/>
      <c r="C8" s="177"/>
      <c r="D8" s="177"/>
      <c r="E8" s="177"/>
      <c r="F8" s="177"/>
      <c r="G8" s="179"/>
    </row>
    <row r="9" spans="1:12" x14ac:dyDescent="0.25">
      <c r="A9" s="177" t="s">
        <v>119</v>
      </c>
      <c r="B9" s="177"/>
      <c r="C9" s="177"/>
      <c r="D9" s="177"/>
      <c r="E9" s="177"/>
      <c r="F9" s="177"/>
      <c r="G9" s="179"/>
    </row>
    <row r="10" spans="1:12" x14ac:dyDescent="0.25">
      <c r="A10" s="177" t="s">
        <v>120</v>
      </c>
      <c r="B10" s="177"/>
      <c r="C10" s="177"/>
      <c r="D10" s="177"/>
      <c r="E10" s="177"/>
      <c r="F10" s="177"/>
      <c r="G10" s="179"/>
    </row>
    <row r="11" spans="1:12" x14ac:dyDescent="0.25">
      <c r="A11" s="177" t="s">
        <v>121</v>
      </c>
      <c r="B11" s="178"/>
      <c r="C11" s="178"/>
      <c r="D11" s="178"/>
      <c r="E11" s="178"/>
      <c r="F11" s="178"/>
      <c r="G11" s="179"/>
    </row>
    <row r="13" spans="1:12" ht="50.25" customHeight="1" x14ac:dyDescent="0.25">
      <c r="A13" s="194" t="s">
        <v>125</v>
      </c>
      <c r="B13" s="194"/>
      <c r="C13" s="194"/>
      <c r="D13" s="194"/>
      <c r="E13" s="194"/>
      <c r="F13" s="194"/>
      <c r="G13" s="194"/>
      <c r="H13" s="194"/>
      <c r="I13" s="194"/>
      <c r="J13" s="194"/>
      <c r="K13" s="194"/>
      <c r="L13" s="194"/>
    </row>
    <row r="15" spans="1:12" ht="56.25" customHeight="1" x14ac:dyDescent="0.25">
      <c r="A15" s="194" t="s">
        <v>134</v>
      </c>
      <c r="B15" s="194"/>
      <c r="C15" s="194"/>
      <c r="D15" s="194"/>
      <c r="E15" s="194"/>
      <c r="F15" s="194"/>
      <c r="G15" s="194"/>
      <c r="H15" s="194"/>
      <c r="I15" s="194"/>
      <c r="J15" s="194"/>
      <c r="K15" s="194"/>
      <c r="L15" s="194"/>
    </row>
  </sheetData>
  <mergeCells count="2">
    <mergeCell ref="A13:L13"/>
    <mergeCell ref="A15:L15"/>
  </mergeCells>
  <phoneticPr fontId="27" type="noConversion"/>
  <pageMargins left="0.7" right="0.7"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E141"/>
  <sheetViews>
    <sheetView topLeftCell="A28" zoomScaleNormal="100" workbookViewId="0">
      <selection activeCell="J7" sqref="J7"/>
    </sheetView>
  </sheetViews>
  <sheetFormatPr defaultRowHeight="12.75" x14ac:dyDescent="0.2"/>
  <cols>
    <col min="1" max="1" width="45.28515625" style="46" bestFit="1" customWidth="1"/>
    <col min="2" max="2" width="9.85546875" style="117" bestFit="1" customWidth="1"/>
    <col min="3" max="3" width="49.140625" style="91" customWidth="1"/>
    <col min="4" max="4" width="8.140625" style="46" bestFit="1" customWidth="1"/>
    <col min="5" max="5" width="32.85546875" style="47" bestFit="1" customWidth="1"/>
    <col min="6" max="16384" width="9.140625" style="46"/>
  </cols>
  <sheetData>
    <row r="1" spans="1:5" x14ac:dyDescent="0.2">
      <c r="A1" s="118"/>
    </row>
    <row r="2" spans="1:5" ht="13.5" thickBot="1" x14ac:dyDescent="0.25"/>
    <row r="3" spans="1:5" x14ac:dyDescent="0.2">
      <c r="A3" s="207" t="s">
        <v>157</v>
      </c>
      <c r="B3" s="208"/>
      <c r="C3" s="209"/>
    </row>
    <row r="4" spans="1:5" s="11" customFormat="1" x14ac:dyDescent="0.2">
      <c r="A4" s="10" t="s">
        <v>0</v>
      </c>
      <c r="B4" s="103" t="s">
        <v>1</v>
      </c>
      <c r="C4" s="10" t="s">
        <v>84</v>
      </c>
      <c r="D4" s="22"/>
      <c r="E4" s="37"/>
    </row>
    <row r="5" spans="1:5" s="11" customFormat="1" x14ac:dyDescent="0.2">
      <c r="A5" s="12" t="s">
        <v>85</v>
      </c>
      <c r="B5" s="104"/>
      <c r="C5" s="42"/>
      <c r="E5" s="38"/>
    </row>
    <row r="6" spans="1:5" s="43" customFormat="1" ht="38.25" x14ac:dyDescent="0.2">
      <c r="A6" s="24" t="s">
        <v>88</v>
      </c>
      <c r="B6" s="105">
        <f>5088*'School Enrollment Projection'!O9+'School Enrollment Projection'!O9*'School Enrollment Projection'!B25*0.3762+1200*('School Enrollment Projection'!O9)</f>
        <v>2209617.8219999997</v>
      </c>
      <c r="C6" s="183" t="s">
        <v>217</v>
      </c>
      <c r="E6" s="44"/>
    </row>
    <row r="7" spans="1:5" x14ac:dyDescent="0.2">
      <c r="A7" s="23" t="s">
        <v>89</v>
      </c>
      <c r="B7" s="106">
        <v>0</v>
      </c>
      <c r="C7" s="39" t="s">
        <v>6</v>
      </c>
      <c r="D7" s="48"/>
    </row>
    <row r="8" spans="1:5" x14ac:dyDescent="0.2">
      <c r="A8" s="23" t="s">
        <v>70</v>
      </c>
      <c r="B8" s="106">
        <v>0</v>
      </c>
      <c r="C8" s="39"/>
      <c r="D8" s="48"/>
    </row>
    <row r="9" spans="1:5" x14ac:dyDescent="0.2">
      <c r="A9" s="23" t="s">
        <v>127</v>
      </c>
      <c r="B9" s="106">
        <v>0</v>
      </c>
      <c r="C9" s="39"/>
      <c r="D9" s="48"/>
    </row>
    <row r="10" spans="1:5" x14ac:dyDescent="0.2">
      <c r="A10" s="23" t="s">
        <v>90</v>
      </c>
      <c r="B10" s="106">
        <v>0</v>
      </c>
      <c r="C10" s="39"/>
      <c r="D10" s="48"/>
    </row>
    <row r="11" spans="1:5" x14ac:dyDescent="0.2">
      <c r="A11" s="23" t="s">
        <v>91</v>
      </c>
      <c r="B11" s="106">
        <v>0</v>
      </c>
      <c r="C11" s="39"/>
      <c r="D11" s="48"/>
    </row>
    <row r="12" spans="1:5" x14ac:dyDescent="0.2">
      <c r="A12" s="23" t="s">
        <v>92</v>
      </c>
      <c r="B12" s="106">
        <v>12000</v>
      </c>
      <c r="C12" s="39"/>
      <c r="D12" s="48"/>
    </row>
    <row r="13" spans="1:5" x14ac:dyDescent="0.2">
      <c r="A13" s="23" t="s">
        <v>93</v>
      </c>
      <c r="B13" s="106">
        <v>15000</v>
      </c>
      <c r="C13" s="39"/>
      <c r="D13" s="48"/>
    </row>
    <row r="14" spans="1:5" ht="51" x14ac:dyDescent="0.2">
      <c r="A14" s="23" t="s">
        <v>137</v>
      </c>
      <c r="B14" s="106">
        <f>500*'School Enrollment Projection'!O7</f>
        <v>145000</v>
      </c>
      <c r="C14" s="92" t="s">
        <v>144</v>
      </c>
      <c r="D14" s="48"/>
    </row>
    <row r="15" spans="1:5" ht="25.5" x14ac:dyDescent="0.2">
      <c r="A15" s="23" t="s">
        <v>138</v>
      </c>
      <c r="B15" s="106"/>
      <c r="C15" s="92" t="s">
        <v>145</v>
      </c>
      <c r="D15" s="48"/>
    </row>
    <row r="16" spans="1:5" x14ac:dyDescent="0.2">
      <c r="A16" s="15" t="s">
        <v>43</v>
      </c>
      <c r="B16" s="107"/>
      <c r="C16" s="71"/>
      <c r="D16" s="48"/>
    </row>
    <row r="17" spans="1:5" ht="51" x14ac:dyDescent="0.2">
      <c r="A17" s="23" t="s">
        <v>100</v>
      </c>
      <c r="B17" s="108">
        <v>0</v>
      </c>
      <c r="C17" s="180" t="s">
        <v>135</v>
      </c>
      <c r="D17" s="135"/>
    </row>
    <row r="18" spans="1:5" x14ac:dyDescent="0.2">
      <c r="A18" s="23" t="s">
        <v>128</v>
      </c>
      <c r="B18" s="108">
        <v>0</v>
      </c>
      <c r="C18" s="134"/>
      <c r="D18" s="135"/>
    </row>
    <row r="19" spans="1:5" x14ac:dyDescent="0.2">
      <c r="A19" s="24" t="s">
        <v>2</v>
      </c>
      <c r="B19" s="106">
        <f>436*'School Enrollment Projection'!O7</f>
        <v>126440</v>
      </c>
      <c r="C19" s="55"/>
      <c r="D19" s="59"/>
      <c r="E19" s="72"/>
    </row>
    <row r="20" spans="1:5" x14ac:dyDescent="0.2">
      <c r="A20" s="24" t="s">
        <v>3</v>
      </c>
      <c r="B20" s="106">
        <v>20000</v>
      </c>
      <c r="C20" s="53"/>
      <c r="D20" s="59"/>
    </row>
    <row r="21" spans="1:5" x14ac:dyDescent="0.2">
      <c r="A21" s="23" t="s">
        <v>86</v>
      </c>
      <c r="B21" s="108">
        <v>116000</v>
      </c>
      <c r="C21" s="50" t="s">
        <v>173</v>
      </c>
      <c r="D21" s="59"/>
    </row>
    <row r="22" spans="1:5" x14ac:dyDescent="0.2">
      <c r="A22" s="23" t="s">
        <v>87</v>
      </c>
      <c r="B22" s="108"/>
      <c r="C22" s="50"/>
      <c r="D22" s="59"/>
    </row>
    <row r="23" spans="1:5" ht="25.5" x14ac:dyDescent="0.2">
      <c r="A23" s="14" t="s">
        <v>202</v>
      </c>
      <c r="B23" s="106">
        <v>69600</v>
      </c>
      <c r="C23" s="50"/>
      <c r="D23" s="59"/>
    </row>
    <row r="24" spans="1:5" x14ac:dyDescent="0.2">
      <c r="A24" s="14" t="s">
        <v>42</v>
      </c>
      <c r="B24" s="106"/>
      <c r="C24" s="50"/>
      <c r="D24" s="59"/>
    </row>
    <row r="25" spans="1:5" x14ac:dyDescent="0.2">
      <c r="A25" s="15" t="s">
        <v>44</v>
      </c>
      <c r="B25" s="107"/>
      <c r="C25" s="41"/>
      <c r="D25" s="48"/>
    </row>
    <row r="26" spans="1:5" x14ac:dyDescent="0.2">
      <c r="A26" s="24" t="s">
        <v>94</v>
      </c>
      <c r="B26" s="106">
        <v>0</v>
      </c>
      <c r="C26" s="39"/>
      <c r="D26" s="59"/>
    </row>
    <row r="27" spans="1:5" x14ac:dyDescent="0.2">
      <c r="A27" s="24" t="s">
        <v>95</v>
      </c>
      <c r="B27" s="106">
        <v>0</v>
      </c>
      <c r="C27" s="39"/>
      <c r="D27" s="59"/>
    </row>
    <row r="28" spans="1:5" x14ac:dyDescent="0.2">
      <c r="A28" s="24" t="s">
        <v>96</v>
      </c>
      <c r="B28" s="106">
        <v>0</v>
      </c>
      <c r="C28" s="39"/>
      <c r="D28" s="59"/>
    </row>
    <row r="29" spans="1:5" x14ac:dyDescent="0.2">
      <c r="A29" s="13" t="s">
        <v>48</v>
      </c>
      <c r="B29" s="106">
        <v>0</v>
      </c>
      <c r="C29" s="39"/>
      <c r="D29" s="59"/>
    </row>
    <row r="30" spans="1:5" x14ac:dyDescent="0.2">
      <c r="A30" s="13" t="s">
        <v>48</v>
      </c>
      <c r="B30" s="106">
        <v>0</v>
      </c>
      <c r="C30" s="39"/>
      <c r="D30" s="59"/>
    </row>
    <row r="31" spans="1:5" x14ac:dyDescent="0.2">
      <c r="A31" s="13" t="s">
        <v>48</v>
      </c>
      <c r="B31" s="106">
        <v>0</v>
      </c>
      <c r="C31" s="39"/>
      <c r="D31" s="59"/>
    </row>
    <row r="32" spans="1:5" x14ac:dyDescent="0.2">
      <c r="A32" s="13" t="s">
        <v>48</v>
      </c>
      <c r="B32" s="106">
        <v>0</v>
      </c>
      <c r="C32" s="39"/>
      <c r="D32" s="59"/>
    </row>
    <row r="33" spans="1:5" x14ac:dyDescent="0.2">
      <c r="A33" s="20" t="s">
        <v>4</v>
      </c>
      <c r="B33" s="107">
        <f>SUM(B6:B32)</f>
        <v>2713657.8219999997</v>
      </c>
      <c r="C33" s="41"/>
      <c r="D33" s="59"/>
    </row>
    <row r="34" spans="1:5" s="45" customFormat="1" x14ac:dyDescent="0.2">
      <c r="A34" s="16"/>
      <c r="B34" s="108"/>
      <c r="C34" s="73"/>
      <c r="D34" s="74"/>
      <c r="E34" s="187"/>
    </row>
    <row r="35" spans="1:5" x14ac:dyDescent="0.2">
      <c r="A35" s="10" t="s">
        <v>53</v>
      </c>
      <c r="B35" s="107"/>
      <c r="C35" s="41"/>
      <c r="D35" s="59"/>
    </row>
    <row r="36" spans="1:5" x14ac:dyDescent="0.2">
      <c r="A36" s="12" t="s">
        <v>73</v>
      </c>
      <c r="B36" s="107"/>
      <c r="C36" s="41"/>
      <c r="D36" s="59"/>
    </row>
    <row r="37" spans="1:5" x14ac:dyDescent="0.2">
      <c r="A37" s="61" t="s">
        <v>69</v>
      </c>
      <c r="B37" s="107">
        <f>'Staffing Year 8'!F28</f>
        <v>1084845.888</v>
      </c>
      <c r="C37" s="41" t="s">
        <v>5</v>
      </c>
      <c r="D37" s="59"/>
    </row>
    <row r="38" spans="1:5" x14ac:dyDescent="0.2">
      <c r="A38" s="93" t="s">
        <v>129</v>
      </c>
      <c r="B38" s="108">
        <v>4000</v>
      </c>
      <c r="C38" s="39" t="s">
        <v>179</v>
      </c>
      <c r="D38" s="59"/>
    </row>
    <row r="39" spans="1:5" x14ac:dyDescent="0.2">
      <c r="A39" s="14" t="s">
        <v>70</v>
      </c>
      <c r="B39" s="108">
        <v>25000</v>
      </c>
      <c r="C39" s="39" t="s">
        <v>199</v>
      </c>
      <c r="D39" s="76"/>
    </row>
    <row r="40" spans="1:5" x14ac:dyDescent="0.2">
      <c r="A40" s="14" t="s">
        <v>71</v>
      </c>
      <c r="B40" s="108">
        <v>0</v>
      </c>
      <c r="C40" s="39"/>
      <c r="D40" s="76"/>
    </row>
    <row r="41" spans="1:5" x14ac:dyDescent="0.2">
      <c r="A41" s="7" t="s">
        <v>171</v>
      </c>
      <c r="B41" s="108">
        <v>50000</v>
      </c>
      <c r="C41" s="39" t="s">
        <v>172</v>
      </c>
      <c r="D41" s="76"/>
    </row>
    <row r="42" spans="1:5" x14ac:dyDescent="0.2">
      <c r="A42" s="7" t="s">
        <v>186</v>
      </c>
      <c r="B42" s="108">
        <v>1050</v>
      </c>
      <c r="C42" s="39"/>
      <c r="D42" s="76"/>
    </row>
    <row r="43" spans="1:5" x14ac:dyDescent="0.2">
      <c r="A43" s="7" t="s">
        <v>205</v>
      </c>
      <c r="B43" s="108"/>
      <c r="C43" s="39"/>
      <c r="D43" s="76"/>
    </row>
    <row r="44" spans="1:5" x14ac:dyDescent="0.2">
      <c r="A44" s="7" t="s">
        <v>48</v>
      </c>
      <c r="B44" s="108"/>
      <c r="C44" s="39"/>
      <c r="D44" s="76"/>
    </row>
    <row r="45" spans="1:5" x14ac:dyDescent="0.2">
      <c r="A45" s="7" t="s">
        <v>48</v>
      </c>
      <c r="B45" s="108"/>
      <c r="C45" s="39"/>
      <c r="D45" s="76"/>
    </row>
    <row r="46" spans="1:5" s="43" customFormat="1" x14ac:dyDescent="0.2">
      <c r="A46" s="20" t="s">
        <v>72</v>
      </c>
      <c r="B46" s="107">
        <f>SUM(B37:B45)</f>
        <v>1164895.888</v>
      </c>
      <c r="C46" s="41"/>
      <c r="D46" s="81"/>
      <c r="E46" s="82"/>
    </row>
    <row r="47" spans="1:5" s="85" customFormat="1" x14ac:dyDescent="0.2">
      <c r="A47" s="61"/>
      <c r="B47" s="107"/>
      <c r="C47" s="41"/>
      <c r="D47" s="83"/>
      <c r="E47" s="84"/>
    </row>
    <row r="48" spans="1:5" x14ac:dyDescent="0.2">
      <c r="A48" s="15" t="s">
        <v>74</v>
      </c>
      <c r="B48" s="107"/>
      <c r="C48" s="41"/>
      <c r="D48" s="48"/>
    </row>
    <row r="49" spans="1:5" s="45" customFormat="1" x14ac:dyDescent="0.2">
      <c r="A49" s="77" t="s">
        <v>7</v>
      </c>
      <c r="B49" s="108">
        <v>2000</v>
      </c>
      <c r="C49" s="39"/>
      <c r="D49" s="78"/>
      <c r="E49" s="75"/>
    </row>
    <row r="50" spans="1:5" s="45" customFormat="1" x14ac:dyDescent="0.2">
      <c r="A50" s="77" t="s">
        <v>8</v>
      </c>
      <c r="B50" s="108">
        <v>0</v>
      </c>
      <c r="C50" s="39" t="s">
        <v>6</v>
      </c>
      <c r="D50" s="78"/>
      <c r="E50" s="75"/>
    </row>
    <row r="51" spans="1:5" s="45" customFormat="1" x14ac:dyDescent="0.2">
      <c r="A51" s="77" t="s">
        <v>9</v>
      </c>
      <c r="B51" s="108">
        <v>18700</v>
      </c>
      <c r="C51" s="39" t="s">
        <v>198</v>
      </c>
      <c r="D51" s="78"/>
      <c r="E51" s="75"/>
    </row>
    <row r="52" spans="1:5" x14ac:dyDescent="0.2">
      <c r="A52" s="19" t="s">
        <v>10</v>
      </c>
      <c r="B52" s="108">
        <f>5000+2125</f>
        <v>7125</v>
      </c>
      <c r="C52" s="39" t="s">
        <v>180</v>
      </c>
      <c r="D52" s="59"/>
    </row>
    <row r="53" spans="1:5" x14ac:dyDescent="0.2">
      <c r="A53" s="19" t="s">
        <v>11</v>
      </c>
      <c r="B53" s="108">
        <f>'YEAR 7'!B53</f>
        <v>20000</v>
      </c>
      <c r="C53" s="79" t="s">
        <v>188</v>
      </c>
      <c r="D53" s="59"/>
    </row>
    <row r="54" spans="1:5" x14ac:dyDescent="0.2">
      <c r="A54" s="19" t="s">
        <v>12</v>
      </c>
      <c r="B54" s="108">
        <v>50000</v>
      </c>
      <c r="C54" s="39" t="s">
        <v>177</v>
      </c>
      <c r="D54" s="59"/>
    </row>
    <row r="55" spans="1:5" x14ac:dyDescent="0.2">
      <c r="A55" s="19" t="s">
        <v>45</v>
      </c>
      <c r="B55" s="108">
        <v>31000</v>
      </c>
      <c r="C55" s="39"/>
      <c r="D55" s="59"/>
    </row>
    <row r="56" spans="1:5" x14ac:dyDescent="0.2">
      <c r="A56" s="80" t="s">
        <v>13</v>
      </c>
      <c r="B56" s="108">
        <v>5000</v>
      </c>
      <c r="C56" s="39"/>
      <c r="D56" s="76"/>
    </row>
    <row r="57" spans="1:5" x14ac:dyDescent="0.2">
      <c r="A57" s="14" t="s">
        <v>62</v>
      </c>
      <c r="B57" s="108">
        <v>6000</v>
      </c>
      <c r="C57" s="39" t="s">
        <v>178</v>
      </c>
      <c r="D57" s="76"/>
    </row>
    <row r="58" spans="1:5" x14ac:dyDescent="0.2">
      <c r="A58" s="7" t="s">
        <v>176</v>
      </c>
      <c r="B58" s="108">
        <v>4500</v>
      </c>
      <c r="C58" s="39"/>
      <c r="D58" s="59"/>
    </row>
    <row r="59" spans="1:5" x14ac:dyDescent="0.2">
      <c r="A59" s="7" t="s">
        <v>181</v>
      </c>
      <c r="B59" s="108">
        <v>25000</v>
      </c>
      <c r="C59" s="39"/>
      <c r="D59" s="59"/>
    </row>
    <row r="60" spans="1:5" x14ac:dyDescent="0.2">
      <c r="A60" s="7" t="s">
        <v>182</v>
      </c>
      <c r="B60" s="108">
        <v>14000</v>
      </c>
      <c r="C60" s="39"/>
      <c r="D60" s="59"/>
    </row>
    <row r="61" spans="1:5" x14ac:dyDescent="0.2">
      <c r="A61" s="7" t="s">
        <v>48</v>
      </c>
      <c r="B61" s="108"/>
      <c r="C61" s="39"/>
      <c r="D61" s="59"/>
    </row>
    <row r="62" spans="1:5" x14ac:dyDescent="0.2">
      <c r="A62" s="7" t="s">
        <v>48</v>
      </c>
      <c r="B62" s="108"/>
      <c r="C62" s="39"/>
      <c r="D62" s="59"/>
    </row>
    <row r="63" spans="1:5" s="43" customFormat="1" x14ac:dyDescent="0.2">
      <c r="A63" s="20" t="s">
        <v>75</v>
      </c>
      <c r="B63" s="107">
        <f>SUM(B49:B62)</f>
        <v>183325</v>
      </c>
      <c r="C63" s="41"/>
      <c r="D63" s="81"/>
      <c r="E63" s="82"/>
    </row>
    <row r="64" spans="1:5" s="85" customFormat="1" x14ac:dyDescent="0.2">
      <c r="A64" s="61"/>
      <c r="B64" s="107"/>
      <c r="C64" s="41"/>
      <c r="D64" s="83"/>
      <c r="E64" s="84"/>
    </row>
    <row r="65" spans="1:5" x14ac:dyDescent="0.2">
      <c r="A65" s="15" t="s">
        <v>46</v>
      </c>
      <c r="B65" s="107"/>
      <c r="C65" s="41"/>
      <c r="D65" s="48"/>
    </row>
    <row r="66" spans="1:5" x14ac:dyDescent="0.2">
      <c r="A66" s="7" t="s">
        <v>20</v>
      </c>
      <c r="B66" s="109">
        <v>5000</v>
      </c>
      <c r="C66" s="39"/>
      <c r="D66" s="59"/>
    </row>
    <row r="67" spans="1:5" x14ac:dyDescent="0.2">
      <c r="A67" s="7" t="s">
        <v>21</v>
      </c>
      <c r="B67" s="110">
        <v>0</v>
      </c>
      <c r="C67" s="39"/>
      <c r="D67" s="59"/>
    </row>
    <row r="68" spans="1:5" x14ac:dyDescent="0.2">
      <c r="A68" s="14" t="s">
        <v>22</v>
      </c>
      <c r="B68" s="110">
        <v>0</v>
      </c>
      <c r="C68" s="86"/>
      <c r="D68" s="76"/>
    </row>
    <row r="69" spans="1:5" x14ac:dyDescent="0.2">
      <c r="A69" s="7" t="s">
        <v>23</v>
      </c>
      <c r="B69" s="110">
        <v>10000</v>
      </c>
      <c r="C69" s="86"/>
      <c r="D69" s="76"/>
    </row>
    <row r="70" spans="1:5" x14ac:dyDescent="0.2">
      <c r="A70" s="7" t="s">
        <v>184</v>
      </c>
      <c r="B70" s="110">
        <v>1000</v>
      </c>
      <c r="C70" s="39"/>
      <c r="D70" s="59"/>
    </row>
    <row r="71" spans="1:5" x14ac:dyDescent="0.2">
      <c r="A71" s="7" t="s">
        <v>185</v>
      </c>
      <c r="B71" s="110">
        <v>2500</v>
      </c>
      <c r="C71" s="39"/>
      <c r="D71" s="59"/>
    </row>
    <row r="72" spans="1:5" x14ac:dyDescent="0.2">
      <c r="A72" s="7" t="s">
        <v>48</v>
      </c>
      <c r="B72" s="110"/>
      <c r="C72" s="39"/>
      <c r="D72" s="59"/>
    </row>
    <row r="73" spans="1:5" x14ac:dyDescent="0.2">
      <c r="A73" s="7" t="s">
        <v>48</v>
      </c>
      <c r="B73" s="110"/>
      <c r="C73" s="39"/>
      <c r="D73" s="59"/>
    </row>
    <row r="74" spans="1:5" x14ac:dyDescent="0.2">
      <c r="A74" s="7" t="s">
        <v>48</v>
      </c>
      <c r="B74" s="110"/>
      <c r="C74" s="39"/>
      <c r="D74" s="59"/>
    </row>
    <row r="75" spans="1:5" s="43" customFormat="1" x14ac:dyDescent="0.2">
      <c r="A75" s="20" t="s">
        <v>76</v>
      </c>
      <c r="B75" s="107">
        <f>SUM(B66:B74)</f>
        <v>18500</v>
      </c>
      <c r="C75" s="41"/>
      <c r="D75" s="81"/>
      <c r="E75" s="82"/>
    </row>
    <row r="76" spans="1:5" s="43" customFormat="1" x14ac:dyDescent="0.2">
      <c r="A76" s="20"/>
      <c r="B76" s="107"/>
      <c r="C76" s="41"/>
      <c r="D76" s="81"/>
      <c r="E76" s="82"/>
    </row>
    <row r="77" spans="1:5" x14ac:dyDescent="0.2">
      <c r="A77" s="15" t="s">
        <v>51</v>
      </c>
      <c r="B77" s="107"/>
      <c r="C77" s="41"/>
      <c r="D77" s="48"/>
    </row>
    <row r="78" spans="1:5" ht="25.5" x14ac:dyDescent="0.2">
      <c r="A78" s="14" t="s">
        <v>52</v>
      </c>
      <c r="B78" s="109">
        <v>0</v>
      </c>
      <c r="C78" s="39" t="s">
        <v>6</v>
      </c>
      <c r="D78" s="87"/>
    </row>
    <row r="79" spans="1:5" x14ac:dyDescent="0.2">
      <c r="A79" s="14" t="s">
        <v>14</v>
      </c>
      <c r="B79" s="109">
        <v>0</v>
      </c>
      <c r="C79" s="39"/>
      <c r="D79" s="76"/>
    </row>
    <row r="80" spans="1:5" x14ac:dyDescent="0.2">
      <c r="A80" s="14" t="s">
        <v>15</v>
      </c>
      <c r="B80" s="109">
        <v>0</v>
      </c>
      <c r="C80" s="39"/>
      <c r="D80" s="76"/>
    </row>
    <row r="81" spans="1:5" x14ac:dyDescent="0.2">
      <c r="A81" s="7" t="s">
        <v>48</v>
      </c>
      <c r="B81" s="110"/>
      <c r="C81" s="39"/>
      <c r="D81" s="59"/>
    </row>
    <row r="82" spans="1:5" x14ac:dyDescent="0.2">
      <c r="A82" s="7" t="s">
        <v>48</v>
      </c>
      <c r="B82" s="110"/>
      <c r="C82" s="39"/>
      <c r="D82" s="59"/>
    </row>
    <row r="83" spans="1:5" x14ac:dyDescent="0.2">
      <c r="A83" s="7" t="s">
        <v>48</v>
      </c>
      <c r="B83" s="110"/>
      <c r="C83" s="39"/>
      <c r="D83" s="59"/>
    </row>
    <row r="84" spans="1:5" x14ac:dyDescent="0.2">
      <c r="A84" s="7" t="s">
        <v>48</v>
      </c>
      <c r="B84" s="110"/>
      <c r="C84" s="39"/>
      <c r="D84" s="59"/>
    </row>
    <row r="85" spans="1:5" x14ac:dyDescent="0.2">
      <c r="A85" s="7" t="s">
        <v>48</v>
      </c>
      <c r="B85" s="110"/>
      <c r="C85" s="39"/>
      <c r="D85" s="59"/>
    </row>
    <row r="86" spans="1:5" s="43" customFormat="1" x14ac:dyDescent="0.2">
      <c r="A86" s="20" t="s">
        <v>77</v>
      </c>
      <c r="B86" s="107">
        <f>SUM(B78:B85)</f>
        <v>0</v>
      </c>
      <c r="C86" s="41"/>
      <c r="D86" s="81"/>
      <c r="E86" s="82"/>
    </row>
    <row r="87" spans="1:5" s="43" customFormat="1" x14ac:dyDescent="0.2">
      <c r="A87" s="20"/>
      <c r="B87" s="107"/>
      <c r="C87" s="41"/>
      <c r="D87" s="81"/>
      <c r="E87" s="82"/>
    </row>
    <row r="88" spans="1:5" x14ac:dyDescent="0.2">
      <c r="A88" s="15" t="s">
        <v>47</v>
      </c>
      <c r="B88" s="107"/>
      <c r="C88" s="41"/>
      <c r="D88" s="48"/>
    </row>
    <row r="89" spans="1:5" x14ac:dyDescent="0.2">
      <c r="A89" s="14" t="s">
        <v>16</v>
      </c>
      <c r="B89" s="109">
        <v>15000</v>
      </c>
      <c r="C89" s="39"/>
      <c r="D89" s="76"/>
    </row>
    <row r="90" spans="1:5" x14ac:dyDescent="0.2">
      <c r="A90" s="23" t="s">
        <v>126</v>
      </c>
      <c r="B90" s="109">
        <v>6000</v>
      </c>
      <c r="C90" s="39" t="s">
        <v>190</v>
      </c>
      <c r="D90" s="76"/>
    </row>
    <row r="91" spans="1:5" ht="25.5" x14ac:dyDescent="0.2">
      <c r="A91" s="14" t="s">
        <v>17</v>
      </c>
      <c r="B91" s="109">
        <v>1800</v>
      </c>
      <c r="C91" s="39" t="s">
        <v>194</v>
      </c>
      <c r="D91" s="76"/>
    </row>
    <row r="92" spans="1:5" x14ac:dyDescent="0.2">
      <c r="A92" s="14" t="s">
        <v>18</v>
      </c>
      <c r="B92" s="111">
        <v>64000</v>
      </c>
      <c r="C92" s="39" t="s">
        <v>195</v>
      </c>
      <c r="D92" s="76"/>
    </row>
    <row r="93" spans="1:5" x14ac:dyDescent="0.2">
      <c r="A93" s="14" t="s">
        <v>19</v>
      </c>
      <c r="B93" s="109">
        <v>20000</v>
      </c>
      <c r="C93" s="39" t="s">
        <v>191</v>
      </c>
      <c r="D93" s="76"/>
    </row>
    <row r="94" spans="1:5" x14ac:dyDescent="0.2">
      <c r="A94" s="7" t="s">
        <v>27</v>
      </c>
      <c r="B94" s="109">
        <v>0</v>
      </c>
      <c r="C94" s="39" t="s">
        <v>6</v>
      </c>
      <c r="D94" s="59"/>
    </row>
    <row r="95" spans="1:5" x14ac:dyDescent="0.2">
      <c r="A95" s="14" t="s">
        <v>24</v>
      </c>
      <c r="B95" s="110">
        <v>5000</v>
      </c>
      <c r="C95" s="39" t="s">
        <v>189</v>
      </c>
      <c r="D95" s="76"/>
    </row>
    <row r="96" spans="1:5" x14ac:dyDescent="0.2">
      <c r="A96" s="14" t="s">
        <v>25</v>
      </c>
      <c r="B96" s="110">
        <v>6000</v>
      </c>
      <c r="C96" s="39"/>
      <c r="D96" s="76"/>
    </row>
    <row r="97" spans="1:5" ht="25.5" x14ac:dyDescent="0.2">
      <c r="A97" s="23" t="s">
        <v>101</v>
      </c>
      <c r="B97" s="110">
        <v>30000</v>
      </c>
      <c r="C97" s="39"/>
      <c r="D97" s="76"/>
    </row>
    <row r="98" spans="1:5" x14ac:dyDescent="0.2">
      <c r="A98" s="7" t="s">
        <v>31</v>
      </c>
      <c r="B98" s="109">
        <v>5000</v>
      </c>
      <c r="C98" s="39"/>
      <c r="D98" s="59"/>
    </row>
    <row r="99" spans="1:5" x14ac:dyDescent="0.2">
      <c r="A99" s="7" t="s">
        <v>32</v>
      </c>
      <c r="B99" s="109">
        <v>1000</v>
      </c>
      <c r="C99" s="39"/>
      <c r="D99" s="59"/>
    </row>
    <row r="100" spans="1:5" x14ac:dyDescent="0.2">
      <c r="A100" s="49" t="s">
        <v>97</v>
      </c>
      <c r="B100" s="112">
        <v>23159</v>
      </c>
      <c r="C100" s="50" t="s">
        <v>193</v>
      </c>
      <c r="D100" s="59"/>
      <c r="E100" s="88"/>
    </row>
    <row r="101" spans="1:5" x14ac:dyDescent="0.2">
      <c r="A101" s="49" t="s">
        <v>49</v>
      </c>
      <c r="B101" s="112">
        <v>0</v>
      </c>
      <c r="C101" s="50" t="s">
        <v>197</v>
      </c>
      <c r="D101" s="59"/>
      <c r="E101" s="88"/>
    </row>
    <row r="102" spans="1:5" x14ac:dyDescent="0.2">
      <c r="A102" s="49" t="s">
        <v>28</v>
      </c>
      <c r="B102" s="112">
        <f>B21</f>
        <v>116000</v>
      </c>
      <c r="C102" s="50" t="s">
        <v>174</v>
      </c>
      <c r="D102" s="59"/>
    </row>
    <row r="103" spans="1:5" x14ac:dyDescent="0.2">
      <c r="A103" s="49" t="s">
        <v>29</v>
      </c>
      <c r="B103" s="112">
        <v>20000</v>
      </c>
      <c r="C103" s="50" t="s">
        <v>192</v>
      </c>
      <c r="D103" s="59"/>
    </row>
    <row r="104" spans="1:5" x14ac:dyDescent="0.2">
      <c r="A104" s="93" t="s">
        <v>131</v>
      </c>
      <c r="B104" s="112"/>
      <c r="C104" s="50"/>
      <c r="D104" s="59"/>
    </row>
    <row r="105" spans="1:5" x14ac:dyDescent="0.2">
      <c r="A105" s="49" t="s">
        <v>168</v>
      </c>
      <c r="B105" s="112">
        <v>20000</v>
      </c>
      <c r="C105" s="50" t="s">
        <v>169</v>
      </c>
      <c r="D105" s="59"/>
    </row>
    <row r="106" spans="1:5" x14ac:dyDescent="0.2">
      <c r="A106" s="49" t="s">
        <v>196</v>
      </c>
      <c r="B106" s="112"/>
      <c r="C106" s="50"/>
      <c r="D106" s="59"/>
    </row>
    <row r="107" spans="1:5" x14ac:dyDescent="0.2">
      <c r="A107" s="49" t="s">
        <v>48</v>
      </c>
      <c r="B107" s="112"/>
      <c r="C107" s="50"/>
      <c r="D107" s="59"/>
    </row>
    <row r="108" spans="1:5" ht="13.5" x14ac:dyDescent="0.25">
      <c r="A108" s="49" t="s">
        <v>48</v>
      </c>
      <c r="B108" s="113"/>
      <c r="C108" s="51"/>
      <c r="D108" s="59"/>
    </row>
    <row r="109" spans="1:5" s="43" customFormat="1" x14ac:dyDescent="0.2">
      <c r="A109" s="20" t="s">
        <v>78</v>
      </c>
      <c r="B109" s="107">
        <f>SUM(B89:B108)</f>
        <v>332959</v>
      </c>
      <c r="C109" s="41"/>
      <c r="D109" s="81"/>
      <c r="E109" s="82"/>
    </row>
    <row r="110" spans="1:5" s="45" customFormat="1" x14ac:dyDescent="0.2">
      <c r="A110" s="63"/>
      <c r="B110" s="107"/>
      <c r="C110" s="40"/>
      <c r="D110" s="74"/>
      <c r="E110" s="75"/>
    </row>
    <row r="111" spans="1:5" x14ac:dyDescent="0.2">
      <c r="A111" s="63" t="s">
        <v>33</v>
      </c>
      <c r="B111" s="107"/>
      <c r="C111" s="40"/>
      <c r="D111" s="59"/>
    </row>
    <row r="112" spans="1:5" x14ac:dyDescent="0.2">
      <c r="A112" s="49" t="s">
        <v>34</v>
      </c>
      <c r="B112" s="113">
        <v>304799</v>
      </c>
      <c r="C112" s="50" t="s">
        <v>6</v>
      </c>
      <c r="D112" s="59"/>
    </row>
    <row r="113" spans="1:5" x14ac:dyDescent="0.2">
      <c r="A113" s="141" t="s">
        <v>132</v>
      </c>
      <c r="B113" s="113"/>
      <c r="C113" s="50"/>
      <c r="D113" s="59"/>
    </row>
    <row r="114" spans="1:5" x14ac:dyDescent="0.2">
      <c r="A114" s="89" t="s">
        <v>35</v>
      </c>
      <c r="B114" s="113">
        <v>35000</v>
      </c>
      <c r="C114" s="50" t="s">
        <v>6</v>
      </c>
      <c r="D114" s="59"/>
    </row>
    <row r="115" spans="1:5" x14ac:dyDescent="0.2">
      <c r="A115" s="49" t="s">
        <v>98</v>
      </c>
      <c r="B115" s="113">
        <v>2900</v>
      </c>
      <c r="C115" s="50"/>
      <c r="D115" s="59"/>
    </row>
    <row r="116" spans="1:5" x14ac:dyDescent="0.2">
      <c r="A116" s="52" t="s">
        <v>36</v>
      </c>
      <c r="B116" s="113">
        <v>20000</v>
      </c>
      <c r="C116" s="50"/>
      <c r="D116" s="76"/>
    </row>
    <row r="117" spans="1:5" x14ac:dyDescent="0.2">
      <c r="A117" s="52" t="s">
        <v>37</v>
      </c>
      <c r="B117" s="113">
        <v>20000</v>
      </c>
      <c r="C117" s="50"/>
      <c r="D117" s="76"/>
    </row>
    <row r="118" spans="1:5" x14ac:dyDescent="0.2">
      <c r="A118" s="49" t="s">
        <v>26</v>
      </c>
      <c r="B118" s="112">
        <v>35000</v>
      </c>
      <c r="C118" s="50"/>
      <c r="D118" s="59"/>
    </row>
    <row r="119" spans="1:5" x14ac:dyDescent="0.2">
      <c r="A119" s="49" t="s">
        <v>30</v>
      </c>
      <c r="B119" s="112">
        <v>1500</v>
      </c>
      <c r="C119" s="50"/>
      <c r="D119" s="59"/>
    </row>
    <row r="120" spans="1:5" x14ac:dyDescent="0.2">
      <c r="A120" s="93" t="s">
        <v>133</v>
      </c>
      <c r="B120" s="113"/>
      <c r="C120" s="50"/>
      <c r="D120" s="59"/>
    </row>
    <row r="121" spans="1:5" x14ac:dyDescent="0.2">
      <c r="A121" s="49" t="s">
        <v>175</v>
      </c>
      <c r="B121" s="113">
        <v>9500</v>
      </c>
      <c r="C121" s="50"/>
      <c r="D121" s="59"/>
    </row>
    <row r="122" spans="1:5" x14ac:dyDescent="0.2">
      <c r="A122" s="49" t="s">
        <v>183</v>
      </c>
      <c r="B122" s="113">
        <v>7000</v>
      </c>
      <c r="C122" s="50"/>
      <c r="D122" s="59"/>
    </row>
    <row r="123" spans="1:5" x14ac:dyDescent="0.2">
      <c r="A123" s="49" t="s">
        <v>205</v>
      </c>
      <c r="B123" s="113"/>
      <c r="C123" s="50"/>
      <c r="D123" s="59"/>
    </row>
    <row r="124" spans="1:5" x14ac:dyDescent="0.2">
      <c r="A124" s="49" t="s">
        <v>187</v>
      </c>
      <c r="B124" s="113">
        <v>1200</v>
      </c>
      <c r="C124" s="50"/>
      <c r="D124" s="59"/>
    </row>
    <row r="125" spans="1:5" x14ac:dyDescent="0.2">
      <c r="A125" s="20" t="s">
        <v>38</v>
      </c>
      <c r="B125" s="107">
        <f>SUM(B112:B124)</f>
        <v>436899</v>
      </c>
      <c r="C125" s="41"/>
      <c r="D125" s="59"/>
    </row>
    <row r="126" spans="1:5" s="45" customFormat="1" x14ac:dyDescent="0.2">
      <c r="A126" s="61"/>
      <c r="B126" s="107"/>
      <c r="C126" s="41"/>
      <c r="D126" s="74"/>
      <c r="E126" s="75"/>
    </row>
    <row r="127" spans="1:5" x14ac:dyDescent="0.2">
      <c r="A127" s="17" t="s">
        <v>79</v>
      </c>
      <c r="B127" s="114"/>
      <c r="C127" s="40"/>
      <c r="D127" s="59"/>
    </row>
    <row r="128" spans="1:5" s="45" customFormat="1" x14ac:dyDescent="0.2">
      <c r="A128" s="93" t="s">
        <v>81</v>
      </c>
      <c r="B128" s="115"/>
      <c r="C128" s="92"/>
      <c r="D128" s="74"/>
      <c r="E128" s="75"/>
    </row>
    <row r="129" spans="1:5" s="45" customFormat="1" x14ac:dyDescent="0.2">
      <c r="A129" s="93" t="s">
        <v>99</v>
      </c>
      <c r="B129" s="115">
        <f>0.03*B6</f>
        <v>66288.53465999999</v>
      </c>
      <c r="C129" s="92" t="s">
        <v>146</v>
      </c>
      <c r="D129" s="74"/>
      <c r="E129" s="75"/>
    </row>
    <row r="130" spans="1:5" s="45" customFormat="1" ht="51" x14ac:dyDescent="0.2">
      <c r="A130" s="93" t="s">
        <v>80</v>
      </c>
      <c r="B130" s="115">
        <v>0</v>
      </c>
      <c r="C130" s="92" t="s">
        <v>124</v>
      </c>
      <c r="D130" s="74"/>
      <c r="E130" s="75"/>
    </row>
    <row r="131" spans="1:5" s="45" customFormat="1" ht="25.5" x14ac:dyDescent="0.2">
      <c r="A131" s="23" t="s">
        <v>140</v>
      </c>
      <c r="B131" s="115">
        <v>0</v>
      </c>
      <c r="C131" s="92"/>
      <c r="D131" s="74"/>
      <c r="E131" s="75"/>
    </row>
    <row r="132" spans="1:5" s="56" customFormat="1" ht="51" x14ac:dyDescent="0.2">
      <c r="A132" s="93" t="s">
        <v>139</v>
      </c>
      <c r="B132" s="108"/>
      <c r="C132" s="92" t="s">
        <v>147</v>
      </c>
      <c r="D132" s="57"/>
      <c r="E132" s="58"/>
    </row>
    <row r="133" spans="1:5" x14ac:dyDescent="0.2">
      <c r="A133" s="49" t="s">
        <v>201</v>
      </c>
      <c r="B133" s="106">
        <v>134052</v>
      </c>
      <c r="C133" s="39"/>
      <c r="D133" s="59"/>
    </row>
    <row r="134" spans="1:5" x14ac:dyDescent="0.2">
      <c r="A134" s="49" t="s">
        <v>203</v>
      </c>
      <c r="B134" s="106">
        <f>38496*1.5</f>
        <v>57744</v>
      </c>
      <c r="C134" s="39" t="s">
        <v>204</v>
      </c>
      <c r="D134" s="59"/>
    </row>
    <row r="135" spans="1:5" x14ac:dyDescent="0.2">
      <c r="A135" s="20" t="s">
        <v>39</v>
      </c>
      <c r="B135" s="107">
        <f>SUM(B128:B134)</f>
        <v>258084.53466</v>
      </c>
      <c r="C135" s="41"/>
      <c r="D135" s="59"/>
    </row>
    <row r="136" spans="1:5" x14ac:dyDescent="0.2">
      <c r="A136" s="20"/>
      <c r="B136" s="107"/>
      <c r="C136" s="41"/>
      <c r="D136" s="59"/>
    </row>
    <row r="137" spans="1:5" x14ac:dyDescent="0.2">
      <c r="A137" s="20" t="s">
        <v>40</v>
      </c>
      <c r="B137" s="107">
        <f>B135+B125+B109+B86+B75+B63+B46</f>
        <v>2394663.4226599997</v>
      </c>
      <c r="C137" s="41"/>
      <c r="D137" s="59"/>
    </row>
    <row r="138" spans="1:5" x14ac:dyDescent="0.2">
      <c r="A138" s="122"/>
      <c r="B138" s="116"/>
      <c r="C138" s="90"/>
      <c r="D138" s="59"/>
    </row>
    <row r="139" spans="1:5" s="45" customFormat="1" x14ac:dyDescent="0.2">
      <c r="A139" s="121" t="s">
        <v>82</v>
      </c>
      <c r="B139" s="116">
        <f>B33-B137</f>
        <v>318994.39934</v>
      </c>
      <c r="C139" s="90"/>
      <c r="D139" s="74"/>
      <c r="E139" s="75"/>
    </row>
    <row r="141" spans="1:5" x14ac:dyDescent="0.2">
      <c r="A141" s="46" t="s">
        <v>83</v>
      </c>
      <c r="B141" s="117">
        <f>B139+'YEAR 7'!B141</f>
        <v>908244.228992166</v>
      </c>
    </row>
  </sheetData>
  <mergeCells count="1">
    <mergeCell ref="A3:C3"/>
  </mergeCells>
  <pageMargins left="0.7" right="0.7" top="0.75" bottom="0.7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37"/>
  <sheetViews>
    <sheetView topLeftCell="A21" workbookViewId="0">
      <selection activeCell="J7" sqref="J7"/>
    </sheetView>
  </sheetViews>
  <sheetFormatPr defaultColWidth="15.7109375" defaultRowHeight="12.75" x14ac:dyDescent="0.2"/>
  <cols>
    <col min="1" max="1" width="33.140625" style="46" customWidth="1"/>
    <col min="2" max="2" width="14.42578125" style="46" customWidth="1"/>
    <col min="3" max="5" width="15.7109375" style="46" customWidth="1"/>
    <col min="6" max="29" width="15.7109375" style="43" customWidth="1"/>
    <col min="30" max="16384" width="15.7109375" style="46"/>
  </cols>
  <sheetData>
    <row r="1" spans="1:29" ht="18" customHeight="1" x14ac:dyDescent="0.2">
      <c r="A1" s="202" t="s">
        <v>155</v>
      </c>
      <c r="B1" s="202"/>
      <c r="C1" s="202"/>
      <c r="D1" s="202"/>
      <c r="E1" s="202"/>
      <c r="F1" s="202"/>
    </row>
    <row r="2" spans="1:29" s="4" customFormat="1" ht="41.25" customHeight="1" x14ac:dyDescent="0.2">
      <c r="A2" s="203" t="s">
        <v>130</v>
      </c>
      <c r="B2" s="203"/>
      <c r="C2" s="203"/>
      <c r="D2" s="203"/>
      <c r="E2" s="203"/>
      <c r="F2" s="203"/>
      <c r="G2" s="3"/>
      <c r="H2" s="3"/>
      <c r="I2" s="3"/>
      <c r="J2" s="3"/>
      <c r="K2" s="3"/>
      <c r="L2" s="3"/>
      <c r="M2" s="3"/>
      <c r="N2" s="3"/>
      <c r="O2" s="3"/>
      <c r="P2" s="3"/>
      <c r="Q2" s="3"/>
      <c r="R2" s="3"/>
      <c r="S2" s="3"/>
      <c r="T2" s="3"/>
      <c r="U2" s="3"/>
      <c r="V2" s="3"/>
      <c r="W2" s="3"/>
      <c r="X2" s="3"/>
      <c r="Y2" s="3"/>
      <c r="Z2" s="3"/>
      <c r="AA2" s="3"/>
      <c r="AB2" s="3"/>
      <c r="AC2" s="3"/>
    </row>
    <row r="3" spans="1:29" s="6" customFormat="1" ht="13.5" thickBot="1" x14ac:dyDescent="0.25">
      <c r="A3" s="5"/>
      <c r="B3" s="3"/>
      <c r="C3" s="3"/>
      <c r="D3" s="3"/>
      <c r="E3" s="3"/>
      <c r="F3" s="3"/>
      <c r="G3" s="3"/>
      <c r="H3" s="3"/>
      <c r="I3" s="3"/>
      <c r="J3" s="3"/>
      <c r="K3" s="3"/>
      <c r="L3" s="3"/>
      <c r="M3" s="3"/>
      <c r="N3" s="3"/>
      <c r="O3" s="3"/>
      <c r="P3" s="3"/>
      <c r="Q3" s="3"/>
      <c r="R3" s="3"/>
      <c r="S3" s="3"/>
      <c r="T3" s="3"/>
      <c r="U3" s="3"/>
      <c r="V3" s="3"/>
      <c r="W3" s="3"/>
      <c r="X3" s="3"/>
      <c r="Y3" s="3"/>
      <c r="Z3" s="3"/>
      <c r="AA3" s="3"/>
      <c r="AB3" s="3"/>
      <c r="AC3" s="3"/>
    </row>
    <row r="4" spans="1:29" s="6" customFormat="1" ht="21.75" customHeight="1" thickBot="1" x14ac:dyDescent="0.25">
      <c r="A4" s="204" t="s">
        <v>54</v>
      </c>
      <c r="B4" s="205"/>
      <c r="C4" s="205"/>
      <c r="D4" s="205"/>
      <c r="E4" s="205"/>
      <c r="F4" s="206"/>
      <c r="G4" s="3"/>
      <c r="H4" s="3"/>
      <c r="I4" s="3"/>
      <c r="J4" s="3"/>
      <c r="K4" s="3"/>
      <c r="L4" s="3"/>
      <c r="M4" s="3"/>
      <c r="N4" s="3"/>
      <c r="O4" s="3"/>
      <c r="P4" s="3"/>
      <c r="Q4" s="3"/>
      <c r="R4" s="3"/>
      <c r="S4" s="3"/>
      <c r="T4" s="3"/>
      <c r="U4" s="3"/>
      <c r="V4" s="3"/>
      <c r="W4" s="3"/>
      <c r="X4" s="3"/>
      <c r="Y4" s="3"/>
      <c r="Z4" s="3"/>
      <c r="AA4" s="3"/>
      <c r="AB4" s="3"/>
      <c r="AC4" s="3"/>
    </row>
    <row r="5" spans="1:29" s="6" customFormat="1" ht="50.25" customHeight="1" thickBot="1" x14ac:dyDescent="0.25">
      <c r="A5" s="204" t="str">
        <f>'Staffing Year 6'!A5:F5</f>
        <v>Benefits assumes payroll taxes, retirement (including 401K match), and employee insurance.  This is based off of actual data from FY 2017.</v>
      </c>
      <c r="B5" s="205"/>
      <c r="C5" s="205"/>
      <c r="D5" s="205"/>
      <c r="E5" s="205"/>
      <c r="F5" s="206"/>
      <c r="G5" s="3"/>
      <c r="H5" s="3"/>
      <c r="I5" s="3"/>
      <c r="J5" s="3"/>
      <c r="K5" s="3"/>
      <c r="L5" s="3"/>
      <c r="M5" s="3"/>
      <c r="N5" s="3"/>
      <c r="O5" s="3"/>
      <c r="P5" s="3"/>
      <c r="Q5" s="3"/>
      <c r="R5" s="3"/>
      <c r="S5" s="3"/>
      <c r="T5" s="3"/>
      <c r="U5" s="3"/>
      <c r="V5" s="3"/>
      <c r="W5" s="3"/>
      <c r="X5" s="3"/>
      <c r="Y5" s="3"/>
      <c r="Z5" s="3"/>
      <c r="AA5" s="3"/>
      <c r="AB5" s="3"/>
    </row>
    <row r="6" spans="1:29" s="3" customFormat="1" ht="27" customHeight="1" thickBot="1" x14ac:dyDescent="0.25">
      <c r="A6" s="21" t="s">
        <v>64</v>
      </c>
      <c r="B6" s="21" t="s">
        <v>67</v>
      </c>
      <c r="C6" s="21" t="s">
        <v>68</v>
      </c>
      <c r="D6" s="188" t="s">
        <v>65</v>
      </c>
      <c r="E6" s="21" t="s">
        <v>63</v>
      </c>
      <c r="F6" s="21" t="s">
        <v>66</v>
      </c>
    </row>
    <row r="7" spans="1:29" s="6" customFormat="1" x14ac:dyDescent="0.2">
      <c r="A7" s="9" t="str">
        <f>'Staffing Year 6'!A7</f>
        <v>Principal</v>
      </c>
      <c r="B7" s="9">
        <f>'Staffing Year 6'!B7</f>
        <v>1</v>
      </c>
      <c r="C7" s="66">
        <f>'Staffing Year 6'!C7*(1.02)^3</f>
        <v>84896.639999999999</v>
      </c>
      <c r="D7" s="67">
        <f>B7*C7</f>
        <v>84896.639999999999</v>
      </c>
      <c r="E7" s="67">
        <f>D7*0.33</f>
        <v>28015.891200000002</v>
      </c>
      <c r="F7" s="68">
        <f>D7+E7</f>
        <v>112912.5312</v>
      </c>
      <c r="G7" s="3"/>
      <c r="H7" s="3"/>
      <c r="I7" s="3"/>
      <c r="J7" s="3"/>
      <c r="K7" s="3"/>
      <c r="L7" s="3"/>
      <c r="M7" s="3"/>
      <c r="N7" s="3"/>
      <c r="O7" s="3"/>
      <c r="P7" s="3"/>
      <c r="Q7" s="3"/>
      <c r="R7" s="3"/>
      <c r="S7" s="3"/>
      <c r="T7" s="3"/>
      <c r="U7" s="3"/>
      <c r="V7" s="3"/>
      <c r="W7" s="3"/>
      <c r="X7" s="3"/>
      <c r="Y7" s="3"/>
      <c r="Z7" s="3"/>
      <c r="AA7" s="3"/>
      <c r="AB7" s="3"/>
    </row>
    <row r="8" spans="1:29" s="6" customFormat="1" x14ac:dyDescent="0.2">
      <c r="A8" s="9" t="str">
        <f>'Staffing Year 6'!A8</f>
        <v>Teachers</v>
      </c>
      <c r="B8" s="9">
        <f>'Staffing Year 6'!B8</f>
        <v>6</v>
      </c>
      <c r="C8" s="66">
        <f>'Staffing Year 6'!C8*(1.02)^3</f>
        <v>53060.399999999994</v>
      </c>
      <c r="D8" s="67">
        <f t="shared" ref="D8:D23" si="0">B8*C8</f>
        <v>318362.39999999997</v>
      </c>
      <c r="E8" s="67">
        <f t="shared" ref="E8:E19" si="1">D8*0.33</f>
        <v>105059.59199999999</v>
      </c>
      <c r="F8" s="68">
        <f t="shared" ref="F8:F23" si="2">D8+E8</f>
        <v>423421.99199999997</v>
      </c>
      <c r="G8" s="3"/>
      <c r="H8" s="3"/>
      <c r="I8" s="3"/>
      <c r="J8" s="3"/>
      <c r="K8" s="3"/>
      <c r="L8" s="3"/>
      <c r="M8" s="3"/>
      <c r="N8" s="3"/>
      <c r="O8" s="3"/>
      <c r="P8" s="3"/>
      <c r="Q8" s="3"/>
      <c r="R8" s="3"/>
      <c r="S8" s="3"/>
      <c r="T8" s="3"/>
      <c r="U8" s="3"/>
      <c r="V8" s="3"/>
      <c r="W8" s="3"/>
      <c r="X8" s="3"/>
      <c r="Y8" s="3"/>
      <c r="Z8" s="3"/>
      <c r="AA8" s="3"/>
      <c r="AB8" s="3"/>
    </row>
    <row r="9" spans="1:29" s="6" customFormat="1" x14ac:dyDescent="0.2">
      <c r="A9" s="9" t="str">
        <f>'Staffing Year 6'!A9</f>
        <v>Coaches</v>
      </c>
      <c r="B9" s="9">
        <f>'Staffing Year 6'!B9</f>
        <v>3</v>
      </c>
      <c r="C9" s="66">
        <f>'Staffing Year 6'!C9*(1.02)^3</f>
        <v>31836.239999999998</v>
      </c>
      <c r="D9" s="67">
        <f t="shared" si="0"/>
        <v>95508.72</v>
      </c>
      <c r="E9" s="67">
        <f t="shared" si="1"/>
        <v>31517.877600000003</v>
      </c>
      <c r="F9" s="68">
        <f t="shared" si="2"/>
        <v>127026.59760000001</v>
      </c>
      <c r="G9" s="3"/>
      <c r="H9" s="3"/>
      <c r="I9" s="3"/>
      <c r="J9" s="3"/>
      <c r="K9" s="3"/>
      <c r="L9" s="3"/>
      <c r="M9" s="3"/>
      <c r="N9" s="3"/>
      <c r="O9" s="3"/>
      <c r="P9" s="3"/>
      <c r="Q9" s="3"/>
      <c r="R9" s="3"/>
      <c r="S9" s="3"/>
      <c r="T9" s="3"/>
      <c r="U9" s="3"/>
      <c r="V9" s="3"/>
      <c r="W9" s="3"/>
      <c r="X9" s="3"/>
      <c r="Y9" s="3"/>
      <c r="Z9" s="3"/>
      <c r="AA9" s="3"/>
      <c r="AB9" s="3"/>
    </row>
    <row r="10" spans="1:29" x14ac:dyDescent="0.2">
      <c r="A10" s="9" t="str">
        <f>'Staffing Year 6'!A10</f>
        <v>SPED para</v>
      </c>
      <c r="B10" s="9">
        <f>'Staffing Year 6'!B10</f>
        <v>2</v>
      </c>
      <c r="C10" s="66">
        <f>'Staffing Year 6'!C10*(1.02)^3</f>
        <v>35019.863999999994</v>
      </c>
      <c r="D10" s="67">
        <f t="shared" si="0"/>
        <v>70039.727999999988</v>
      </c>
      <c r="E10" s="67">
        <f t="shared" si="1"/>
        <v>23113.110239999998</v>
      </c>
      <c r="F10" s="68">
        <f t="shared" si="2"/>
        <v>93152.838239999983</v>
      </c>
    </row>
    <row r="11" spans="1:29" x14ac:dyDescent="0.2">
      <c r="A11" s="9" t="str">
        <f>'Staffing Year 6'!A11</f>
        <v>COO</v>
      </c>
      <c r="B11" s="9">
        <f>'Staffing Year 6'!B11</f>
        <v>0.5</v>
      </c>
      <c r="C11" s="66">
        <f>'Staffing Year 6'!C11*(1.02)^3</f>
        <v>64733.687999999995</v>
      </c>
      <c r="D11" s="67">
        <f t="shared" si="0"/>
        <v>32366.843999999997</v>
      </c>
      <c r="E11" s="67">
        <f t="shared" si="1"/>
        <v>10681.05852</v>
      </c>
      <c r="F11" s="68">
        <f t="shared" si="2"/>
        <v>43047.902519999996</v>
      </c>
    </row>
    <row r="12" spans="1:29" x14ac:dyDescent="0.2">
      <c r="A12" s="9" t="str">
        <f>'Staffing Year 6'!A12</f>
        <v>Office Manager</v>
      </c>
      <c r="B12" s="9">
        <f>'Staffing Year 6'!B12</f>
        <v>1</v>
      </c>
      <c r="C12" s="66">
        <f>'Staffing Year 6'!C12*(1.02)^3</f>
        <v>37142.28</v>
      </c>
      <c r="D12" s="67">
        <f t="shared" si="0"/>
        <v>37142.28</v>
      </c>
      <c r="E12" s="67">
        <f t="shared" si="1"/>
        <v>12256.9524</v>
      </c>
      <c r="F12" s="68">
        <f t="shared" si="2"/>
        <v>49399.232400000001</v>
      </c>
    </row>
    <row r="13" spans="1:29" x14ac:dyDescent="0.2">
      <c r="A13" s="9" t="str">
        <f>'Staffing Year 6'!A13</f>
        <v>IT Director</v>
      </c>
      <c r="B13" s="9">
        <f>'Staffing Year 6'!B13</f>
        <v>0.5</v>
      </c>
      <c r="C13" s="66">
        <f>'Staffing Year 6'!C13*(1.02)^3</f>
        <v>53060.399999999994</v>
      </c>
      <c r="D13" s="67">
        <f t="shared" si="0"/>
        <v>26530.199999999997</v>
      </c>
      <c r="E13" s="67">
        <f t="shared" si="1"/>
        <v>8754.9660000000003</v>
      </c>
      <c r="F13" s="68">
        <f t="shared" si="2"/>
        <v>35285.165999999997</v>
      </c>
    </row>
    <row r="14" spans="1:29" x14ac:dyDescent="0.2">
      <c r="A14" s="9" t="str">
        <f>'Staffing Year 6'!A14</f>
        <v>Registrar</v>
      </c>
      <c r="B14" s="9">
        <f>'Staffing Year 6'!B14</f>
        <v>0</v>
      </c>
      <c r="C14" s="66">
        <f>'Staffing Year 6'!C14*(1.02)^3</f>
        <v>37142.28</v>
      </c>
      <c r="D14" s="67">
        <f t="shared" si="0"/>
        <v>0</v>
      </c>
      <c r="E14" s="67">
        <f t="shared" si="1"/>
        <v>0</v>
      </c>
      <c r="F14" s="68">
        <f t="shared" si="2"/>
        <v>0</v>
      </c>
    </row>
    <row r="15" spans="1:29" s="6" customFormat="1" x14ac:dyDescent="0.2">
      <c r="A15" s="9" t="str">
        <f>'Staffing Year 6'!A15</f>
        <v xml:space="preserve">Assisstant Superintendent </v>
      </c>
      <c r="B15" s="9">
        <f>'Staffing Year 6'!B15</f>
        <v>1</v>
      </c>
      <c r="C15" s="66">
        <f>'Staffing Year 6'!C15*(1.02)^3</f>
        <v>68978.51999999999</v>
      </c>
      <c r="D15" s="67">
        <f t="shared" si="0"/>
        <v>68978.51999999999</v>
      </c>
      <c r="E15" s="67">
        <f t="shared" si="1"/>
        <v>22762.911599999996</v>
      </c>
      <c r="F15" s="68">
        <f t="shared" si="2"/>
        <v>91741.431599999982</v>
      </c>
      <c r="G15" s="3"/>
      <c r="H15" s="3"/>
      <c r="I15" s="3"/>
      <c r="J15" s="3"/>
      <c r="K15" s="3"/>
      <c r="L15" s="3"/>
      <c r="M15" s="3"/>
      <c r="N15" s="3"/>
      <c r="O15" s="3"/>
      <c r="P15" s="3"/>
      <c r="Q15" s="3"/>
      <c r="R15" s="3"/>
      <c r="S15" s="3"/>
      <c r="T15" s="3"/>
      <c r="U15" s="3"/>
      <c r="V15" s="3"/>
      <c r="W15" s="3"/>
      <c r="X15" s="3"/>
      <c r="Y15" s="3"/>
      <c r="Z15" s="3"/>
      <c r="AA15" s="3"/>
      <c r="AB15" s="3"/>
    </row>
    <row r="16" spans="1:29" x14ac:dyDescent="0.2">
      <c r="A16" s="9" t="str">
        <f>'Staffing Year 6'!A16</f>
        <v>RTI teacher</v>
      </c>
      <c r="B16" s="9">
        <f>'Staffing Year 6'!B16</f>
        <v>2</v>
      </c>
      <c r="C16" s="66">
        <f>'Staffing Year 6'!C16*(1.02)^3</f>
        <v>31836.239999999998</v>
      </c>
      <c r="D16" s="67">
        <f t="shared" si="0"/>
        <v>63672.479999999996</v>
      </c>
      <c r="E16" s="67">
        <f t="shared" si="1"/>
        <v>21011.918399999999</v>
      </c>
      <c r="F16" s="68">
        <f t="shared" si="2"/>
        <v>84684.398399999991</v>
      </c>
    </row>
    <row r="17" spans="1:6" x14ac:dyDescent="0.2">
      <c r="A17" s="9" t="str">
        <f>'Staffing Year 6'!A17</f>
        <v>Dean of Students</v>
      </c>
      <c r="B17" s="9">
        <f>'Staffing Year 6'!B17</f>
        <v>0.5</v>
      </c>
      <c r="C17" s="66">
        <f>'Staffing Year 6'!C17*(1.02)^3</f>
        <v>68978.51999999999</v>
      </c>
      <c r="D17" s="67">
        <f t="shared" si="0"/>
        <v>34489.259999999995</v>
      </c>
      <c r="E17" s="67">
        <f t="shared" si="1"/>
        <v>11381.455799999998</v>
      </c>
      <c r="F17" s="68">
        <f t="shared" si="2"/>
        <v>45870.715799999991</v>
      </c>
    </row>
    <row r="18" spans="1:6" x14ac:dyDescent="0.2">
      <c r="A18" s="9">
        <f>'Staffing Year 6'!A18</f>
        <v>0</v>
      </c>
      <c r="B18" s="9">
        <f>'Staffing Year 6'!B18</f>
        <v>0</v>
      </c>
      <c r="C18" s="66">
        <f>'Staffing Year 6'!C18*(1.02)^3</f>
        <v>0</v>
      </c>
      <c r="D18" s="67">
        <f t="shared" si="0"/>
        <v>0</v>
      </c>
      <c r="E18" s="67">
        <f t="shared" si="1"/>
        <v>0</v>
      </c>
      <c r="F18" s="68">
        <f t="shared" si="2"/>
        <v>0</v>
      </c>
    </row>
    <row r="19" spans="1:6" x14ac:dyDescent="0.2">
      <c r="A19" s="9">
        <f>'Staffing Year 6'!A19</f>
        <v>0</v>
      </c>
      <c r="B19" s="9">
        <f>'Staffing Year 6'!B19</f>
        <v>0</v>
      </c>
      <c r="C19" s="66">
        <f>'Staffing Year 6'!C19*(1.02)^3</f>
        <v>0</v>
      </c>
      <c r="D19" s="67">
        <f t="shared" si="0"/>
        <v>0</v>
      </c>
      <c r="E19" s="67">
        <f t="shared" si="1"/>
        <v>0</v>
      </c>
      <c r="F19" s="68">
        <f t="shared" si="2"/>
        <v>0</v>
      </c>
    </row>
    <row r="20" spans="1:6" x14ac:dyDescent="0.2">
      <c r="A20" s="54"/>
      <c r="B20" s="54"/>
      <c r="C20" s="94"/>
      <c r="D20" s="67">
        <f t="shared" si="0"/>
        <v>0</v>
      </c>
      <c r="E20" s="96"/>
      <c r="F20" s="68">
        <f t="shared" si="2"/>
        <v>0</v>
      </c>
    </row>
    <row r="21" spans="1:6" x14ac:dyDescent="0.2">
      <c r="A21" s="54"/>
      <c r="B21" s="54"/>
      <c r="C21" s="94"/>
      <c r="D21" s="67">
        <f t="shared" si="0"/>
        <v>0</v>
      </c>
      <c r="E21" s="96"/>
      <c r="F21" s="68">
        <f t="shared" si="2"/>
        <v>0</v>
      </c>
    </row>
    <row r="22" spans="1:6" x14ac:dyDescent="0.2">
      <c r="A22" s="97"/>
      <c r="B22" s="97"/>
      <c r="C22" s="98"/>
      <c r="D22" s="67">
        <f t="shared" si="0"/>
        <v>0</v>
      </c>
      <c r="E22" s="99"/>
      <c r="F22" s="68">
        <f t="shared" si="2"/>
        <v>0</v>
      </c>
    </row>
    <row r="23" spans="1:6" ht="13.5" thickBot="1" x14ac:dyDescent="0.25">
      <c r="A23" s="97"/>
      <c r="B23" s="97"/>
      <c r="C23" s="98"/>
      <c r="D23" s="67">
        <f t="shared" si="0"/>
        <v>0</v>
      </c>
      <c r="E23" s="99"/>
      <c r="F23" s="68">
        <f t="shared" si="2"/>
        <v>0</v>
      </c>
    </row>
    <row r="24" spans="1:6" ht="13.5" thickBot="1" x14ac:dyDescent="0.25">
      <c r="A24" s="8" t="s">
        <v>41</v>
      </c>
      <c r="B24" s="8"/>
      <c r="C24" s="100"/>
      <c r="D24" s="101">
        <f>SUM(D7:D23)</f>
        <v>831987.07200000004</v>
      </c>
      <c r="E24" s="101">
        <f>SUM(E7:E23)</f>
        <v>274555.73376000003</v>
      </c>
      <c r="F24" s="102">
        <f>SUM(F7:F23)</f>
        <v>1106542.8057599997</v>
      </c>
    </row>
    <row r="37" spans="6:29" x14ac:dyDescent="0.2">
      <c r="F37" s="46"/>
      <c r="G37" s="46"/>
      <c r="H37" s="46"/>
      <c r="I37" s="46"/>
      <c r="J37" s="46"/>
      <c r="K37" s="46"/>
      <c r="L37" s="46"/>
      <c r="M37" s="46"/>
      <c r="N37" s="46"/>
      <c r="O37" s="46"/>
      <c r="P37" s="46"/>
      <c r="Q37" s="46"/>
      <c r="R37" s="46"/>
      <c r="S37" s="46"/>
      <c r="T37" s="46"/>
      <c r="U37" s="46"/>
      <c r="V37" s="46"/>
      <c r="W37" s="46"/>
      <c r="X37" s="46"/>
      <c r="Y37" s="46"/>
      <c r="Z37" s="46"/>
      <c r="AA37" s="46"/>
      <c r="AB37" s="46"/>
      <c r="AC37" s="46"/>
    </row>
  </sheetData>
  <mergeCells count="4">
    <mergeCell ref="A1:F1"/>
    <mergeCell ref="A2:F2"/>
    <mergeCell ref="A4:F4"/>
    <mergeCell ref="A5:F5"/>
  </mergeCells>
  <pageMargins left="0.7" right="0.7" top="0.75" bottom="0.7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E141"/>
  <sheetViews>
    <sheetView topLeftCell="A123" zoomScaleNormal="100" workbookViewId="0">
      <selection activeCell="J7" sqref="J7"/>
    </sheetView>
  </sheetViews>
  <sheetFormatPr defaultRowHeight="12.75" x14ac:dyDescent="0.2"/>
  <cols>
    <col min="1" max="1" width="45.28515625" style="46" bestFit="1" customWidth="1"/>
    <col min="2" max="2" width="9.85546875" style="117" bestFit="1" customWidth="1"/>
    <col min="3" max="3" width="49.140625" style="91" customWidth="1"/>
    <col min="4" max="4" width="8.140625" style="46" bestFit="1" customWidth="1"/>
    <col min="5" max="5" width="32.85546875" style="47" bestFit="1" customWidth="1"/>
    <col min="6" max="16384" width="9.140625" style="46"/>
  </cols>
  <sheetData>
    <row r="1" spans="1:5" x14ac:dyDescent="0.2">
      <c r="A1" s="118"/>
    </row>
    <row r="2" spans="1:5" ht="13.5" thickBot="1" x14ac:dyDescent="0.25"/>
    <row r="3" spans="1:5" x14ac:dyDescent="0.2">
      <c r="A3" s="207" t="s">
        <v>157</v>
      </c>
      <c r="B3" s="208"/>
      <c r="C3" s="209"/>
    </row>
    <row r="4" spans="1:5" s="11" customFormat="1" x14ac:dyDescent="0.2">
      <c r="A4" s="10" t="s">
        <v>0</v>
      </c>
      <c r="B4" s="103" t="s">
        <v>1</v>
      </c>
      <c r="C4" s="10" t="s">
        <v>84</v>
      </c>
      <c r="D4" s="22"/>
      <c r="E4" s="37"/>
    </row>
    <row r="5" spans="1:5" s="11" customFormat="1" x14ac:dyDescent="0.2">
      <c r="A5" s="12" t="s">
        <v>85</v>
      </c>
      <c r="B5" s="104"/>
      <c r="C5" s="42"/>
      <c r="E5" s="38"/>
    </row>
    <row r="6" spans="1:5" s="43" customFormat="1" ht="38.25" x14ac:dyDescent="0.2">
      <c r="A6" s="24" t="s">
        <v>88</v>
      </c>
      <c r="B6" s="105">
        <f>5088*'School Enrollment Projection'!O9+'School Enrollment Projection'!O9*'School Enrollment Projection'!B25*0.3762+1200*('School Enrollment Projection'!O9)</f>
        <v>2209617.8219999997</v>
      </c>
      <c r="C6" s="183" t="s">
        <v>217</v>
      </c>
      <c r="E6" s="44"/>
    </row>
    <row r="7" spans="1:5" x14ac:dyDescent="0.2">
      <c r="A7" s="23" t="s">
        <v>89</v>
      </c>
      <c r="B7" s="106">
        <v>0</v>
      </c>
      <c r="C7" s="39" t="s">
        <v>6</v>
      </c>
      <c r="D7" s="48"/>
    </row>
    <row r="8" spans="1:5" x14ac:dyDescent="0.2">
      <c r="A8" s="23" t="s">
        <v>70</v>
      </c>
      <c r="B8" s="106">
        <v>0</v>
      </c>
      <c r="C8" s="39"/>
      <c r="D8" s="48"/>
    </row>
    <row r="9" spans="1:5" x14ac:dyDescent="0.2">
      <c r="A9" s="23" t="s">
        <v>127</v>
      </c>
      <c r="B9" s="106">
        <v>0</v>
      </c>
      <c r="C9" s="39"/>
      <c r="D9" s="48"/>
    </row>
    <row r="10" spans="1:5" x14ac:dyDescent="0.2">
      <c r="A10" s="23" t="s">
        <v>90</v>
      </c>
      <c r="B10" s="106">
        <v>0</v>
      </c>
      <c r="C10" s="39"/>
      <c r="D10" s="48"/>
    </row>
    <row r="11" spans="1:5" x14ac:dyDescent="0.2">
      <c r="A11" s="23" t="s">
        <v>91</v>
      </c>
      <c r="B11" s="106">
        <v>0</v>
      </c>
      <c r="C11" s="39"/>
      <c r="D11" s="48"/>
    </row>
    <row r="12" spans="1:5" x14ac:dyDescent="0.2">
      <c r="A12" s="23" t="s">
        <v>92</v>
      </c>
      <c r="B12" s="106">
        <v>12000</v>
      </c>
      <c r="C12" s="39"/>
      <c r="D12" s="48"/>
    </row>
    <row r="13" spans="1:5" x14ac:dyDescent="0.2">
      <c r="A13" s="23" t="s">
        <v>93</v>
      </c>
      <c r="B13" s="106">
        <v>15000</v>
      </c>
      <c r="C13" s="39"/>
      <c r="D13" s="48"/>
    </row>
    <row r="14" spans="1:5" ht="51" x14ac:dyDescent="0.2">
      <c r="A14" s="23" t="s">
        <v>137</v>
      </c>
      <c r="B14" s="106">
        <f>500*'School Enrollment Projection'!O7</f>
        <v>145000</v>
      </c>
      <c r="C14" s="92" t="s">
        <v>144</v>
      </c>
      <c r="D14" s="48"/>
    </row>
    <row r="15" spans="1:5" ht="25.5" x14ac:dyDescent="0.2">
      <c r="A15" s="23" t="s">
        <v>138</v>
      </c>
      <c r="B15" s="106"/>
      <c r="C15" s="92" t="s">
        <v>145</v>
      </c>
      <c r="D15" s="48"/>
    </row>
    <row r="16" spans="1:5" x14ac:dyDescent="0.2">
      <c r="A16" s="15" t="s">
        <v>43</v>
      </c>
      <c r="B16" s="107"/>
      <c r="C16" s="71"/>
      <c r="D16" s="48"/>
    </row>
    <row r="17" spans="1:5" ht="51" x14ac:dyDescent="0.2">
      <c r="A17" s="23" t="s">
        <v>100</v>
      </c>
      <c r="B17" s="108">
        <v>0</v>
      </c>
      <c r="C17" s="180" t="s">
        <v>135</v>
      </c>
      <c r="D17" s="135"/>
    </row>
    <row r="18" spans="1:5" x14ac:dyDescent="0.2">
      <c r="A18" s="23" t="s">
        <v>128</v>
      </c>
      <c r="B18" s="108">
        <v>0</v>
      </c>
      <c r="C18" s="134"/>
      <c r="D18" s="135"/>
    </row>
    <row r="19" spans="1:5" x14ac:dyDescent="0.2">
      <c r="A19" s="24" t="s">
        <v>2</v>
      </c>
      <c r="B19" s="106">
        <f>436*'School Enrollment Projection'!O7</f>
        <v>126440</v>
      </c>
      <c r="C19" s="55"/>
      <c r="D19" s="59"/>
      <c r="E19" s="72"/>
    </row>
    <row r="20" spans="1:5" x14ac:dyDescent="0.2">
      <c r="A20" s="24" t="s">
        <v>3</v>
      </c>
      <c r="B20" s="106">
        <v>20000</v>
      </c>
      <c r="C20" s="53"/>
      <c r="D20" s="59"/>
    </row>
    <row r="21" spans="1:5" x14ac:dyDescent="0.2">
      <c r="A21" s="23" t="s">
        <v>86</v>
      </c>
      <c r="B21" s="108">
        <v>116000</v>
      </c>
      <c r="C21" s="50" t="s">
        <v>173</v>
      </c>
      <c r="D21" s="59"/>
    </row>
    <row r="22" spans="1:5" x14ac:dyDescent="0.2">
      <c r="A22" s="23" t="s">
        <v>87</v>
      </c>
      <c r="B22" s="108"/>
      <c r="C22" s="50"/>
      <c r="D22" s="59"/>
    </row>
    <row r="23" spans="1:5" ht="25.5" x14ac:dyDescent="0.2">
      <c r="A23" s="14" t="s">
        <v>202</v>
      </c>
      <c r="B23" s="106">
        <v>69600</v>
      </c>
      <c r="C23" s="50"/>
      <c r="D23" s="59"/>
    </row>
    <row r="24" spans="1:5" x14ac:dyDescent="0.2">
      <c r="A24" s="14" t="s">
        <v>42</v>
      </c>
      <c r="B24" s="106"/>
      <c r="C24" s="50"/>
      <c r="D24" s="59"/>
    </row>
    <row r="25" spans="1:5" x14ac:dyDescent="0.2">
      <c r="A25" s="15" t="s">
        <v>44</v>
      </c>
      <c r="B25" s="107"/>
      <c r="C25" s="41"/>
      <c r="D25" s="48"/>
    </row>
    <row r="26" spans="1:5" x14ac:dyDescent="0.2">
      <c r="A26" s="24" t="s">
        <v>94</v>
      </c>
      <c r="B26" s="106">
        <v>0</v>
      </c>
      <c r="C26" s="39"/>
      <c r="D26" s="59"/>
    </row>
    <row r="27" spans="1:5" x14ac:dyDescent="0.2">
      <c r="A27" s="24" t="s">
        <v>95</v>
      </c>
      <c r="B27" s="106">
        <v>0</v>
      </c>
      <c r="C27" s="39"/>
      <c r="D27" s="59"/>
    </row>
    <row r="28" spans="1:5" x14ac:dyDescent="0.2">
      <c r="A28" s="24" t="s">
        <v>96</v>
      </c>
      <c r="B28" s="106">
        <v>0</v>
      </c>
      <c r="C28" s="39"/>
      <c r="D28" s="59"/>
    </row>
    <row r="29" spans="1:5" x14ac:dyDescent="0.2">
      <c r="A29" s="13" t="s">
        <v>48</v>
      </c>
      <c r="B29" s="106">
        <v>0</v>
      </c>
      <c r="C29" s="39"/>
      <c r="D29" s="59"/>
    </row>
    <row r="30" spans="1:5" x14ac:dyDescent="0.2">
      <c r="A30" s="13" t="s">
        <v>48</v>
      </c>
      <c r="B30" s="106">
        <v>0</v>
      </c>
      <c r="C30" s="39"/>
      <c r="D30" s="59"/>
    </row>
    <row r="31" spans="1:5" x14ac:dyDescent="0.2">
      <c r="A31" s="13" t="s">
        <v>48</v>
      </c>
      <c r="B31" s="106">
        <v>0</v>
      </c>
      <c r="C31" s="39"/>
      <c r="D31" s="59"/>
    </row>
    <row r="32" spans="1:5" x14ac:dyDescent="0.2">
      <c r="A32" s="13" t="s">
        <v>48</v>
      </c>
      <c r="B32" s="106">
        <v>0</v>
      </c>
      <c r="C32" s="39"/>
      <c r="D32" s="59"/>
    </row>
    <row r="33" spans="1:5" x14ac:dyDescent="0.2">
      <c r="A33" s="20" t="s">
        <v>4</v>
      </c>
      <c r="B33" s="107">
        <f>SUM(B6:B32)</f>
        <v>2713657.8219999997</v>
      </c>
      <c r="C33" s="41"/>
      <c r="D33" s="59"/>
    </row>
    <row r="34" spans="1:5" s="45" customFormat="1" x14ac:dyDescent="0.2">
      <c r="A34" s="16"/>
      <c r="B34" s="108"/>
      <c r="C34" s="73"/>
      <c r="D34" s="74"/>
      <c r="E34" s="187"/>
    </row>
    <row r="35" spans="1:5" x14ac:dyDescent="0.2">
      <c r="A35" s="10" t="s">
        <v>53</v>
      </c>
      <c r="B35" s="107"/>
      <c r="C35" s="41"/>
      <c r="D35" s="59"/>
    </row>
    <row r="36" spans="1:5" x14ac:dyDescent="0.2">
      <c r="A36" s="12" t="s">
        <v>73</v>
      </c>
      <c r="B36" s="107"/>
      <c r="C36" s="41"/>
      <c r="D36" s="59"/>
    </row>
    <row r="37" spans="1:5" x14ac:dyDescent="0.2">
      <c r="A37" s="61" t="s">
        <v>69</v>
      </c>
      <c r="B37" s="107">
        <f>'Staffing Year 9'!F24</f>
        <v>1106542.8057599997</v>
      </c>
      <c r="C37" s="41" t="s">
        <v>5</v>
      </c>
      <c r="D37" s="59"/>
    </row>
    <row r="38" spans="1:5" x14ac:dyDescent="0.2">
      <c r="A38" s="93" t="s">
        <v>129</v>
      </c>
      <c r="B38" s="108">
        <v>4000</v>
      </c>
      <c r="C38" s="39" t="s">
        <v>179</v>
      </c>
      <c r="D38" s="59"/>
    </row>
    <row r="39" spans="1:5" x14ac:dyDescent="0.2">
      <c r="A39" s="14" t="s">
        <v>70</v>
      </c>
      <c r="B39" s="108">
        <v>25000</v>
      </c>
      <c r="C39" s="39" t="s">
        <v>199</v>
      </c>
      <c r="D39" s="76"/>
    </row>
    <row r="40" spans="1:5" x14ac:dyDescent="0.2">
      <c r="A40" s="14" t="s">
        <v>71</v>
      </c>
      <c r="B40" s="108">
        <v>0</v>
      </c>
      <c r="C40" s="39"/>
      <c r="D40" s="76"/>
    </row>
    <row r="41" spans="1:5" x14ac:dyDescent="0.2">
      <c r="A41" s="7" t="s">
        <v>171</v>
      </c>
      <c r="B41" s="108">
        <v>50000</v>
      </c>
      <c r="C41" s="39" t="s">
        <v>172</v>
      </c>
      <c r="D41" s="76"/>
    </row>
    <row r="42" spans="1:5" x14ac:dyDescent="0.2">
      <c r="A42" s="7" t="s">
        <v>186</v>
      </c>
      <c r="B42" s="108">
        <v>1050</v>
      </c>
      <c r="C42" s="39"/>
      <c r="D42" s="76"/>
    </row>
    <row r="43" spans="1:5" x14ac:dyDescent="0.2">
      <c r="A43" s="7" t="s">
        <v>205</v>
      </c>
      <c r="B43" s="108"/>
      <c r="C43" s="39"/>
      <c r="D43" s="76"/>
    </row>
    <row r="44" spans="1:5" x14ac:dyDescent="0.2">
      <c r="A44" s="7" t="s">
        <v>48</v>
      </c>
      <c r="B44" s="108"/>
      <c r="C44" s="39"/>
      <c r="D44" s="76"/>
    </row>
    <row r="45" spans="1:5" x14ac:dyDescent="0.2">
      <c r="A45" s="7" t="s">
        <v>48</v>
      </c>
      <c r="B45" s="108"/>
      <c r="C45" s="39"/>
      <c r="D45" s="76"/>
    </row>
    <row r="46" spans="1:5" s="43" customFormat="1" x14ac:dyDescent="0.2">
      <c r="A46" s="20" t="s">
        <v>72</v>
      </c>
      <c r="B46" s="107">
        <f>SUM(B37:B45)</f>
        <v>1186592.8057599997</v>
      </c>
      <c r="C46" s="41"/>
      <c r="D46" s="81"/>
      <c r="E46" s="82"/>
    </row>
    <row r="47" spans="1:5" s="85" customFormat="1" x14ac:dyDescent="0.2">
      <c r="A47" s="61"/>
      <c r="B47" s="107"/>
      <c r="C47" s="41"/>
      <c r="D47" s="83"/>
      <c r="E47" s="84"/>
    </row>
    <row r="48" spans="1:5" x14ac:dyDescent="0.2">
      <c r="A48" s="15" t="s">
        <v>74</v>
      </c>
      <c r="B48" s="107"/>
      <c r="C48" s="41"/>
      <c r="D48" s="48"/>
    </row>
    <row r="49" spans="1:5" s="45" customFormat="1" x14ac:dyDescent="0.2">
      <c r="A49" s="77" t="s">
        <v>7</v>
      </c>
      <c r="B49" s="108">
        <v>2000</v>
      </c>
      <c r="C49" s="39"/>
      <c r="D49" s="78"/>
      <c r="E49" s="75"/>
    </row>
    <row r="50" spans="1:5" s="45" customFormat="1" x14ac:dyDescent="0.2">
      <c r="A50" s="77" t="s">
        <v>8</v>
      </c>
      <c r="B50" s="108">
        <v>0</v>
      </c>
      <c r="C50" s="39" t="s">
        <v>6</v>
      </c>
      <c r="D50" s="78"/>
      <c r="E50" s="75"/>
    </row>
    <row r="51" spans="1:5" s="45" customFormat="1" x14ac:dyDescent="0.2">
      <c r="A51" s="77" t="s">
        <v>9</v>
      </c>
      <c r="B51" s="108">
        <v>18700</v>
      </c>
      <c r="C51" s="39" t="s">
        <v>198</v>
      </c>
      <c r="D51" s="78"/>
      <c r="E51" s="75"/>
    </row>
    <row r="52" spans="1:5" x14ac:dyDescent="0.2">
      <c r="A52" s="19" t="s">
        <v>10</v>
      </c>
      <c r="B52" s="108">
        <f>5000+2125</f>
        <v>7125</v>
      </c>
      <c r="C52" s="39" t="s">
        <v>180</v>
      </c>
      <c r="D52" s="59"/>
    </row>
    <row r="53" spans="1:5" x14ac:dyDescent="0.2">
      <c r="A53" s="19" t="s">
        <v>11</v>
      </c>
      <c r="B53" s="108">
        <f>'YEAR 7'!B53</f>
        <v>20000</v>
      </c>
      <c r="C53" s="79" t="s">
        <v>188</v>
      </c>
      <c r="D53" s="59"/>
    </row>
    <row r="54" spans="1:5" x14ac:dyDescent="0.2">
      <c r="A54" s="19" t="s">
        <v>12</v>
      </c>
      <c r="B54" s="108">
        <v>50000</v>
      </c>
      <c r="C54" s="39" t="s">
        <v>177</v>
      </c>
      <c r="D54" s="59"/>
    </row>
    <row r="55" spans="1:5" x14ac:dyDescent="0.2">
      <c r="A55" s="19" t="s">
        <v>45</v>
      </c>
      <c r="B55" s="108">
        <v>31000</v>
      </c>
      <c r="C55" s="39"/>
      <c r="D55" s="59"/>
    </row>
    <row r="56" spans="1:5" x14ac:dyDescent="0.2">
      <c r="A56" s="80" t="s">
        <v>13</v>
      </c>
      <c r="B56" s="108">
        <v>5000</v>
      </c>
      <c r="C56" s="39"/>
      <c r="D56" s="76"/>
    </row>
    <row r="57" spans="1:5" x14ac:dyDescent="0.2">
      <c r="A57" s="14" t="s">
        <v>62</v>
      </c>
      <c r="B57" s="108">
        <v>6000</v>
      </c>
      <c r="C57" s="39" t="s">
        <v>178</v>
      </c>
      <c r="D57" s="76"/>
    </row>
    <row r="58" spans="1:5" x14ac:dyDescent="0.2">
      <c r="A58" s="7" t="s">
        <v>176</v>
      </c>
      <c r="B58" s="108">
        <v>4500</v>
      </c>
      <c r="C58" s="39"/>
      <c r="D58" s="59"/>
    </row>
    <row r="59" spans="1:5" x14ac:dyDescent="0.2">
      <c r="A59" s="7" t="s">
        <v>181</v>
      </c>
      <c r="B59" s="108">
        <v>25000</v>
      </c>
      <c r="C59" s="39"/>
      <c r="D59" s="59"/>
    </row>
    <row r="60" spans="1:5" x14ac:dyDescent="0.2">
      <c r="A60" s="7" t="s">
        <v>182</v>
      </c>
      <c r="B60" s="108">
        <v>16000</v>
      </c>
      <c r="C60" s="39"/>
      <c r="D60" s="59"/>
    </row>
    <row r="61" spans="1:5" x14ac:dyDescent="0.2">
      <c r="A61" s="7" t="s">
        <v>48</v>
      </c>
      <c r="B61" s="108"/>
      <c r="C61" s="39"/>
      <c r="D61" s="59"/>
    </row>
    <row r="62" spans="1:5" x14ac:dyDescent="0.2">
      <c r="A62" s="7" t="s">
        <v>48</v>
      </c>
      <c r="B62" s="108"/>
      <c r="C62" s="39"/>
      <c r="D62" s="59"/>
    </row>
    <row r="63" spans="1:5" s="43" customFormat="1" x14ac:dyDescent="0.2">
      <c r="A63" s="20" t="s">
        <v>75</v>
      </c>
      <c r="B63" s="107">
        <f>SUM(B49:B62)</f>
        <v>185325</v>
      </c>
      <c r="C63" s="41"/>
      <c r="D63" s="81"/>
      <c r="E63" s="82"/>
    </row>
    <row r="64" spans="1:5" s="85" customFormat="1" x14ac:dyDescent="0.2">
      <c r="A64" s="61"/>
      <c r="B64" s="107"/>
      <c r="C64" s="41"/>
      <c r="D64" s="83"/>
      <c r="E64" s="84"/>
    </row>
    <row r="65" spans="1:5" x14ac:dyDescent="0.2">
      <c r="A65" s="15" t="s">
        <v>46</v>
      </c>
      <c r="B65" s="107"/>
      <c r="C65" s="41"/>
      <c r="D65" s="48"/>
    </row>
    <row r="66" spans="1:5" x14ac:dyDescent="0.2">
      <c r="A66" s="7" t="s">
        <v>20</v>
      </c>
      <c r="B66" s="109">
        <v>5000</v>
      </c>
      <c r="C66" s="39"/>
      <c r="D66" s="59"/>
    </row>
    <row r="67" spans="1:5" x14ac:dyDescent="0.2">
      <c r="A67" s="7" t="s">
        <v>21</v>
      </c>
      <c r="B67" s="110">
        <v>0</v>
      </c>
      <c r="C67" s="39"/>
      <c r="D67" s="59"/>
    </row>
    <row r="68" spans="1:5" x14ac:dyDescent="0.2">
      <c r="A68" s="14" t="s">
        <v>22</v>
      </c>
      <c r="B68" s="110">
        <v>0</v>
      </c>
      <c r="C68" s="86"/>
      <c r="D68" s="76"/>
    </row>
    <row r="69" spans="1:5" x14ac:dyDescent="0.2">
      <c r="A69" s="7" t="s">
        <v>23</v>
      </c>
      <c r="B69" s="110">
        <v>10000</v>
      </c>
      <c r="C69" s="86"/>
      <c r="D69" s="76"/>
    </row>
    <row r="70" spans="1:5" x14ac:dyDescent="0.2">
      <c r="A70" s="7" t="s">
        <v>184</v>
      </c>
      <c r="B70" s="110">
        <v>1000</v>
      </c>
      <c r="C70" s="39"/>
      <c r="D70" s="59"/>
    </row>
    <row r="71" spans="1:5" x14ac:dyDescent="0.2">
      <c r="A71" s="7" t="s">
        <v>185</v>
      </c>
      <c r="B71" s="110">
        <v>2500</v>
      </c>
      <c r="C71" s="39"/>
      <c r="D71" s="59"/>
    </row>
    <row r="72" spans="1:5" x14ac:dyDescent="0.2">
      <c r="A72" s="7" t="s">
        <v>48</v>
      </c>
      <c r="B72" s="110"/>
      <c r="C72" s="39"/>
      <c r="D72" s="59"/>
    </row>
    <row r="73" spans="1:5" x14ac:dyDescent="0.2">
      <c r="A73" s="7" t="s">
        <v>48</v>
      </c>
      <c r="B73" s="110"/>
      <c r="C73" s="39"/>
      <c r="D73" s="59"/>
    </row>
    <row r="74" spans="1:5" x14ac:dyDescent="0.2">
      <c r="A74" s="7" t="s">
        <v>48</v>
      </c>
      <c r="B74" s="110"/>
      <c r="C74" s="39"/>
      <c r="D74" s="59"/>
    </row>
    <row r="75" spans="1:5" s="43" customFormat="1" x14ac:dyDescent="0.2">
      <c r="A75" s="20" t="s">
        <v>76</v>
      </c>
      <c r="B75" s="107">
        <f>SUM(B66:B74)</f>
        <v>18500</v>
      </c>
      <c r="C75" s="41"/>
      <c r="D75" s="81"/>
      <c r="E75" s="82"/>
    </row>
    <row r="76" spans="1:5" s="43" customFormat="1" x14ac:dyDescent="0.2">
      <c r="A76" s="20"/>
      <c r="B76" s="107"/>
      <c r="C76" s="41"/>
      <c r="D76" s="81"/>
      <c r="E76" s="82"/>
    </row>
    <row r="77" spans="1:5" x14ac:dyDescent="0.2">
      <c r="A77" s="15" t="s">
        <v>51</v>
      </c>
      <c r="B77" s="107"/>
      <c r="C77" s="41"/>
      <c r="D77" s="48"/>
    </row>
    <row r="78" spans="1:5" ht="25.5" x14ac:dyDescent="0.2">
      <c r="A78" s="14" t="s">
        <v>52</v>
      </c>
      <c r="B78" s="109">
        <v>0</v>
      </c>
      <c r="C78" s="39" t="s">
        <v>6</v>
      </c>
      <c r="D78" s="87"/>
    </row>
    <row r="79" spans="1:5" x14ac:dyDescent="0.2">
      <c r="A79" s="14" t="s">
        <v>14</v>
      </c>
      <c r="B79" s="109">
        <v>0</v>
      </c>
      <c r="C79" s="39"/>
      <c r="D79" s="76"/>
    </row>
    <row r="80" spans="1:5" x14ac:dyDescent="0.2">
      <c r="A80" s="14" t="s">
        <v>15</v>
      </c>
      <c r="B80" s="109">
        <v>0</v>
      </c>
      <c r="C80" s="39"/>
      <c r="D80" s="76"/>
    </row>
    <row r="81" spans="1:5" x14ac:dyDescent="0.2">
      <c r="A81" s="7" t="s">
        <v>48</v>
      </c>
      <c r="B81" s="110"/>
      <c r="C81" s="39"/>
      <c r="D81" s="59"/>
    </row>
    <row r="82" spans="1:5" x14ac:dyDescent="0.2">
      <c r="A82" s="7" t="s">
        <v>48</v>
      </c>
      <c r="B82" s="110"/>
      <c r="C82" s="39"/>
      <c r="D82" s="59"/>
    </row>
    <row r="83" spans="1:5" x14ac:dyDescent="0.2">
      <c r="A83" s="7" t="s">
        <v>48</v>
      </c>
      <c r="B83" s="110"/>
      <c r="C83" s="39"/>
      <c r="D83" s="59"/>
    </row>
    <row r="84" spans="1:5" x14ac:dyDescent="0.2">
      <c r="A84" s="7" t="s">
        <v>48</v>
      </c>
      <c r="B84" s="110"/>
      <c r="C84" s="39"/>
      <c r="D84" s="59"/>
    </row>
    <row r="85" spans="1:5" x14ac:dyDescent="0.2">
      <c r="A85" s="7" t="s">
        <v>48</v>
      </c>
      <c r="B85" s="110"/>
      <c r="C85" s="39"/>
      <c r="D85" s="59"/>
    </row>
    <row r="86" spans="1:5" s="43" customFormat="1" x14ac:dyDescent="0.2">
      <c r="A86" s="20" t="s">
        <v>77</v>
      </c>
      <c r="B86" s="107">
        <f>SUM(B78:B85)</f>
        <v>0</v>
      </c>
      <c r="C86" s="41"/>
      <c r="D86" s="81"/>
      <c r="E86" s="82"/>
    </row>
    <row r="87" spans="1:5" s="43" customFormat="1" x14ac:dyDescent="0.2">
      <c r="A87" s="20"/>
      <c r="B87" s="107"/>
      <c r="C87" s="41"/>
      <c r="D87" s="81"/>
      <c r="E87" s="82"/>
    </row>
    <row r="88" spans="1:5" x14ac:dyDescent="0.2">
      <c r="A88" s="15" t="s">
        <v>47</v>
      </c>
      <c r="B88" s="107"/>
      <c r="C88" s="41"/>
      <c r="D88" s="48"/>
    </row>
    <row r="89" spans="1:5" x14ac:dyDescent="0.2">
      <c r="A89" s="14" t="s">
        <v>16</v>
      </c>
      <c r="B89" s="109">
        <v>15000</v>
      </c>
      <c r="C89" s="39"/>
      <c r="D89" s="76"/>
    </row>
    <row r="90" spans="1:5" x14ac:dyDescent="0.2">
      <c r="A90" s="23" t="s">
        <v>126</v>
      </c>
      <c r="B90" s="109">
        <v>6000</v>
      </c>
      <c r="C90" s="39" t="s">
        <v>190</v>
      </c>
      <c r="D90" s="76"/>
    </row>
    <row r="91" spans="1:5" ht="25.5" x14ac:dyDescent="0.2">
      <c r="A91" s="14" t="s">
        <v>17</v>
      </c>
      <c r="B91" s="109">
        <v>1800</v>
      </c>
      <c r="C91" s="39" t="s">
        <v>194</v>
      </c>
      <c r="D91" s="76"/>
    </row>
    <row r="92" spans="1:5" x14ac:dyDescent="0.2">
      <c r="A92" s="14" t="s">
        <v>18</v>
      </c>
      <c r="B92" s="111">
        <v>64000</v>
      </c>
      <c r="C92" s="39" t="s">
        <v>195</v>
      </c>
      <c r="D92" s="76"/>
    </row>
    <row r="93" spans="1:5" x14ac:dyDescent="0.2">
      <c r="A93" s="14" t="s">
        <v>19</v>
      </c>
      <c r="B93" s="109">
        <v>20000</v>
      </c>
      <c r="C93" s="39" t="s">
        <v>191</v>
      </c>
      <c r="D93" s="76"/>
    </row>
    <row r="94" spans="1:5" x14ac:dyDescent="0.2">
      <c r="A94" s="7" t="s">
        <v>27</v>
      </c>
      <c r="B94" s="109">
        <v>0</v>
      </c>
      <c r="C94" s="39" t="s">
        <v>6</v>
      </c>
      <c r="D94" s="59"/>
    </row>
    <row r="95" spans="1:5" x14ac:dyDescent="0.2">
      <c r="A95" s="14" t="s">
        <v>24</v>
      </c>
      <c r="B95" s="110">
        <v>5000</v>
      </c>
      <c r="C95" s="39" t="s">
        <v>189</v>
      </c>
      <c r="D95" s="76"/>
    </row>
    <row r="96" spans="1:5" x14ac:dyDescent="0.2">
      <c r="A96" s="14" t="s">
        <v>25</v>
      </c>
      <c r="B96" s="110">
        <v>6000</v>
      </c>
      <c r="C96" s="39"/>
      <c r="D96" s="76"/>
    </row>
    <row r="97" spans="1:5" ht="25.5" x14ac:dyDescent="0.2">
      <c r="A97" s="23" t="s">
        <v>101</v>
      </c>
      <c r="B97" s="110">
        <v>30000</v>
      </c>
      <c r="C97" s="39"/>
      <c r="D97" s="76"/>
    </row>
    <row r="98" spans="1:5" x14ac:dyDescent="0.2">
      <c r="A98" s="7" t="s">
        <v>31</v>
      </c>
      <c r="B98" s="109">
        <v>5000</v>
      </c>
      <c r="C98" s="39"/>
      <c r="D98" s="59"/>
    </row>
    <row r="99" spans="1:5" x14ac:dyDescent="0.2">
      <c r="A99" s="7" t="s">
        <v>32</v>
      </c>
      <c r="B99" s="109">
        <v>1000</v>
      </c>
      <c r="C99" s="39"/>
      <c r="D99" s="59"/>
    </row>
    <row r="100" spans="1:5" x14ac:dyDescent="0.2">
      <c r="A100" s="49" t="s">
        <v>97</v>
      </c>
      <c r="B100" s="112">
        <v>23159</v>
      </c>
      <c r="C100" s="50" t="s">
        <v>193</v>
      </c>
      <c r="D100" s="59"/>
      <c r="E100" s="88"/>
    </row>
    <row r="101" spans="1:5" x14ac:dyDescent="0.2">
      <c r="A101" s="49" t="s">
        <v>49</v>
      </c>
      <c r="B101" s="112">
        <v>0</v>
      </c>
      <c r="C101" s="50" t="s">
        <v>197</v>
      </c>
      <c r="D101" s="59"/>
      <c r="E101" s="88"/>
    </row>
    <row r="102" spans="1:5" x14ac:dyDescent="0.2">
      <c r="A102" s="49" t="s">
        <v>28</v>
      </c>
      <c r="B102" s="112">
        <f>B21</f>
        <v>116000</v>
      </c>
      <c r="C102" s="50" t="s">
        <v>174</v>
      </c>
      <c r="D102" s="59"/>
    </row>
    <row r="103" spans="1:5" x14ac:dyDescent="0.2">
      <c r="A103" s="49" t="s">
        <v>29</v>
      </c>
      <c r="B103" s="112">
        <v>20000</v>
      </c>
      <c r="C103" s="50" t="s">
        <v>192</v>
      </c>
      <c r="D103" s="59"/>
    </row>
    <row r="104" spans="1:5" x14ac:dyDescent="0.2">
      <c r="A104" s="93" t="s">
        <v>131</v>
      </c>
      <c r="B104" s="112"/>
      <c r="C104" s="50"/>
      <c r="D104" s="59"/>
    </row>
    <row r="105" spans="1:5" x14ac:dyDescent="0.2">
      <c r="A105" s="49" t="s">
        <v>168</v>
      </c>
      <c r="B105" s="112">
        <v>20000</v>
      </c>
      <c r="C105" s="50" t="s">
        <v>169</v>
      </c>
      <c r="D105" s="59"/>
    </row>
    <row r="106" spans="1:5" x14ac:dyDescent="0.2">
      <c r="A106" s="49" t="s">
        <v>196</v>
      </c>
      <c r="B106" s="112"/>
      <c r="C106" s="50"/>
      <c r="D106" s="59"/>
    </row>
    <row r="107" spans="1:5" x14ac:dyDescent="0.2">
      <c r="A107" s="49" t="s">
        <v>48</v>
      </c>
      <c r="B107" s="112"/>
      <c r="C107" s="50"/>
      <c r="D107" s="59"/>
    </row>
    <row r="108" spans="1:5" ht="13.5" x14ac:dyDescent="0.25">
      <c r="A108" s="49" t="s">
        <v>48</v>
      </c>
      <c r="B108" s="113"/>
      <c r="C108" s="51"/>
      <c r="D108" s="59"/>
    </row>
    <row r="109" spans="1:5" s="43" customFormat="1" x14ac:dyDescent="0.2">
      <c r="A109" s="20" t="s">
        <v>78</v>
      </c>
      <c r="B109" s="107">
        <f>SUM(B89:B108)</f>
        <v>332959</v>
      </c>
      <c r="C109" s="41"/>
      <c r="D109" s="81"/>
      <c r="E109" s="82"/>
    </row>
    <row r="110" spans="1:5" s="45" customFormat="1" x14ac:dyDescent="0.2">
      <c r="A110" s="63"/>
      <c r="B110" s="107"/>
      <c r="C110" s="40"/>
      <c r="D110" s="74"/>
      <c r="E110" s="75"/>
    </row>
    <row r="111" spans="1:5" x14ac:dyDescent="0.2">
      <c r="A111" s="63" t="s">
        <v>33</v>
      </c>
      <c r="B111" s="107"/>
      <c r="C111" s="40"/>
      <c r="D111" s="59"/>
    </row>
    <row r="112" spans="1:5" x14ac:dyDescent="0.2">
      <c r="A112" s="49" t="s">
        <v>34</v>
      </c>
      <c r="B112" s="113">
        <v>304799</v>
      </c>
      <c r="C112" s="50" t="s">
        <v>6</v>
      </c>
      <c r="D112" s="59"/>
    </row>
    <row r="113" spans="1:5" x14ac:dyDescent="0.2">
      <c r="A113" s="141" t="s">
        <v>132</v>
      </c>
      <c r="B113" s="113"/>
      <c r="C113" s="50"/>
      <c r="D113" s="59"/>
    </row>
    <row r="114" spans="1:5" x14ac:dyDescent="0.2">
      <c r="A114" s="89" t="s">
        <v>35</v>
      </c>
      <c r="B114" s="113">
        <v>35000</v>
      </c>
      <c r="C114" s="50" t="s">
        <v>6</v>
      </c>
      <c r="D114" s="59"/>
    </row>
    <row r="115" spans="1:5" x14ac:dyDescent="0.2">
      <c r="A115" s="49" t="s">
        <v>98</v>
      </c>
      <c r="B115" s="113">
        <v>2900</v>
      </c>
      <c r="C115" s="50"/>
      <c r="D115" s="59"/>
    </row>
    <row r="116" spans="1:5" x14ac:dyDescent="0.2">
      <c r="A116" s="52" t="s">
        <v>36</v>
      </c>
      <c r="B116" s="113">
        <v>20000</v>
      </c>
      <c r="C116" s="50"/>
      <c r="D116" s="76"/>
    </row>
    <row r="117" spans="1:5" x14ac:dyDescent="0.2">
      <c r="A117" s="52" t="s">
        <v>37</v>
      </c>
      <c r="B117" s="113">
        <v>20000</v>
      </c>
      <c r="C117" s="50"/>
      <c r="D117" s="76"/>
    </row>
    <row r="118" spans="1:5" x14ac:dyDescent="0.2">
      <c r="A118" s="49" t="s">
        <v>26</v>
      </c>
      <c r="B118" s="112">
        <v>35000</v>
      </c>
      <c r="C118" s="50"/>
      <c r="D118" s="59"/>
    </row>
    <row r="119" spans="1:5" x14ac:dyDescent="0.2">
      <c r="A119" s="49" t="s">
        <v>30</v>
      </c>
      <c r="B119" s="112">
        <v>1500</v>
      </c>
      <c r="C119" s="50"/>
      <c r="D119" s="59"/>
    </row>
    <row r="120" spans="1:5" x14ac:dyDescent="0.2">
      <c r="A120" s="93" t="s">
        <v>133</v>
      </c>
      <c r="B120" s="113"/>
      <c r="C120" s="50"/>
      <c r="D120" s="59"/>
    </row>
    <row r="121" spans="1:5" x14ac:dyDescent="0.2">
      <c r="A121" s="49" t="s">
        <v>175</v>
      </c>
      <c r="B121" s="113">
        <v>9500</v>
      </c>
      <c r="C121" s="50"/>
      <c r="D121" s="59"/>
    </row>
    <row r="122" spans="1:5" x14ac:dyDescent="0.2">
      <c r="A122" s="49" t="s">
        <v>183</v>
      </c>
      <c r="B122" s="113">
        <v>7000</v>
      </c>
      <c r="C122" s="50"/>
      <c r="D122" s="59"/>
    </row>
    <row r="123" spans="1:5" x14ac:dyDescent="0.2">
      <c r="A123" s="49" t="s">
        <v>205</v>
      </c>
      <c r="B123" s="113"/>
      <c r="C123" s="50"/>
      <c r="D123" s="59"/>
    </row>
    <row r="124" spans="1:5" x14ac:dyDescent="0.2">
      <c r="A124" s="49" t="s">
        <v>187</v>
      </c>
      <c r="B124" s="113">
        <v>1200</v>
      </c>
      <c r="C124" s="50"/>
      <c r="D124" s="59"/>
    </row>
    <row r="125" spans="1:5" x14ac:dyDescent="0.2">
      <c r="A125" s="20" t="s">
        <v>38</v>
      </c>
      <c r="B125" s="107">
        <f>SUM(B112:B124)</f>
        <v>436899</v>
      </c>
      <c r="C125" s="41"/>
      <c r="D125" s="59"/>
    </row>
    <row r="126" spans="1:5" s="45" customFormat="1" x14ac:dyDescent="0.2">
      <c r="A126" s="61"/>
      <c r="B126" s="107"/>
      <c r="C126" s="41"/>
      <c r="D126" s="74"/>
      <c r="E126" s="75"/>
    </row>
    <row r="127" spans="1:5" x14ac:dyDescent="0.2">
      <c r="A127" s="17" t="s">
        <v>79</v>
      </c>
      <c r="B127" s="114"/>
      <c r="C127" s="40"/>
      <c r="D127" s="59"/>
    </row>
    <row r="128" spans="1:5" s="45" customFormat="1" x14ac:dyDescent="0.2">
      <c r="A128" s="93" t="s">
        <v>81</v>
      </c>
      <c r="B128" s="115"/>
      <c r="C128" s="92"/>
      <c r="D128" s="74"/>
      <c r="E128" s="75"/>
    </row>
    <row r="129" spans="1:5" s="45" customFormat="1" x14ac:dyDescent="0.2">
      <c r="A129" s="93" t="s">
        <v>99</v>
      </c>
      <c r="B129" s="115">
        <f>0.03*B6</f>
        <v>66288.53465999999</v>
      </c>
      <c r="C129" s="92" t="s">
        <v>146</v>
      </c>
      <c r="D129" s="74"/>
      <c r="E129" s="75"/>
    </row>
    <row r="130" spans="1:5" s="45" customFormat="1" ht="51" x14ac:dyDescent="0.2">
      <c r="A130" s="93" t="s">
        <v>80</v>
      </c>
      <c r="B130" s="115">
        <v>0</v>
      </c>
      <c r="C130" s="92" t="s">
        <v>124</v>
      </c>
      <c r="D130" s="74"/>
      <c r="E130" s="75"/>
    </row>
    <row r="131" spans="1:5" s="45" customFormat="1" ht="25.5" x14ac:dyDescent="0.2">
      <c r="A131" s="23" t="s">
        <v>140</v>
      </c>
      <c r="B131" s="115">
        <v>0</v>
      </c>
      <c r="C131" s="92"/>
      <c r="D131" s="74"/>
      <c r="E131" s="75"/>
    </row>
    <row r="132" spans="1:5" s="56" customFormat="1" ht="51" x14ac:dyDescent="0.2">
      <c r="A132" s="93" t="s">
        <v>139</v>
      </c>
      <c r="B132" s="108"/>
      <c r="C132" s="92" t="s">
        <v>147</v>
      </c>
      <c r="D132" s="57"/>
      <c r="E132" s="58"/>
    </row>
    <row r="133" spans="1:5" x14ac:dyDescent="0.2">
      <c r="A133" s="49" t="s">
        <v>201</v>
      </c>
      <c r="B133" s="106">
        <v>134052</v>
      </c>
      <c r="C133" s="39"/>
      <c r="D133" s="59"/>
    </row>
    <row r="134" spans="1:5" x14ac:dyDescent="0.2">
      <c r="A134" s="49" t="s">
        <v>203</v>
      </c>
      <c r="B134" s="106">
        <f>38496*1.5</f>
        <v>57744</v>
      </c>
      <c r="C134" s="39" t="s">
        <v>204</v>
      </c>
      <c r="D134" s="59"/>
    </row>
    <row r="135" spans="1:5" x14ac:dyDescent="0.2">
      <c r="A135" s="20" t="s">
        <v>39</v>
      </c>
      <c r="B135" s="107">
        <f>SUM(B128:B134)</f>
        <v>258084.53466</v>
      </c>
      <c r="C135" s="41"/>
      <c r="D135" s="59"/>
    </row>
    <row r="136" spans="1:5" x14ac:dyDescent="0.2">
      <c r="A136" s="20"/>
      <c r="B136" s="107"/>
      <c r="C136" s="41"/>
      <c r="D136" s="59"/>
    </row>
    <row r="137" spans="1:5" x14ac:dyDescent="0.2">
      <c r="A137" s="20" t="s">
        <v>40</v>
      </c>
      <c r="B137" s="107">
        <f>B135+B125+B109+B86+B75+B63+B46</f>
        <v>2418360.3404199993</v>
      </c>
      <c r="C137" s="41"/>
      <c r="D137" s="59"/>
    </row>
    <row r="138" spans="1:5" x14ac:dyDescent="0.2">
      <c r="A138" s="122"/>
      <c r="B138" s="116"/>
      <c r="C138" s="90"/>
      <c r="D138" s="59"/>
    </row>
    <row r="139" spans="1:5" s="45" customFormat="1" x14ac:dyDescent="0.2">
      <c r="A139" s="121" t="s">
        <v>82</v>
      </c>
      <c r="B139" s="116">
        <f>B33-B137</f>
        <v>295297.48158000037</v>
      </c>
      <c r="C139" s="90"/>
      <c r="D139" s="74"/>
      <c r="E139" s="75"/>
    </row>
    <row r="141" spans="1:5" x14ac:dyDescent="0.2">
      <c r="A141" s="46" t="s">
        <v>83</v>
      </c>
      <c r="B141" s="117">
        <f>B139+'YEAR 8'!B141</f>
        <v>1203541.7105721664</v>
      </c>
    </row>
  </sheetData>
  <mergeCells count="1">
    <mergeCell ref="A3:C3"/>
  </mergeCells>
  <pageMargins left="0.7" right="0.7" top="0.75" bottom="0.7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37"/>
  <sheetViews>
    <sheetView topLeftCell="A10" workbookViewId="0">
      <selection activeCell="J7" sqref="J7"/>
    </sheetView>
  </sheetViews>
  <sheetFormatPr defaultColWidth="15.7109375" defaultRowHeight="12.75" x14ac:dyDescent="0.2"/>
  <cols>
    <col min="1" max="1" width="33.140625" style="46" customWidth="1"/>
    <col min="2" max="2" width="14.42578125" style="46" customWidth="1"/>
    <col min="3" max="5" width="15.7109375" style="46" customWidth="1"/>
    <col min="6" max="29" width="15.7109375" style="43" customWidth="1"/>
    <col min="30" max="16384" width="15.7109375" style="46"/>
  </cols>
  <sheetData>
    <row r="1" spans="1:29" ht="18" customHeight="1" x14ac:dyDescent="0.2">
      <c r="A1" s="202" t="s">
        <v>155</v>
      </c>
      <c r="B1" s="202"/>
      <c r="C1" s="202"/>
      <c r="D1" s="202"/>
      <c r="E1" s="202"/>
      <c r="F1" s="202"/>
    </row>
    <row r="2" spans="1:29" s="4" customFormat="1" ht="41.25" customHeight="1" x14ac:dyDescent="0.2">
      <c r="A2" s="203" t="s">
        <v>130</v>
      </c>
      <c r="B2" s="203"/>
      <c r="C2" s="203"/>
      <c r="D2" s="203"/>
      <c r="E2" s="203"/>
      <c r="F2" s="203"/>
      <c r="G2" s="3"/>
      <c r="H2" s="3"/>
      <c r="I2" s="3"/>
      <c r="J2" s="3"/>
      <c r="K2" s="3"/>
      <c r="L2" s="3"/>
      <c r="M2" s="3"/>
      <c r="N2" s="3"/>
      <c r="O2" s="3"/>
      <c r="P2" s="3"/>
      <c r="Q2" s="3"/>
      <c r="R2" s="3"/>
      <c r="S2" s="3"/>
      <c r="T2" s="3"/>
      <c r="U2" s="3"/>
      <c r="V2" s="3"/>
      <c r="W2" s="3"/>
      <c r="X2" s="3"/>
      <c r="Y2" s="3"/>
      <c r="Z2" s="3"/>
      <c r="AA2" s="3"/>
      <c r="AB2" s="3"/>
      <c r="AC2" s="3"/>
    </row>
    <row r="3" spans="1:29" s="6" customFormat="1" ht="13.5" thickBot="1" x14ac:dyDescent="0.25">
      <c r="A3" s="5"/>
      <c r="B3" s="3"/>
      <c r="C3" s="3"/>
      <c r="D3" s="3"/>
      <c r="E3" s="3"/>
      <c r="F3" s="3"/>
      <c r="G3" s="3"/>
      <c r="H3" s="3"/>
      <c r="I3" s="3"/>
      <c r="J3" s="3"/>
      <c r="K3" s="3"/>
      <c r="L3" s="3"/>
      <c r="M3" s="3"/>
      <c r="N3" s="3"/>
      <c r="O3" s="3"/>
      <c r="P3" s="3"/>
      <c r="Q3" s="3"/>
      <c r="R3" s="3"/>
      <c r="S3" s="3"/>
      <c r="T3" s="3"/>
      <c r="U3" s="3"/>
      <c r="V3" s="3"/>
      <c r="W3" s="3"/>
      <c r="X3" s="3"/>
      <c r="Y3" s="3"/>
      <c r="Z3" s="3"/>
      <c r="AA3" s="3"/>
      <c r="AB3" s="3"/>
      <c r="AC3" s="3"/>
    </row>
    <row r="4" spans="1:29" s="6" customFormat="1" ht="21.75" customHeight="1" thickBot="1" x14ac:dyDescent="0.25">
      <c r="A4" s="204" t="s">
        <v>54</v>
      </c>
      <c r="B4" s="205"/>
      <c r="C4" s="205"/>
      <c r="D4" s="205"/>
      <c r="E4" s="205"/>
      <c r="F4" s="206"/>
      <c r="G4" s="3"/>
      <c r="H4" s="3"/>
      <c r="I4" s="3"/>
      <c r="J4" s="3"/>
      <c r="K4" s="3"/>
      <c r="L4" s="3"/>
      <c r="M4" s="3"/>
      <c r="N4" s="3"/>
      <c r="O4" s="3"/>
      <c r="P4" s="3"/>
      <c r="Q4" s="3"/>
      <c r="R4" s="3"/>
      <c r="S4" s="3"/>
      <c r="T4" s="3"/>
      <c r="U4" s="3"/>
      <c r="V4" s="3"/>
      <c r="W4" s="3"/>
      <c r="X4" s="3"/>
      <c r="Y4" s="3"/>
      <c r="Z4" s="3"/>
      <c r="AA4" s="3"/>
      <c r="AB4" s="3"/>
      <c r="AC4" s="3"/>
    </row>
    <row r="5" spans="1:29" s="6" customFormat="1" ht="50.25" customHeight="1" thickBot="1" x14ac:dyDescent="0.25">
      <c r="A5" s="204" t="str">
        <f>'Staffing Year 6'!A5:F5</f>
        <v>Benefits assumes payroll taxes, retirement (including 401K match), and employee insurance.  This is based off of actual data from FY 2017.</v>
      </c>
      <c r="B5" s="205"/>
      <c r="C5" s="205"/>
      <c r="D5" s="205"/>
      <c r="E5" s="205"/>
      <c r="F5" s="206"/>
      <c r="G5" s="3"/>
      <c r="H5" s="3"/>
      <c r="I5" s="3"/>
      <c r="J5" s="3"/>
      <c r="K5" s="3"/>
      <c r="L5" s="3"/>
      <c r="M5" s="3"/>
      <c r="N5" s="3"/>
      <c r="O5" s="3"/>
      <c r="P5" s="3"/>
      <c r="Q5" s="3"/>
      <c r="R5" s="3"/>
      <c r="S5" s="3"/>
      <c r="T5" s="3"/>
      <c r="U5" s="3"/>
      <c r="V5" s="3"/>
      <c r="W5" s="3"/>
      <c r="X5" s="3"/>
      <c r="Y5" s="3"/>
      <c r="Z5" s="3"/>
      <c r="AA5" s="3"/>
      <c r="AB5" s="3"/>
    </row>
    <row r="6" spans="1:29" s="3" customFormat="1" ht="27" customHeight="1" thickBot="1" x14ac:dyDescent="0.25">
      <c r="A6" s="21" t="s">
        <v>64</v>
      </c>
      <c r="B6" s="21" t="s">
        <v>67</v>
      </c>
      <c r="C6" s="21" t="s">
        <v>68</v>
      </c>
      <c r="D6" s="188" t="s">
        <v>65</v>
      </c>
      <c r="E6" s="21" t="s">
        <v>63</v>
      </c>
      <c r="F6" s="21" t="s">
        <v>66</v>
      </c>
    </row>
    <row r="7" spans="1:29" s="6" customFormat="1" x14ac:dyDescent="0.2">
      <c r="A7" s="9" t="str">
        <f>'Staffing Year 6'!A7</f>
        <v>Principal</v>
      </c>
      <c r="B7" s="9">
        <f>'Staffing Year 6'!B7</f>
        <v>1</v>
      </c>
      <c r="C7" s="66">
        <f>'Staffing Year 6'!C7*(1.02)^4</f>
        <v>86594.572799999994</v>
      </c>
      <c r="D7" s="67">
        <f>B7*C7</f>
        <v>86594.572799999994</v>
      </c>
      <c r="E7" s="67">
        <f>D7*0.33</f>
        <v>28576.209024</v>
      </c>
      <c r="F7" s="68">
        <f>D7+E7</f>
        <v>115170.78182399999</v>
      </c>
      <c r="G7" s="3"/>
      <c r="H7" s="3"/>
      <c r="I7" s="3"/>
      <c r="J7" s="3"/>
      <c r="K7" s="3"/>
      <c r="L7" s="3"/>
      <c r="M7" s="3"/>
      <c r="N7" s="3"/>
      <c r="O7" s="3"/>
      <c r="P7" s="3"/>
      <c r="Q7" s="3"/>
      <c r="R7" s="3"/>
      <c r="S7" s="3"/>
      <c r="T7" s="3"/>
      <c r="U7" s="3"/>
      <c r="V7" s="3"/>
      <c r="W7" s="3"/>
      <c r="X7" s="3"/>
      <c r="Y7" s="3"/>
      <c r="Z7" s="3"/>
      <c r="AA7" s="3"/>
      <c r="AB7" s="3"/>
    </row>
    <row r="8" spans="1:29" s="6" customFormat="1" x14ac:dyDescent="0.2">
      <c r="A8" s="9" t="str">
        <f>'Staffing Year 6'!A8</f>
        <v>Teachers</v>
      </c>
      <c r="B8" s="9">
        <f>'Staffing Year 6'!B8</f>
        <v>6</v>
      </c>
      <c r="C8" s="66">
        <f>'Staffing Year 6'!C8*(1.02)^4</f>
        <v>54121.608</v>
      </c>
      <c r="D8" s="67">
        <f t="shared" ref="D8:D23" si="0">B8*C8</f>
        <v>324729.64799999999</v>
      </c>
      <c r="E8" s="67">
        <f t="shared" ref="E8:E19" si="1">D8*0.33</f>
        <v>107160.78384</v>
      </c>
      <c r="F8" s="68">
        <f t="shared" ref="F8:F23" si="2">D8+E8</f>
        <v>431890.43183999998</v>
      </c>
      <c r="G8" s="3"/>
      <c r="H8" s="3"/>
      <c r="I8" s="3"/>
      <c r="J8" s="3"/>
      <c r="K8" s="3"/>
      <c r="L8" s="3"/>
      <c r="M8" s="3"/>
      <c r="N8" s="3"/>
      <c r="O8" s="3"/>
      <c r="P8" s="3"/>
      <c r="Q8" s="3"/>
      <c r="R8" s="3"/>
      <c r="S8" s="3"/>
      <c r="T8" s="3"/>
      <c r="U8" s="3"/>
      <c r="V8" s="3"/>
      <c r="W8" s="3"/>
      <c r="X8" s="3"/>
      <c r="Y8" s="3"/>
      <c r="Z8" s="3"/>
      <c r="AA8" s="3"/>
      <c r="AB8" s="3"/>
    </row>
    <row r="9" spans="1:29" s="6" customFormat="1" x14ac:dyDescent="0.2">
      <c r="A9" s="9" t="str">
        <f>'Staffing Year 6'!A9</f>
        <v>Coaches</v>
      </c>
      <c r="B9" s="9">
        <f>'Staffing Year 6'!B9</f>
        <v>3</v>
      </c>
      <c r="C9" s="66">
        <f>'Staffing Year 6'!C9*(1.02)^4</f>
        <v>32472.964799999998</v>
      </c>
      <c r="D9" s="67">
        <f t="shared" si="0"/>
        <v>97418.89439999999</v>
      </c>
      <c r="E9" s="67">
        <f t="shared" si="1"/>
        <v>32148.235151999997</v>
      </c>
      <c r="F9" s="68">
        <f t="shared" si="2"/>
        <v>129567.12955199998</v>
      </c>
      <c r="G9" s="3"/>
      <c r="H9" s="3"/>
      <c r="I9" s="3"/>
      <c r="J9" s="3"/>
      <c r="K9" s="3"/>
      <c r="L9" s="3"/>
      <c r="M9" s="3"/>
      <c r="N9" s="3"/>
      <c r="O9" s="3"/>
      <c r="P9" s="3"/>
      <c r="Q9" s="3"/>
      <c r="R9" s="3"/>
      <c r="S9" s="3"/>
      <c r="T9" s="3"/>
      <c r="U9" s="3"/>
      <c r="V9" s="3"/>
      <c r="W9" s="3"/>
      <c r="X9" s="3"/>
      <c r="Y9" s="3"/>
      <c r="Z9" s="3"/>
      <c r="AA9" s="3"/>
      <c r="AB9" s="3"/>
    </row>
    <row r="10" spans="1:29" x14ac:dyDescent="0.2">
      <c r="A10" s="9" t="str">
        <f>'Staffing Year 6'!A10</f>
        <v>SPED para</v>
      </c>
      <c r="B10" s="9">
        <f>'Staffing Year 6'!B10</f>
        <v>2</v>
      </c>
      <c r="C10" s="66">
        <f>'Staffing Year 6'!C10*(1.02)^4</f>
        <v>35720.261279999999</v>
      </c>
      <c r="D10" s="67">
        <f t="shared" si="0"/>
        <v>71440.522559999998</v>
      </c>
      <c r="E10" s="67">
        <f t="shared" si="1"/>
        <v>23575.372444799999</v>
      </c>
      <c r="F10" s="68">
        <f t="shared" si="2"/>
        <v>95015.895004799997</v>
      </c>
    </row>
    <row r="11" spans="1:29" x14ac:dyDescent="0.2">
      <c r="A11" s="9" t="str">
        <f>'Staffing Year 6'!A11</f>
        <v>COO</v>
      </c>
      <c r="B11" s="9">
        <f>'Staffing Year 6'!B11</f>
        <v>0.5</v>
      </c>
      <c r="C11" s="66">
        <f>'Staffing Year 6'!C11*(1.02)^4</f>
        <v>66028.36176</v>
      </c>
      <c r="D11" s="67">
        <f t="shared" si="0"/>
        <v>33014.18088</v>
      </c>
      <c r="E11" s="67">
        <f t="shared" si="1"/>
        <v>10894.6796904</v>
      </c>
      <c r="F11" s="68">
        <f t="shared" si="2"/>
        <v>43908.8605704</v>
      </c>
    </row>
    <row r="12" spans="1:29" x14ac:dyDescent="0.2">
      <c r="A12" s="9" t="str">
        <f>'Staffing Year 6'!A12</f>
        <v>Office Manager</v>
      </c>
      <c r="B12" s="9">
        <f>'Staffing Year 6'!B12</f>
        <v>1</v>
      </c>
      <c r="C12" s="66">
        <f>'Staffing Year 6'!C12*(1.02)^4</f>
        <v>37885.125599999999</v>
      </c>
      <c r="D12" s="67">
        <f t="shared" si="0"/>
        <v>37885.125599999999</v>
      </c>
      <c r="E12" s="67">
        <f t="shared" si="1"/>
        <v>12502.091448000001</v>
      </c>
      <c r="F12" s="68">
        <f t="shared" si="2"/>
        <v>50387.217047999999</v>
      </c>
    </row>
    <row r="13" spans="1:29" x14ac:dyDescent="0.2">
      <c r="A13" s="9" t="str">
        <f>'Staffing Year 6'!A13</f>
        <v>IT Director</v>
      </c>
      <c r="B13" s="9">
        <f>'Staffing Year 6'!B13</f>
        <v>0.5</v>
      </c>
      <c r="C13" s="66">
        <f>'Staffing Year 6'!C13*(1.02)^4</f>
        <v>54121.608</v>
      </c>
      <c r="D13" s="67">
        <f t="shared" si="0"/>
        <v>27060.804</v>
      </c>
      <c r="E13" s="67">
        <f t="shared" si="1"/>
        <v>8930.0653199999997</v>
      </c>
      <c r="F13" s="68">
        <f t="shared" si="2"/>
        <v>35990.869319999998</v>
      </c>
    </row>
    <row r="14" spans="1:29" x14ac:dyDescent="0.2">
      <c r="A14" s="9" t="str">
        <f>'Staffing Year 6'!A14</f>
        <v>Registrar</v>
      </c>
      <c r="B14" s="9">
        <f>'Staffing Year 6'!B14</f>
        <v>0</v>
      </c>
      <c r="C14" s="66">
        <f>'Staffing Year 6'!C14*(1.02)^4</f>
        <v>37885.125599999999</v>
      </c>
      <c r="D14" s="67">
        <f t="shared" si="0"/>
        <v>0</v>
      </c>
      <c r="E14" s="67">
        <f t="shared" si="1"/>
        <v>0</v>
      </c>
      <c r="F14" s="68">
        <f t="shared" si="2"/>
        <v>0</v>
      </c>
    </row>
    <row r="15" spans="1:29" s="6" customFormat="1" x14ac:dyDescent="0.2">
      <c r="A15" s="9" t="str">
        <f>'Staffing Year 6'!A15</f>
        <v xml:space="preserve">Assisstant Superintendent </v>
      </c>
      <c r="B15" s="9">
        <f>'Staffing Year 6'!B15</f>
        <v>1</v>
      </c>
      <c r="C15" s="66">
        <f>'Staffing Year 6'!C15*(1.02)^4</f>
        <v>70358.090400000001</v>
      </c>
      <c r="D15" s="67">
        <f t="shared" si="0"/>
        <v>70358.090400000001</v>
      </c>
      <c r="E15" s="67">
        <f t="shared" si="1"/>
        <v>23218.169832000003</v>
      </c>
      <c r="F15" s="68">
        <f t="shared" si="2"/>
        <v>93576.260232000001</v>
      </c>
      <c r="G15" s="3"/>
      <c r="H15" s="3"/>
      <c r="I15" s="3"/>
      <c r="J15" s="3"/>
      <c r="K15" s="3"/>
      <c r="L15" s="3"/>
      <c r="M15" s="3"/>
      <c r="N15" s="3"/>
      <c r="O15" s="3"/>
      <c r="P15" s="3"/>
      <c r="Q15" s="3"/>
      <c r="R15" s="3"/>
      <c r="S15" s="3"/>
      <c r="T15" s="3"/>
      <c r="U15" s="3"/>
      <c r="V15" s="3"/>
      <c r="W15" s="3"/>
      <c r="X15" s="3"/>
      <c r="Y15" s="3"/>
      <c r="Z15" s="3"/>
      <c r="AA15" s="3"/>
      <c r="AB15" s="3"/>
    </row>
    <row r="16" spans="1:29" x14ac:dyDescent="0.2">
      <c r="A16" s="9" t="str">
        <f>'Staffing Year 6'!A16</f>
        <v>RTI teacher</v>
      </c>
      <c r="B16" s="9">
        <f>'Staffing Year 6'!B16</f>
        <v>2</v>
      </c>
      <c r="C16" s="66">
        <f>'Staffing Year 6'!C16*(1.02)^4</f>
        <v>32472.964799999998</v>
      </c>
      <c r="D16" s="67">
        <f t="shared" si="0"/>
        <v>64945.929599999996</v>
      </c>
      <c r="E16" s="67">
        <f t="shared" si="1"/>
        <v>21432.156768000001</v>
      </c>
      <c r="F16" s="68">
        <f t="shared" si="2"/>
        <v>86378.086367999989</v>
      </c>
    </row>
    <row r="17" spans="1:6" x14ac:dyDescent="0.2">
      <c r="A17" s="9" t="str">
        <f>'Staffing Year 6'!A17</f>
        <v>Dean of Students</v>
      </c>
      <c r="B17" s="9">
        <f>'Staffing Year 6'!B17</f>
        <v>0.5</v>
      </c>
      <c r="C17" s="66">
        <f>'Staffing Year 6'!C17*(1.02)^4</f>
        <v>70358.090400000001</v>
      </c>
      <c r="D17" s="67">
        <f t="shared" si="0"/>
        <v>35179.0452</v>
      </c>
      <c r="E17" s="67">
        <f t="shared" si="1"/>
        <v>11609.084916000002</v>
      </c>
      <c r="F17" s="68">
        <f t="shared" si="2"/>
        <v>46788.130116</v>
      </c>
    </row>
    <row r="18" spans="1:6" x14ac:dyDescent="0.2">
      <c r="A18" s="9">
        <f>'Staffing Year 6'!A18</f>
        <v>0</v>
      </c>
      <c r="B18" s="9">
        <f>'Staffing Year 6'!B18</f>
        <v>0</v>
      </c>
      <c r="C18" s="66">
        <f>'Staffing Year 6'!C18*(1.02)^4</f>
        <v>0</v>
      </c>
      <c r="D18" s="67">
        <f t="shared" si="0"/>
        <v>0</v>
      </c>
      <c r="E18" s="67">
        <f t="shared" si="1"/>
        <v>0</v>
      </c>
      <c r="F18" s="68">
        <f t="shared" si="2"/>
        <v>0</v>
      </c>
    </row>
    <row r="19" spans="1:6" x14ac:dyDescent="0.2">
      <c r="A19" s="9">
        <f>'Staffing Year 6'!A19</f>
        <v>0</v>
      </c>
      <c r="B19" s="9">
        <f>'Staffing Year 6'!B19</f>
        <v>0</v>
      </c>
      <c r="C19" s="66">
        <f>'Staffing Year 6'!C19*(1.02)^4</f>
        <v>0</v>
      </c>
      <c r="D19" s="67">
        <f t="shared" si="0"/>
        <v>0</v>
      </c>
      <c r="E19" s="67">
        <f t="shared" si="1"/>
        <v>0</v>
      </c>
      <c r="F19" s="68">
        <f t="shared" si="2"/>
        <v>0</v>
      </c>
    </row>
    <row r="20" spans="1:6" x14ac:dyDescent="0.2">
      <c r="A20" s="54"/>
      <c r="B20" s="54"/>
      <c r="C20" s="94"/>
      <c r="D20" s="67">
        <f t="shared" si="0"/>
        <v>0</v>
      </c>
      <c r="E20" s="96"/>
      <c r="F20" s="68">
        <f t="shared" si="2"/>
        <v>0</v>
      </c>
    </row>
    <row r="21" spans="1:6" x14ac:dyDescent="0.2">
      <c r="A21" s="54"/>
      <c r="B21" s="54"/>
      <c r="C21" s="94"/>
      <c r="D21" s="67">
        <f t="shared" si="0"/>
        <v>0</v>
      </c>
      <c r="E21" s="96"/>
      <c r="F21" s="68">
        <f t="shared" si="2"/>
        <v>0</v>
      </c>
    </row>
    <row r="22" spans="1:6" x14ac:dyDescent="0.2">
      <c r="A22" s="54"/>
      <c r="B22" s="54"/>
      <c r="C22" s="94"/>
      <c r="D22" s="67">
        <f t="shared" si="0"/>
        <v>0</v>
      </c>
      <c r="E22" s="96"/>
      <c r="F22" s="68">
        <f t="shared" si="2"/>
        <v>0</v>
      </c>
    </row>
    <row r="23" spans="1:6" ht="13.5" thickBot="1" x14ac:dyDescent="0.25">
      <c r="A23" s="97"/>
      <c r="B23" s="97"/>
      <c r="C23" s="98"/>
      <c r="D23" s="67">
        <f t="shared" si="0"/>
        <v>0</v>
      </c>
      <c r="E23" s="99"/>
      <c r="F23" s="68">
        <f t="shared" si="2"/>
        <v>0</v>
      </c>
    </row>
    <row r="24" spans="1:6" ht="13.5" thickBot="1" x14ac:dyDescent="0.25">
      <c r="A24" s="8" t="s">
        <v>41</v>
      </c>
      <c r="B24" s="8"/>
      <c r="C24" s="100"/>
      <c r="D24" s="101">
        <f>SUM(D7:D23)</f>
        <v>848626.81344000006</v>
      </c>
      <c r="E24" s="101">
        <f>SUM(E7:E23)</f>
        <v>280046.84843519999</v>
      </c>
      <c r="F24" s="102">
        <f>SUM(F7:F23)</f>
        <v>1128673.6618752</v>
      </c>
    </row>
    <row r="37" spans="6:29" x14ac:dyDescent="0.2">
      <c r="F37" s="46"/>
      <c r="G37" s="46"/>
      <c r="H37" s="46"/>
      <c r="I37" s="46"/>
      <c r="J37" s="46"/>
      <c r="K37" s="46"/>
      <c r="L37" s="46"/>
      <c r="M37" s="46"/>
      <c r="N37" s="46"/>
      <c r="O37" s="46"/>
      <c r="P37" s="46"/>
      <c r="Q37" s="46"/>
      <c r="R37" s="46"/>
      <c r="S37" s="46"/>
      <c r="T37" s="46"/>
      <c r="U37" s="46"/>
      <c r="V37" s="46"/>
      <c r="W37" s="46"/>
      <c r="X37" s="46"/>
      <c r="Y37" s="46"/>
      <c r="Z37" s="46"/>
      <c r="AA37" s="46"/>
      <c r="AB37" s="46"/>
      <c r="AC37" s="46"/>
    </row>
  </sheetData>
  <mergeCells count="4">
    <mergeCell ref="A1:F1"/>
    <mergeCell ref="A2:F2"/>
    <mergeCell ref="A4:F4"/>
    <mergeCell ref="A5:F5"/>
  </mergeCells>
  <pageMargins left="0.7" right="0.7" top="0.75" bottom="0.75" header="0.3" footer="0.3"/>
  <pageSetup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E141"/>
  <sheetViews>
    <sheetView topLeftCell="A123" zoomScaleNormal="100" workbookViewId="0">
      <selection activeCell="J7" sqref="J7"/>
    </sheetView>
  </sheetViews>
  <sheetFormatPr defaultRowHeight="12.75" x14ac:dyDescent="0.2"/>
  <cols>
    <col min="1" max="1" width="45.28515625" style="46" bestFit="1" customWidth="1"/>
    <col min="2" max="2" width="9.85546875" style="117" bestFit="1" customWidth="1"/>
    <col min="3" max="3" width="49.140625" style="91" customWidth="1"/>
    <col min="4" max="4" width="8.140625" style="46" bestFit="1" customWidth="1"/>
    <col min="5" max="5" width="32.85546875" style="47" bestFit="1" customWidth="1"/>
    <col min="6" max="16384" width="9.140625" style="46"/>
  </cols>
  <sheetData>
    <row r="1" spans="1:5" x14ac:dyDescent="0.2">
      <c r="A1" s="118"/>
    </row>
    <row r="2" spans="1:5" ht="13.5" thickBot="1" x14ac:dyDescent="0.25"/>
    <row r="3" spans="1:5" x14ac:dyDescent="0.2">
      <c r="A3" s="207" t="s">
        <v>157</v>
      </c>
      <c r="B3" s="208"/>
      <c r="C3" s="209"/>
    </row>
    <row r="4" spans="1:5" s="11" customFormat="1" x14ac:dyDescent="0.2">
      <c r="A4" s="10" t="s">
        <v>0</v>
      </c>
      <c r="B4" s="103" t="s">
        <v>1</v>
      </c>
      <c r="C4" s="10" t="s">
        <v>84</v>
      </c>
      <c r="D4" s="22"/>
      <c r="E4" s="37"/>
    </row>
    <row r="5" spans="1:5" s="11" customFormat="1" x14ac:dyDescent="0.2">
      <c r="A5" s="12" t="s">
        <v>85</v>
      </c>
      <c r="B5" s="104"/>
      <c r="C5" s="42"/>
      <c r="E5" s="38"/>
    </row>
    <row r="6" spans="1:5" s="43" customFormat="1" ht="38.25" x14ac:dyDescent="0.2">
      <c r="A6" s="24" t="s">
        <v>88</v>
      </c>
      <c r="B6" s="105">
        <f>5088*'School Enrollment Projection'!O9+'School Enrollment Projection'!O9*'School Enrollment Projection'!B25*0.3762+1200*('School Enrollment Projection'!O9)</f>
        <v>2209617.8219999997</v>
      </c>
      <c r="C6" s="183" t="s">
        <v>217</v>
      </c>
      <c r="E6" s="44"/>
    </row>
    <row r="7" spans="1:5" x14ac:dyDescent="0.2">
      <c r="A7" s="23" t="s">
        <v>89</v>
      </c>
      <c r="B7" s="106">
        <v>0</v>
      </c>
      <c r="C7" s="39" t="s">
        <v>6</v>
      </c>
      <c r="D7" s="48"/>
    </row>
    <row r="8" spans="1:5" x14ac:dyDescent="0.2">
      <c r="A8" s="23" t="s">
        <v>70</v>
      </c>
      <c r="B8" s="106">
        <v>0</v>
      </c>
      <c r="C8" s="39"/>
      <c r="D8" s="48"/>
    </row>
    <row r="9" spans="1:5" x14ac:dyDescent="0.2">
      <c r="A9" s="23" t="s">
        <v>127</v>
      </c>
      <c r="B9" s="106">
        <v>0</v>
      </c>
      <c r="C9" s="39"/>
      <c r="D9" s="48"/>
    </row>
    <row r="10" spans="1:5" x14ac:dyDescent="0.2">
      <c r="A10" s="23" t="s">
        <v>90</v>
      </c>
      <c r="B10" s="106">
        <v>0</v>
      </c>
      <c r="C10" s="39"/>
      <c r="D10" s="48"/>
    </row>
    <row r="11" spans="1:5" x14ac:dyDescent="0.2">
      <c r="A11" s="23" t="s">
        <v>91</v>
      </c>
      <c r="B11" s="106">
        <v>0</v>
      </c>
      <c r="C11" s="39"/>
      <c r="D11" s="48"/>
    </row>
    <row r="12" spans="1:5" x14ac:dyDescent="0.2">
      <c r="A12" s="23" t="s">
        <v>92</v>
      </c>
      <c r="B12" s="106">
        <v>12000</v>
      </c>
      <c r="C12" s="39"/>
      <c r="D12" s="48"/>
    </row>
    <row r="13" spans="1:5" x14ac:dyDescent="0.2">
      <c r="A13" s="23" t="s">
        <v>93</v>
      </c>
      <c r="B13" s="106">
        <v>15000</v>
      </c>
      <c r="C13" s="39"/>
      <c r="D13" s="48"/>
    </row>
    <row r="14" spans="1:5" ht="51" x14ac:dyDescent="0.2">
      <c r="A14" s="23" t="s">
        <v>137</v>
      </c>
      <c r="B14" s="106">
        <f>500*'School Enrollment Projection'!O7</f>
        <v>145000</v>
      </c>
      <c r="C14" s="92" t="s">
        <v>144</v>
      </c>
      <c r="D14" s="48"/>
    </row>
    <row r="15" spans="1:5" ht="25.5" x14ac:dyDescent="0.2">
      <c r="A15" s="23" t="s">
        <v>138</v>
      </c>
      <c r="B15" s="106"/>
      <c r="C15" s="92" t="s">
        <v>145</v>
      </c>
      <c r="D15" s="48"/>
    </row>
    <row r="16" spans="1:5" x14ac:dyDescent="0.2">
      <c r="A16" s="15" t="s">
        <v>43</v>
      </c>
      <c r="B16" s="107"/>
      <c r="C16" s="71"/>
      <c r="D16" s="48"/>
    </row>
    <row r="17" spans="1:5" ht="51" x14ac:dyDescent="0.2">
      <c r="A17" s="23" t="s">
        <v>100</v>
      </c>
      <c r="B17" s="108">
        <v>0</v>
      </c>
      <c r="C17" s="180" t="s">
        <v>135</v>
      </c>
      <c r="D17" s="135"/>
    </row>
    <row r="18" spans="1:5" x14ac:dyDescent="0.2">
      <c r="A18" s="23" t="s">
        <v>128</v>
      </c>
      <c r="B18" s="108">
        <v>0</v>
      </c>
      <c r="C18" s="134"/>
      <c r="D18" s="135"/>
    </row>
    <row r="19" spans="1:5" x14ac:dyDescent="0.2">
      <c r="A19" s="24" t="s">
        <v>2</v>
      </c>
      <c r="B19" s="106">
        <f>436*'School Enrollment Projection'!O7</f>
        <v>126440</v>
      </c>
      <c r="C19" s="55"/>
      <c r="D19" s="59"/>
      <c r="E19" s="72"/>
    </row>
    <row r="20" spans="1:5" x14ac:dyDescent="0.2">
      <c r="A20" s="24" t="s">
        <v>3</v>
      </c>
      <c r="B20" s="106">
        <v>20000</v>
      </c>
      <c r="C20" s="53"/>
      <c r="D20" s="59"/>
    </row>
    <row r="21" spans="1:5" x14ac:dyDescent="0.2">
      <c r="A21" s="23" t="s">
        <v>86</v>
      </c>
      <c r="B21" s="108">
        <v>116000</v>
      </c>
      <c r="C21" s="50" t="s">
        <v>173</v>
      </c>
      <c r="D21" s="59"/>
    </row>
    <row r="22" spans="1:5" x14ac:dyDescent="0.2">
      <c r="A22" s="23" t="s">
        <v>87</v>
      </c>
      <c r="B22" s="108"/>
      <c r="C22" s="50"/>
      <c r="D22" s="59"/>
    </row>
    <row r="23" spans="1:5" ht="25.5" x14ac:dyDescent="0.2">
      <c r="A23" s="14" t="s">
        <v>202</v>
      </c>
      <c r="B23" s="106">
        <v>69600</v>
      </c>
      <c r="C23" s="50"/>
      <c r="D23" s="59"/>
    </row>
    <row r="24" spans="1:5" x14ac:dyDescent="0.2">
      <c r="A24" s="14" t="s">
        <v>42</v>
      </c>
      <c r="B24" s="106"/>
      <c r="C24" s="50"/>
      <c r="D24" s="59"/>
    </row>
    <row r="25" spans="1:5" x14ac:dyDescent="0.2">
      <c r="A25" s="15" t="s">
        <v>44</v>
      </c>
      <c r="B25" s="107"/>
      <c r="C25" s="41"/>
      <c r="D25" s="48"/>
    </row>
    <row r="26" spans="1:5" x14ac:dyDescent="0.2">
      <c r="A26" s="24" t="s">
        <v>94</v>
      </c>
      <c r="B26" s="106">
        <v>0</v>
      </c>
      <c r="C26" s="39"/>
      <c r="D26" s="59"/>
    </row>
    <row r="27" spans="1:5" x14ac:dyDescent="0.2">
      <c r="A27" s="24" t="s">
        <v>95</v>
      </c>
      <c r="B27" s="106">
        <v>0</v>
      </c>
      <c r="C27" s="39"/>
      <c r="D27" s="59"/>
    </row>
    <row r="28" spans="1:5" x14ac:dyDescent="0.2">
      <c r="A28" s="24" t="s">
        <v>96</v>
      </c>
      <c r="B28" s="106">
        <v>0</v>
      </c>
      <c r="C28" s="39"/>
      <c r="D28" s="59"/>
    </row>
    <row r="29" spans="1:5" x14ac:dyDescent="0.2">
      <c r="A29" s="13" t="s">
        <v>48</v>
      </c>
      <c r="B29" s="106">
        <v>0</v>
      </c>
      <c r="C29" s="39"/>
      <c r="D29" s="59"/>
    </row>
    <row r="30" spans="1:5" x14ac:dyDescent="0.2">
      <c r="A30" s="13" t="s">
        <v>48</v>
      </c>
      <c r="B30" s="106">
        <v>0</v>
      </c>
      <c r="C30" s="39"/>
      <c r="D30" s="59"/>
    </row>
    <row r="31" spans="1:5" x14ac:dyDescent="0.2">
      <c r="A31" s="13" t="s">
        <v>48</v>
      </c>
      <c r="B31" s="106">
        <v>0</v>
      </c>
      <c r="C31" s="39"/>
      <c r="D31" s="59"/>
    </row>
    <row r="32" spans="1:5" x14ac:dyDescent="0.2">
      <c r="A32" s="13" t="s">
        <v>48</v>
      </c>
      <c r="B32" s="106">
        <v>0</v>
      </c>
      <c r="C32" s="39"/>
      <c r="D32" s="59"/>
    </row>
    <row r="33" spans="1:5" x14ac:dyDescent="0.2">
      <c r="A33" s="20" t="s">
        <v>4</v>
      </c>
      <c r="B33" s="107">
        <f>SUM(B6:B32)</f>
        <v>2713657.8219999997</v>
      </c>
      <c r="C33" s="41"/>
      <c r="D33" s="59"/>
    </row>
    <row r="34" spans="1:5" s="45" customFormat="1" x14ac:dyDescent="0.2">
      <c r="A34" s="16"/>
      <c r="B34" s="108"/>
      <c r="C34" s="73"/>
      <c r="D34" s="74"/>
      <c r="E34" s="187"/>
    </row>
    <row r="35" spans="1:5" x14ac:dyDescent="0.2">
      <c r="A35" s="10" t="s">
        <v>53</v>
      </c>
      <c r="B35" s="107"/>
      <c r="C35" s="41"/>
      <c r="D35" s="59"/>
    </row>
    <row r="36" spans="1:5" x14ac:dyDescent="0.2">
      <c r="A36" s="12" t="s">
        <v>73</v>
      </c>
      <c r="B36" s="107"/>
      <c r="C36" s="41"/>
      <c r="D36" s="59"/>
    </row>
    <row r="37" spans="1:5" x14ac:dyDescent="0.2">
      <c r="A37" s="61" t="s">
        <v>69</v>
      </c>
      <c r="B37" s="107">
        <f>'Staffing Year 10'!F24</f>
        <v>1128673.6618752</v>
      </c>
      <c r="C37" s="41" t="s">
        <v>5</v>
      </c>
      <c r="D37" s="59"/>
    </row>
    <row r="38" spans="1:5" x14ac:dyDescent="0.2">
      <c r="A38" s="93" t="s">
        <v>129</v>
      </c>
      <c r="B38" s="108">
        <v>4000</v>
      </c>
      <c r="C38" s="39" t="s">
        <v>179</v>
      </c>
      <c r="D38" s="59"/>
    </row>
    <row r="39" spans="1:5" x14ac:dyDescent="0.2">
      <c r="A39" s="14" t="s">
        <v>70</v>
      </c>
      <c r="B39" s="108">
        <v>25000</v>
      </c>
      <c r="C39" s="39" t="s">
        <v>199</v>
      </c>
      <c r="D39" s="76"/>
    </row>
    <row r="40" spans="1:5" x14ac:dyDescent="0.2">
      <c r="A40" s="14" t="s">
        <v>71</v>
      </c>
      <c r="B40" s="108">
        <v>0</v>
      </c>
      <c r="C40" s="39"/>
      <c r="D40" s="76"/>
    </row>
    <row r="41" spans="1:5" x14ac:dyDescent="0.2">
      <c r="A41" s="7" t="s">
        <v>171</v>
      </c>
      <c r="B41" s="108">
        <v>50000</v>
      </c>
      <c r="C41" s="39" t="s">
        <v>172</v>
      </c>
      <c r="D41" s="76"/>
    </row>
    <row r="42" spans="1:5" x14ac:dyDescent="0.2">
      <c r="A42" s="7" t="s">
        <v>186</v>
      </c>
      <c r="B42" s="108">
        <v>1050</v>
      </c>
      <c r="C42" s="39"/>
      <c r="D42" s="76"/>
    </row>
    <row r="43" spans="1:5" x14ac:dyDescent="0.2">
      <c r="A43" s="7" t="s">
        <v>205</v>
      </c>
      <c r="B43" s="108"/>
      <c r="C43" s="39"/>
      <c r="D43" s="76"/>
    </row>
    <row r="44" spans="1:5" x14ac:dyDescent="0.2">
      <c r="A44" s="7" t="s">
        <v>48</v>
      </c>
      <c r="B44" s="108"/>
      <c r="C44" s="39"/>
      <c r="D44" s="76"/>
    </row>
    <row r="45" spans="1:5" x14ac:dyDescent="0.2">
      <c r="A45" s="7" t="s">
        <v>48</v>
      </c>
      <c r="B45" s="108"/>
      <c r="C45" s="39"/>
      <c r="D45" s="76"/>
    </row>
    <row r="46" spans="1:5" s="43" customFormat="1" x14ac:dyDescent="0.2">
      <c r="A46" s="20" t="s">
        <v>72</v>
      </c>
      <c r="B46" s="107">
        <f>SUM(B37:B45)</f>
        <v>1208723.6618752</v>
      </c>
      <c r="C46" s="41"/>
      <c r="D46" s="81"/>
      <c r="E46" s="82"/>
    </row>
    <row r="47" spans="1:5" s="85" customFormat="1" x14ac:dyDescent="0.2">
      <c r="A47" s="61"/>
      <c r="B47" s="107"/>
      <c r="C47" s="41"/>
      <c r="D47" s="83"/>
      <c r="E47" s="84"/>
    </row>
    <row r="48" spans="1:5" x14ac:dyDescent="0.2">
      <c r="A48" s="15" t="s">
        <v>74</v>
      </c>
      <c r="B48" s="107"/>
      <c r="C48" s="41"/>
      <c r="D48" s="48"/>
    </row>
    <row r="49" spans="1:5" s="45" customFormat="1" x14ac:dyDescent="0.2">
      <c r="A49" s="77" t="s">
        <v>7</v>
      </c>
      <c r="B49" s="108">
        <v>2000</v>
      </c>
      <c r="C49" s="39"/>
      <c r="D49" s="78"/>
      <c r="E49" s="75"/>
    </row>
    <row r="50" spans="1:5" s="45" customFormat="1" x14ac:dyDescent="0.2">
      <c r="A50" s="77" t="s">
        <v>8</v>
      </c>
      <c r="B50" s="108">
        <v>0</v>
      </c>
      <c r="C50" s="39" t="s">
        <v>6</v>
      </c>
      <c r="D50" s="78"/>
      <c r="E50" s="75"/>
    </row>
    <row r="51" spans="1:5" s="45" customFormat="1" x14ac:dyDescent="0.2">
      <c r="A51" s="77" t="s">
        <v>9</v>
      </c>
      <c r="B51" s="108">
        <v>18700</v>
      </c>
      <c r="C51" s="39" t="s">
        <v>198</v>
      </c>
      <c r="D51" s="78"/>
      <c r="E51" s="75"/>
    </row>
    <row r="52" spans="1:5" x14ac:dyDescent="0.2">
      <c r="A52" s="19" t="s">
        <v>10</v>
      </c>
      <c r="B52" s="108">
        <f>5000+2125</f>
        <v>7125</v>
      </c>
      <c r="C52" s="39" t="s">
        <v>180</v>
      </c>
      <c r="D52" s="59"/>
    </row>
    <row r="53" spans="1:5" x14ac:dyDescent="0.2">
      <c r="A53" s="19" t="s">
        <v>11</v>
      </c>
      <c r="B53" s="108">
        <f>'YEAR 7'!B53</f>
        <v>20000</v>
      </c>
      <c r="C53" s="79" t="s">
        <v>188</v>
      </c>
      <c r="D53" s="59"/>
    </row>
    <row r="54" spans="1:5" x14ac:dyDescent="0.2">
      <c r="A54" s="19" t="s">
        <v>12</v>
      </c>
      <c r="B54" s="108">
        <v>50000</v>
      </c>
      <c r="C54" s="39" t="s">
        <v>177</v>
      </c>
      <c r="D54" s="59"/>
    </row>
    <row r="55" spans="1:5" x14ac:dyDescent="0.2">
      <c r="A55" s="19" t="s">
        <v>45</v>
      </c>
      <c r="B55" s="108">
        <v>31000</v>
      </c>
      <c r="C55" s="39"/>
      <c r="D55" s="59"/>
    </row>
    <row r="56" spans="1:5" x14ac:dyDescent="0.2">
      <c r="A56" s="80" t="s">
        <v>13</v>
      </c>
      <c r="B56" s="108">
        <v>5000</v>
      </c>
      <c r="C56" s="39"/>
      <c r="D56" s="76"/>
    </row>
    <row r="57" spans="1:5" x14ac:dyDescent="0.2">
      <c r="A57" s="14" t="s">
        <v>62</v>
      </c>
      <c r="B57" s="108">
        <v>6000</v>
      </c>
      <c r="C57" s="39" t="s">
        <v>178</v>
      </c>
      <c r="D57" s="76"/>
    </row>
    <row r="58" spans="1:5" x14ac:dyDescent="0.2">
      <c r="A58" s="7" t="s">
        <v>176</v>
      </c>
      <c r="B58" s="108">
        <v>4500</v>
      </c>
      <c r="C58" s="39"/>
      <c r="D58" s="59"/>
    </row>
    <row r="59" spans="1:5" x14ac:dyDescent="0.2">
      <c r="A59" s="7" t="s">
        <v>181</v>
      </c>
      <c r="B59" s="108">
        <v>25000</v>
      </c>
      <c r="C59" s="39"/>
      <c r="D59" s="59"/>
    </row>
    <row r="60" spans="1:5" x14ac:dyDescent="0.2">
      <c r="A60" s="7" t="s">
        <v>182</v>
      </c>
      <c r="B60" s="108">
        <v>18000</v>
      </c>
      <c r="C60" s="39"/>
      <c r="D60" s="59"/>
    </row>
    <row r="61" spans="1:5" x14ac:dyDescent="0.2">
      <c r="A61" s="7" t="s">
        <v>48</v>
      </c>
      <c r="B61" s="108"/>
      <c r="C61" s="39"/>
      <c r="D61" s="59"/>
    </row>
    <row r="62" spans="1:5" x14ac:dyDescent="0.2">
      <c r="A62" s="7" t="s">
        <v>48</v>
      </c>
      <c r="B62" s="108"/>
      <c r="C62" s="39"/>
      <c r="D62" s="59"/>
    </row>
    <row r="63" spans="1:5" s="43" customFormat="1" x14ac:dyDescent="0.2">
      <c r="A63" s="20" t="s">
        <v>75</v>
      </c>
      <c r="B63" s="107">
        <f>SUM(B49:B62)</f>
        <v>187325</v>
      </c>
      <c r="C63" s="41"/>
      <c r="D63" s="81"/>
      <c r="E63" s="82"/>
    </row>
    <row r="64" spans="1:5" s="85" customFormat="1" x14ac:dyDescent="0.2">
      <c r="A64" s="61"/>
      <c r="B64" s="107"/>
      <c r="C64" s="41"/>
      <c r="D64" s="83"/>
      <c r="E64" s="84"/>
    </row>
    <row r="65" spans="1:5" x14ac:dyDescent="0.2">
      <c r="A65" s="15" t="s">
        <v>46</v>
      </c>
      <c r="B65" s="107"/>
      <c r="C65" s="41"/>
      <c r="D65" s="48"/>
    </row>
    <row r="66" spans="1:5" x14ac:dyDescent="0.2">
      <c r="A66" s="7" t="s">
        <v>20</v>
      </c>
      <c r="B66" s="109">
        <v>5000</v>
      </c>
      <c r="C66" s="39"/>
      <c r="D66" s="59"/>
    </row>
    <row r="67" spans="1:5" x14ac:dyDescent="0.2">
      <c r="A67" s="7" t="s">
        <v>21</v>
      </c>
      <c r="B67" s="110">
        <v>0</v>
      </c>
      <c r="C67" s="39"/>
      <c r="D67" s="59"/>
    </row>
    <row r="68" spans="1:5" x14ac:dyDescent="0.2">
      <c r="A68" s="14" t="s">
        <v>22</v>
      </c>
      <c r="B68" s="110">
        <v>0</v>
      </c>
      <c r="C68" s="86"/>
      <c r="D68" s="76"/>
    </row>
    <row r="69" spans="1:5" x14ac:dyDescent="0.2">
      <c r="A69" s="7" t="s">
        <v>23</v>
      </c>
      <c r="B69" s="110">
        <v>10000</v>
      </c>
      <c r="C69" s="86"/>
      <c r="D69" s="76"/>
    </row>
    <row r="70" spans="1:5" x14ac:dyDescent="0.2">
      <c r="A70" s="7" t="s">
        <v>184</v>
      </c>
      <c r="B70" s="110">
        <v>1000</v>
      </c>
      <c r="C70" s="39"/>
      <c r="D70" s="59"/>
    </row>
    <row r="71" spans="1:5" x14ac:dyDescent="0.2">
      <c r="A71" s="7" t="s">
        <v>185</v>
      </c>
      <c r="B71" s="110">
        <v>2500</v>
      </c>
      <c r="C71" s="39"/>
      <c r="D71" s="59"/>
    </row>
    <row r="72" spans="1:5" x14ac:dyDescent="0.2">
      <c r="A72" s="7" t="s">
        <v>48</v>
      </c>
      <c r="B72" s="110"/>
      <c r="C72" s="39"/>
      <c r="D72" s="59"/>
    </row>
    <row r="73" spans="1:5" x14ac:dyDescent="0.2">
      <c r="A73" s="7" t="s">
        <v>48</v>
      </c>
      <c r="B73" s="110"/>
      <c r="C73" s="39"/>
      <c r="D73" s="59"/>
    </row>
    <row r="74" spans="1:5" x14ac:dyDescent="0.2">
      <c r="A74" s="7" t="s">
        <v>48</v>
      </c>
      <c r="B74" s="110"/>
      <c r="C74" s="39"/>
      <c r="D74" s="59"/>
    </row>
    <row r="75" spans="1:5" s="43" customFormat="1" x14ac:dyDescent="0.2">
      <c r="A75" s="20" t="s">
        <v>76</v>
      </c>
      <c r="B75" s="107">
        <f>SUM(B66:B74)</f>
        <v>18500</v>
      </c>
      <c r="C75" s="41"/>
      <c r="D75" s="81"/>
      <c r="E75" s="82"/>
    </row>
    <row r="76" spans="1:5" s="43" customFormat="1" x14ac:dyDescent="0.2">
      <c r="A76" s="20"/>
      <c r="B76" s="107"/>
      <c r="C76" s="41"/>
      <c r="D76" s="81"/>
      <c r="E76" s="82"/>
    </row>
    <row r="77" spans="1:5" x14ac:dyDescent="0.2">
      <c r="A77" s="15" t="s">
        <v>51</v>
      </c>
      <c r="B77" s="107"/>
      <c r="C77" s="41"/>
      <c r="D77" s="48"/>
    </row>
    <row r="78" spans="1:5" ht="25.5" x14ac:dyDescent="0.2">
      <c r="A78" s="14" t="s">
        <v>52</v>
      </c>
      <c r="B78" s="109">
        <v>0</v>
      </c>
      <c r="C78" s="39" t="s">
        <v>6</v>
      </c>
      <c r="D78" s="87"/>
    </row>
    <row r="79" spans="1:5" x14ac:dyDescent="0.2">
      <c r="A79" s="14" t="s">
        <v>14</v>
      </c>
      <c r="B79" s="109">
        <v>0</v>
      </c>
      <c r="C79" s="39"/>
      <c r="D79" s="76"/>
    </row>
    <row r="80" spans="1:5" x14ac:dyDescent="0.2">
      <c r="A80" s="14" t="s">
        <v>15</v>
      </c>
      <c r="B80" s="109">
        <v>0</v>
      </c>
      <c r="C80" s="39"/>
      <c r="D80" s="76"/>
    </row>
    <row r="81" spans="1:5" x14ac:dyDescent="0.2">
      <c r="A81" s="7" t="s">
        <v>48</v>
      </c>
      <c r="B81" s="110"/>
      <c r="C81" s="39"/>
      <c r="D81" s="59"/>
    </row>
    <row r="82" spans="1:5" x14ac:dyDescent="0.2">
      <c r="A82" s="7" t="s">
        <v>48</v>
      </c>
      <c r="B82" s="110"/>
      <c r="C82" s="39"/>
      <c r="D82" s="59"/>
    </row>
    <row r="83" spans="1:5" x14ac:dyDescent="0.2">
      <c r="A83" s="7" t="s">
        <v>48</v>
      </c>
      <c r="B83" s="110"/>
      <c r="C83" s="39"/>
      <c r="D83" s="59"/>
    </row>
    <row r="84" spans="1:5" x14ac:dyDescent="0.2">
      <c r="A84" s="7" t="s">
        <v>48</v>
      </c>
      <c r="B84" s="110"/>
      <c r="C84" s="39"/>
      <c r="D84" s="59"/>
    </row>
    <row r="85" spans="1:5" x14ac:dyDescent="0.2">
      <c r="A85" s="7" t="s">
        <v>48</v>
      </c>
      <c r="B85" s="110"/>
      <c r="C85" s="39"/>
      <c r="D85" s="59"/>
    </row>
    <row r="86" spans="1:5" s="43" customFormat="1" x14ac:dyDescent="0.2">
      <c r="A86" s="20" t="s">
        <v>77</v>
      </c>
      <c r="B86" s="107">
        <f>SUM(B78:B85)</f>
        <v>0</v>
      </c>
      <c r="C86" s="41"/>
      <c r="D86" s="81"/>
      <c r="E86" s="82"/>
    </row>
    <row r="87" spans="1:5" s="43" customFormat="1" x14ac:dyDescent="0.2">
      <c r="A87" s="20"/>
      <c r="B87" s="107"/>
      <c r="C87" s="41"/>
      <c r="D87" s="81"/>
      <c r="E87" s="82"/>
    </row>
    <row r="88" spans="1:5" x14ac:dyDescent="0.2">
      <c r="A88" s="15" t="s">
        <v>47</v>
      </c>
      <c r="B88" s="107"/>
      <c r="C88" s="41"/>
      <c r="D88" s="48"/>
    </row>
    <row r="89" spans="1:5" x14ac:dyDescent="0.2">
      <c r="A89" s="14" t="s">
        <v>16</v>
      </c>
      <c r="B89" s="109">
        <v>15000</v>
      </c>
      <c r="C89" s="39"/>
      <c r="D89" s="76"/>
    </row>
    <row r="90" spans="1:5" x14ac:dyDescent="0.2">
      <c r="A90" s="23" t="s">
        <v>126</v>
      </c>
      <c r="B90" s="109">
        <v>6000</v>
      </c>
      <c r="C90" s="39" t="s">
        <v>190</v>
      </c>
      <c r="D90" s="76"/>
    </row>
    <row r="91" spans="1:5" ht="25.5" x14ac:dyDescent="0.2">
      <c r="A91" s="14" t="s">
        <v>17</v>
      </c>
      <c r="B91" s="109">
        <v>1800</v>
      </c>
      <c r="C91" s="39" t="s">
        <v>194</v>
      </c>
      <c r="D91" s="76"/>
    </row>
    <row r="92" spans="1:5" x14ac:dyDescent="0.2">
      <c r="A92" s="14" t="s">
        <v>18</v>
      </c>
      <c r="B92" s="111">
        <v>64000</v>
      </c>
      <c r="C92" s="39" t="s">
        <v>195</v>
      </c>
      <c r="D92" s="76"/>
    </row>
    <row r="93" spans="1:5" x14ac:dyDescent="0.2">
      <c r="A93" s="14" t="s">
        <v>19</v>
      </c>
      <c r="B93" s="109">
        <v>20000</v>
      </c>
      <c r="C93" s="39" t="s">
        <v>191</v>
      </c>
      <c r="D93" s="76"/>
    </row>
    <row r="94" spans="1:5" x14ac:dyDescent="0.2">
      <c r="A94" s="7" t="s">
        <v>27</v>
      </c>
      <c r="B94" s="109">
        <v>0</v>
      </c>
      <c r="C94" s="39" t="s">
        <v>6</v>
      </c>
      <c r="D94" s="59"/>
    </row>
    <row r="95" spans="1:5" x14ac:dyDescent="0.2">
      <c r="A95" s="14" t="s">
        <v>24</v>
      </c>
      <c r="B95" s="110">
        <v>5000</v>
      </c>
      <c r="C95" s="39" t="s">
        <v>189</v>
      </c>
      <c r="D95" s="76"/>
    </row>
    <row r="96" spans="1:5" x14ac:dyDescent="0.2">
      <c r="A96" s="14" t="s">
        <v>25</v>
      </c>
      <c r="B96" s="110">
        <v>6000</v>
      </c>
      <c r="C96" s="39"/>
      <c r="D96" s="76"/>
    </row>
    <row r="97" spans="1:5" ht="25.5" x14ac:dyDescent="0.2">
      <c r="A97" s="23" t="s">
        <v>101</v>
      </c>
      <c r="B97" s="110">
        <v>30000</v>
      </c>
      <c r="C97" s="39"/>
      <c r="D97" s="76"/>
    </row>
    <row r="98" spans="1:5" x14ac:dyDescent="0.2">
      <c r="A98" s="7" t="s">
        <v>31</v>
      </c>
      <c r="B98" s="109">
        <v>5000</v>
      </c>
      <c r="C98" s="39"/>
      <c r="D98" s="59"/>
    </row>
    <row r="99" spans="1:5" x14ac:dyDescent="0.2">
      <c r="A99" s="7" t="s">
        <v>32</v>
      </c>
      <c r="B99" s="109">
        <v>1000</v>
      </c>
      <c r="C99" s="39"/>
      <c r="D99" s="59"/>
    </row>
    <row r="100" spans="1:5" x14ac:dyDescent="0.2">
      <c r="A100" s="49" t="s">
        <v>97</v>
      </c>
      <c r="B100" s="112">
        <v>23159</v>
      </c>
      <c r="C100" s="50" t="s">
        <v>193</v>
      </c>
      <c r="D100" s="59"/>
      <c r="E100" s="88"/>
    </row>
    <row r="101" spans="1:5" x14ac:dyDescent="0.2">
      <c r="A101" s="49" t="s">
        <v>49</v>
      </c>
      <c r="B101" s="112">
        <v>0</v>
      </c>
      <c r="C101" s="50" t="s">
        <v>197</v>
      </c>
      <c r="D101" s="59"/>
      <c r="E101" s="88"/>
    </row>
    <row r="102" spans="1:5" x14ac:dyDescent="0.2">
      <c r="A102" s="49" t="s">
        <v>28</v>
      </c>
      <c r="B102" s="112">
        <f>B21</f>
        <v>116000</v>
      </c>
      <c r="C102" s="50" t="s">
        <v>174</v>
      </c>
      <c r="D102" s="59"/>
    </row>
    <row r="103" spans="1:5" x14ac:dyDescent="0.2">
      <c r="A103" s="49" t="s">
        <v>29</v>
      </c>
      <c r="B103" s="112">
        <v>20000</v>
      </c>
      <c r="C103" s="50" t="s">
        <v>192</v>
      </c>
      <c r="D103" s="59"/>
    </row>
    <row r="104" spans="1:5" x14ac:dyDescent="0.2">
      <c r="A104" s="93" t="s">
        <v>131</v>
      </c>
      <c r="B104" s="112"/>
      <c r="C104" s="50"/>
      <c r="D104" s="59"/>
    </row>
    <row r="105" spans="1:5" x14ac:dyDescent="0.2">
      <c r="A105" s="49" t="s">
        <v>168</v>
      </c>
      <c r="B105" s="112">
        <v>20000</v>
      </c>
      <c r="C105" s="50" t="s">
        <v>169</v>
      </c>
      <c r="D105" s="59"/>
    </row>
    <row r="106" spans="1:5" x14ac:dyDescent="0.2">
      <c r="A106" s="49" t="s">
        <v>196</v>
      </c>
      <c r="B106" s="112"/>
      <c r="C106" s="50"/>
      <c r="D106" s="59"/>
    </row>
    <row r="107" spans="1:5" x14ac:dyDescent="0.2">
      <c r="A107" s="49" t="s">
        <v>48</v>
      </c>
      <c r="B107" s="112"/>
      <c r="C107" s="50"/>
      <c r="D107" s="59"/>
    </row>
    <row r="108" spans="1:5" ht="13.5" x14ac:dyDescent="0.25">
      <c r="A108" s="49" t="s">
        <v>48</v>
      </c>
      <c r="B108" s="113"/>
      <c r="C108" s="51"/>
      <c r="D108" s="59"/>
    </row>
    <row r="109" spans="1:5" s="43" customFormat="1" x14ac:dyDescent="0.2">
      <c r="A109" s="20" t="s">
        <v>78</v>
      </c>
      <c r="B109" s="107">
        <f>SUM(B89:B108)</f>
        <v>332959</v>
      </c>
      <c r="C109" s="41"/>
      <c r="D109" s="81"/>
      <c r="E109" s="82"/>
    </row>
    <row r="110" spans="1:5" s="45" customFormat="1" x14ac:dyDescent="0.2">
      <c r="A110" s="63"/>
      <c r="B110" s="107"/>
      <c r="C110" s="40"/>
      <c r="D110" s="74"/>
      <c r="E110" s="75"/>
    </row>
    <row r="111" spans="1:5" x14ac:dyDescent="0.2">
      <c r="A111" s="63" t="s">
        <v>33</v>
      </c>
      <c r="B111" s="107"/>
      <c r="C111" s="40"/>
      <c r="D111" s="59"/>
    </row>
    <row r="112" spans="1:5" x14ac:dyDescent="0.2">
      <c r="A112" s="49" t="s">
        <v>34</v>
      </c>
      <c r="B112" s="113">
        <v>304799</v>
      </c>
      <c r="C112" s="50" t="s">
        <v>6</v>
      </c>
      <c r="D112" s="59"/>
    </row>
    <row r="113" spans="1:5" x14ac:dyDescent="0.2">
      <c r="A113" s="141" t="s">
        <v>132</v>
      </c>
      <c r="B113" s="113"/>
      <c r="C113" s="50"/>
      <c r="D113" s="59"/>
    </row>
    <row r="114" spans="1:5" x14ac:dyDescent="0.2">
      <c r="A114" s="89" t="s">
        <v>35</v>
      </c>
      <c r="B114" s="113">
        <v>35000</v>
      </c>
      <c r="C114" s="50" t="s">
        <v>6</v>
      </c>
      <c r="D114" s="59"/>
    </row>
    <row r="115" spans="1:5" x14ac:dyDescent="0.2">
      <c r="A115" s="49" t="s">
        <v>98</v>
      </c>
      <c r="B115" s="113">
        <v>2900</v>
      </c>
      <c r="C115" s="50"/>
      <c r="D115" s="59"/>
    </row>
    <row r="116" spans="1:5" x14ac:dyDescent="0.2">
      <c r="A116" s="52" t="s">
        <v>36</v>
      </c>
      <c r="B116" s="113">
        <v>20000</v>
      </c>
      <c r="C116" s="50"/>
      <c r="D116" s="76"/>
    </row>
    <row r="117" spans="1:5" x14ac:dyDescent="0.2">
      <c r="A117" s="52" t="s">
        <v>37</v>
      </c>
      <c r="B117" s="113">
        <v>20000</v>
      </c>
      <c r="C117" s="50"/>
      <c r="D117" s="76"/>
    </row>
    <row r="118" spans="1:5" x14ac:dyDescent="0.2">
      <c r="A118" s="49" t="s">
        <v>26</v>
      </c>
      <c r="B118" s="112">
        <v>35000</v>
      </c>
      <c r="C118" s="50"/>
      <c r="D118" s="59"/>
    </row>
    <row r="119" spans="1:5" x14ac:dyDescent="0.2">
      <c r="A119" s="49" t="s">
        <v>30</v>
      </c>
      <c r="B119" s="112">
        <v>1500</v>
      </c>
      <c r="C119" s="50"/>
      <c r="D119" s="59"/>
    </row>
    <row r="120" spans="1:5" x14ac:dyDescent="0.2">
      <c r="A120" s="93" t="s">
        <v>133</v>
      </c>
      <c r="B120" s="113"/>
      <c r="C120" s="50"/>
      <c r="D120" s="59"/>
    </row>
    <row r="121" spans="1:5" x14ac:dyDescent="0.2">
      <c r="A121" s="49" t="s">
        <v>175</v>
      </c>
      <c r="B121" s="113">
        <v>9500</v>
      </c>
      <c r="C121" s="50"/>
      <c r="D121" s="59"/>
    </row>
    <row r="122" spans="1:5" x14ac:dyDescent="0.2">
      <c r="A122" s="49" t="s">
        <v>183</v>
      </c>
      <c r="B122" s="113">
        <v>7000</v>
      </c>
      <c r="C122" s="50"/>
      <c r="D122" s="59"/>
    </row>
    <row r="123" spans="1:5" x14ac:dyDescent="0.2">
      <c r="A123" s="49" t="s">
        <v>205</v>
      </c>
      <c r="B123" s="113"/>
      <c r="C123" s="50"/>
      <c r="D123" s="59"/>
    </row>
    <row r="124" spans="1:5" x14ac:dyDescent="0.2">
      <c r="A124" s="49" t="s">
        <v>187</v>
      </c>
      <c r="B124" s="113">
        <v>1200</v>
      </c>
      <c r="C124" s="50"/>
      <c r="D124" s="59"/>
    </row>
    <row r="125" spans="1:5" x14ac:dyDescent="0.2">
      <c r="A125" s="20" t="s">
        <v>38</v>
      </c>
      <c r="B125" s="107">
        <f>SUM(B112:B124)</f>
        <v>436899</v>
      </c>
      <c r="C125" s="41"/>
      <c r="D125" s="59"/>
    </row>
    <row r="126" spans="1:5" s="45" customFormat="1" x14ac:dyDescent="0.2">
      <c r="A126" s="61"/>
      <c r="B126" s="107"/>
      <c r="C126" s="41"/>
      <c r="D126" s="74"/>
      <c r="E126" s="75"/>
    </row>
    <row r="127" spans="1:5" x14ac:dyDescent="0.2">
      <c r="A127" s="17" t="s">
        <v>79</v>
      </c>
      <c r="B127" s="114"/>
      <c r="C127" s="40"/>
      <c r="D127" s="59"/>
    </row>
    <row r="128" spans="1:5" s="45" customFormat="1" x14ac:dyDescent="0.2">
      <c r="A128" s="93" t="s">
        <v>81</v>
      </c>
      <c r="B128" s="115"/>
      <c r="C128" s="92"/>
      <c r="D128" s="74"/>
      <c r="E128" s="75"/>
    </row>
    <row r="129" spans="1:5" s="45" customFormat="1" x14ac:dyDescent="0.2">
      <c r="A129" s="93" t="s">
        <v>99</v>
      </c>
      <c r="B129" s="115">
        <f>0.03*B6</f>
        <v>66288.53465999999</v>
      </c>
      <c r="C129" s="92" t="s">
        <v>146</v>
      </c>
      <c r="D129" s="74"/>
      <c r="E129" s="75"/>
    </row>
    <row r="130" spans="1:5" s="45" customFormat="1" ht="51" x14ac:dyDescent="0.2">
      <c r="A130" s="93" t="s">
        <v>80</v>
      </c>
      <c r="B130" s="115">
        <v>0</v>
      </c>
      <c r="C130" s="92" t="s">
        <v>124</v>
      </c>
      <c r="D130" s="74"/>
      <c r="E130" s="75"/>
    </row>
    <row r="131" spans="1:5" s="45" customFormat="1" ht="25.5" x14ac:dyDescent="0.2">
      <c r="A131" s="23" t="s">
        <v>140</v>
      </c>
      <c r="B131" s="115">
        <v>0</v>
      </c>
      <c r="C131" s="92"/>
      <c r="D131" s="74"/>
      <c r="E131" s="75"/>
    </row>
    <row r="132" spans="1:5" s="56" customFormat="1" ht="51" x14ac:dyDescent="0.2">
      <c r="A132" s="93" t="s">
        <v>139</v>
      </c>
      <c r="B132" s="108"/>
      <c r="C132" s="92" t="s">
        <v>147</v>
      </c>
      <c r="D132" s="57"/>
      <c r="E132" s="58"/>
    </row>
    <row r="133" spans="1:5" x14ac:dyDescent="0.2">
      <c r="A133" s="49" t="s">
        <v>201</v>
      </c>
      <c r="B133" s="106">
        <v>134052</v>
      </c>
      <c r="C133" s="39"/>
      <c r="D133" s="59"/>
    </row>
    <row r="134" spans="1:5" x14ac:dyDescent="0.2">
      <c r="A134" s="49" t="s">
        <v>203</v>
      </c>
      <c r="B134" s="106">
        <f>38496*1.5</f>
        <v>57744</v>
      </c>
      <c r="C134" s="39" t="s">
        <v>204</v>
      </c>
      <c r="D134" s="59"/>
    </row>
    <row r="135" spans="1:5" x14ac:dyDescent="0.2">
      <c r="A135" s="20" t="s">
        <v>39</v>
      </c>
      <c r="B135" s="107">
        <f>SUM(B128:B134)</f>
        <v>258084.53466</v>
      </c>
      <c r="C135" s="41"/>
      <c r="D135" s="59"/>
    </row>
    <row r="136" spans="1:5" x14ac:dyDescent="0.2">
      <c r="A136" s="20"/>
      <c r="B136" s="107"/>
      <c r="C136" s="41"/>
      <c r="D136" s="59"/>
    </row>
    <row r="137" spans="1:5" x14ac:dyDescent="0.2">
      <c r="A137" s="20" t="s">
        <v>40</v>
      </c>
      <c r="B137" s="107">
        <f>B135+B125+B109+B86+B75+B63+B46</f>
        <v>2442491.1965351999</v>
      </c>
      <c r="C137" s="41"/>
      <c r="D137" s="59"/>
    </row>
    <row r="138" spans="1:5" x14ac:dyDescent="0.2">
      <c r="A138" s="122"/>
      <c r="B138" s="116"/>
      <c r="C138" s="90"/>
      <c r="D138" s="59"/>
    </row>
    <row r="139" spans="1:5" s="45" customFormat="1" x14ac:dyDescent="0.2">
      <c r="A139" s="121" t="s">
        <v>82</v>
      </c>
      <c r="B139" s="116">
        <f>B33-B137</f>
        <v>271166.62546479981</v>
      </c>
      <c r="C139" s="90"/>
      <c r="D139" s="74"/>
      <c r="E139" s="75"/>
    </row>
    <row r="141" spans="1:5" x14ac:dyDescent="0.2">
      <c r="A141" s="46" t="s">
        <v>83</v>
      </c>
      <c r="B141" s="117">
        <f>B139+'YEAR 9'!B141</f>
        <v>1474708.3360369662</v>
      </c>
    </row>
  </sheetData>
  <mergeCells count="1">
    <mergeCell ref="A3:C3"/>
  </mergeCells>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S30"/>
  <sheetViews>
    <sheetView workbookViewId="0">
      <selection activeCell="O12" sqref="O12"/>
    </sheetView>
  </sheetViews>
  <sheetFormatPr defaultRowHeight="15" x14ac:dyDescent="0.25"/>
  <cols>
    <col min="1" max="1" width="18" style="2" customWidth="1"/>
    <col min="2" max="3" width="10.28515625" style="2" bestFit="1" customWidth="1"/>
    <col min="4" max="4" width="7.28515625" style="2" bestFit="1" customWidth="1"/>
    <col min="5" max="14" width="6.7109375" style="2" customWidth="1"/>
    <col min="15" max="15" width="10.42578125" style="2" customWidth="1"/>
    <col min="16" max="17" width="7.7109375" style="2" customWidth="1"/>
    <col min="18" max="18" width="12.7109375" style="2" customWidth="1"/>
    <col min="19" max="16384" width="9.140625" style="2"/>
  </cols>
  <sheetData>
    <row r="1" spans="1:19" s="46" customFormat="1" ht="12.75" x14ac:dyDescent="0.2">
      <c r="A1" s="118" t="s">
        <v>219</v>
      </c>
      <c r="B1" s="117"/>
      <c r="C1" s="91"/>
      <c r="E1" s="47"/>
    </row>
    <row r="2" spans="1:19" s="46" customFormat="1" ht="12.75" x14ac:dyDescent="0.2">
      <c r="B2" s="117"/>
      <c r="C2" s="91"/>
      <c r="E2" s="47"/>
    </row>
    <row r="3" spans="1:19" ht="18.75" x14ac:dyDescent="0.3">
      <c r="A3" s="29" t="s">
        <v>61</v>
      </c>
    </row>
    <row r="5" spans="1:19" ht="19.5" customHeight="1" x14ac:dyDescent="0.25">
      <c r="A5" s="195" t="s">
        <v>59</v>
      </c>
      <c r="B5" s="196"/>
      <c r="C5" s="196"/>
      <c r="D5" s="196"/>
      <c r="E5" s="196"/>
      <c r="F5" s="196"/>
      <c r="G5" s="196"/>
      <c r="H5" s="196"/>
      <c r="I5" s="196"/>
      <c r="J5" s="196"/>
      <c r="K5" s="196"/>
      <c r="L5" s="196"/>
      <c r="M5" s="196"/>
      <c r="N5" s="196"/>
      <c r="O5" s="196"/>
      <c r="P5" s="196"/>
      <c r="Q5" s="196"/>
      <c r="R5" s="197"/>
    </row>
    <row r="6" spans="1:19" s="11" customFormat="1" ht="38.25" x14ac:dyDescent="0.2">
      <c r="A6" s="10" t="s">
        <v>56</v>
      </c>
      <c r="B6" s="10" t="s">
        <v>55</v>
      </c>
      <c r="C6" s="10">
        <v>1</v>
      </c>
      <c r="D6" s="10">
        <v>2</v>
      </c>
      <c r="E6" s="10">
        <v>3</v>
      </c>
      <c r="F6" s="10">
        <v>4</v>
      </c>
      <c r="G6" s="10">
        <v>5</v>
      </c>
      <c r="H6" s="10">
        <v>6</v>
      </c>
      <c r="I6" s="10">
        <v>7</v>
      </c>
      <c r="J6" s="10">
        <v>8</v>
      </c>
      <c r="K6" s="10">
        <v>9</v>
      </c>
      <c r="L6" s="10">
        <v>10</v>
      </c>
      <c r="M6" s="10">
        <v>11</v>
      </c>
      <c r="N6" s="10">
        <v>12</v>
      </c>
      <c r="O6" s="25" t="s">
        <v>41</v>
      </c>
      <c r="P6" s="26" t="s">
        <v>57</v>
      </c>
      <c r="Q6" s="27" t="s">
        <v>58</v>
      </c>
      <c r="R6" s="182" t="s">
        <v>136</v>
      </c>
    </row>
    <row r="7" spans="1:19" s="1" customFormat="1" x14ac:dyDescent="0.25">
      <c r="A7" s="33" t="s">
        <v>161</v>
      </c>
      <c r="B7" s="31"/>
      <c r="C7" s="31"/>
      <c r="D7" s="31"/>
      <c r="E7" s="31"/>
      <c r="F7" s="31"/>
      <c r="G7" s="31"/>
      <c r="H7" s="31">
        <v>60</v>
      </c>
      <c r="I7" s="31">
        <v>60</v>
      </c>
      <c r="J7" s="31">
        <v>56</v>
      </c>
      <c r="K7" s="31">
        <v>40</v>
      </c>
      <c r="L7" s="31">
        <v>35</v>
      </c>
      <c r="M7" s="31">
        <v>25</v>
      </c>
      <c r="N7" s="31">
        <v>14</v>
      </c>
      <c r="O7" s="32">
        <f>ROUND(SUM(B7:N7),0)</f>
        <v>290</v>
      </c>
      <c r="P7" s="64">
        <v>0</v>
      </c>
      <c r="Q7" s="65">
        <v>0.12</v>
      </c>
      <c r="R7" s="65">
        <v>0.4</v>
      </c>
    </row>
    <row r="8" spans="1:19" x14ac:dyDescent="0.25">
      <c r="A8" s="34" t="s">
        <v>162</v>
      </c>
      <c r="B8" s="31"/>
      <c r="C8" s="31"/>
      <c r="D8" s="31"/>
      <c r="E8" s="31"/>
      <c r="F8" s="31"/>
      <c r="G8" s="31"/>
      <c r="H8" s="31">
        <v>42</v>
      </c>
      <c r="I8" s="31">
        <f>H7*0.9</f>
        <v>54</v>
      </c>
      <c r="J8" s="31">
        <f>I7*0.9</f>
        <v>54</v>
      </c>
      <c r="K8" s="31">
        <f t="shared" ref="K8:N8" si="0">J7*0.9</f>
        <v>50.4</v>
      </c>
      <c r="L8" s="31">
        <f t="shared" si="0"/>
        <v>36</v>
      </c>
      <c r="M8" s="31">
        <f t="shared" si="0"/>
        <v>31.5</v>
      </c>
      <c r="N8" s="31">
        <f t="shared" si="0"/>
        <v>22.5</v>
      </c>
      <c r="O8" s="32">
        <f>ROUND(SUM(B8:N8),0)</f>
        <v>290</v>
      </c>
      <c r="P8" s="64">
        <v>0</v>
      </c>
      <c r="Q8" s="65">
        <v>0.12</v>
      </c>
      <c r="R8" s="65">
        <v>0.4</v>
      </c>
      <c r="S8" s="18"/>
    </row>
    <row r="9" spans="1:19" x14ac:dyDescent="0.25">
      <c r="A9" s="34" t="s">
        <v>163</v>
      </c>
      <c r="B9" s="31"/>
      <c r="C9" s="31"/>
      <c r="D9" s="31"/>
      <c r="E9" s="31"/>
      <c r="F9" s="31"/>
      <c r="G9" s="31"/>
      <c r="H9" s="31">
        <v>50</v>
      </c>
      <c r="I9" s="31">
        <f t="shared" ref="I9:N11" si="1">H8*0.9</f>
        <v>37.800000000000004</v>
      </c>
      <c r="J9" s="31">
        <f t="shared" si="1"/>
        <v>48.6</v>
      </c>
      <c r="K9" s="31">
        <f t="shared" si="1"/>
        <v>48.6</v>
      </c>
      <c r="L9" s="31">
        <f t="shared" si="1"/>
        <v>45.36</v>
      </c>
      <c r="M9" s="31">
        <v>31</v>
      </c>
      <c r="N9" s="31">
        <f t="shared" si="1"/>
        <v>28.35</v>
      </c>
      <c r="O9" s="32">
        <f>ROUND(SUM(B9:N9),0)</f>
        <v>290</v>
      </c>
      <c r="P9" s="64">
        <v>0</v>
      </c>
      <c r="Q9" s="65">
        <v>0.12</v>
      </c>
      <c r="R9" s="65">
        <v>0.4</v>
      </c>
      <c r="S9" s="18"/>
    </row>
    <row r="10" spans="1:19" x14ac:dyDescent="0.25">
      <c r="A10" s="34" t="s">
        <v>164</v>
      </c>
      <c r="B10" s="31"/>
      <c r="C10" s="31"/>
      <c r="D10" s="31"/>
      <c r="E10" s="31"/>
      <c r="F10" s="31"/>
      <c r="G10" s="31"/>
      <c r="H10" s="31">
        <v>55</v>
      </c>
      <c r="I10" s="31">
        <f t="shared" si="1"/>
        <v>45</v>
      </c>
      <c r="J10" s="31">
        <f t="shared" si="1"/>
        <v>34.020000000000003</v>
      </c>
      <c r="K10" s="31">
        <f t="shared" si="1"/>
        <v>43.74</v>
      </c>
      <c r="L10" s="31">
        <f t="shared" si="1"/>
        <v>43.74</v>
      </c>
      <c r="M10" s="31">
        <f t="shared" si="1"/>
        <v>40.823999999999998</v>
      </c>
      <c r="N10" s="31">
        <f t="shared" si="1"/>
        <v>27.900000000000002</v>
      </c>
      <c r="O10" s="32">
        <f>ROUND(SUM(B10:N10),0)</f>
        <v>290</v>
      </c>
      <c r="P10" s="64">
        <v>0</v>
      </c>
      <c r="Q10" s="65">
        <v>0.12</v>
      </c>
      <c r="R10" s="65">
        <v>0.4</v>
      </c>
      <c r="S10" s="18"/>
    </row>
    <row r="11" spans="1:19" x14ac:dyDescent="0.25">
      <c r="A11" s="34" t="s">
        <v>165</v>
      </c>
      <c r="B11" s="31"/>
      <c r="C11" s="31"/>
      <c r="D11" s="31"/>
      <c r="E11" s="31"/>
      <c r="F11" s="31"/>
      <c r="G11" s="31"/>
      <c r="H11" s="31">
        <v>54</v>
      </c>
      <c r="I11" s="31">
        <f t="shared" si="1"/>
        <v>49.5</v>
      </c>
      <c r="J11" s="31">
        <f t="shared" si="1"/>
        <v>40.5</v>
      </c>
      <c r="K11" s="31">
        <f t="shared" si="1"/>
        <v>30.618000000000002</v>
      </c>
      <c r="L11" s="31">
        <f t="shared" si="1"/>
        <v>39.366</v>
      </c>
      <c r="M11" s="31">
        <f t="shared" si="1"/>
        <v>39.366</v>
      </c>
      <c r="N11" s="31">
        <f t="shared" si="1"/>
        <v>36.741599999999998</v>
      </c>
      <c r="O11" s="32">
        <f>ROUND(SUM(B11:N11),0)</f>
        <v>290</v>
      </c>
      <c r="P11" s="64">
        <v>0</v>
      </c>
      <c r="Q11" s="65">
        <v>0.12</v>
      </c>
      <c r="R11" s="65">
        <v>0.4</v>
      </c>
      <c r="S11" s="18"/>
    </row>
    <row r="12" spans="1:19" x14ac:dyDescent="0.25">
      <c r="A12" s="35"/>
      <c r="B12" s="35"/>
      <c r="C12" s="35"/>
      <c r="D12" s="35"/>
      <c r="E12" s="35"/>
      <c r="F12" s="35"/>
      <c r="G12" s="35"/>
      <c r="H12" s="35"/>
      <c r="I12" s="35"/>
      <c r="J12" s="35"/>
      <c r="K12" s="35"/>
      <c r="L12" s="35"/>
      <c r="M12" s="35"/>
      <c r="N12" s="35"/>
      <c r="O12" s="35"/>
    </row>
    <row r="13" spans="1:19" ht="20.25" customHeight="1" x14ac:dyDescent="0.25">
      <c r="A13" s="198" t="s">
        <v>60</v>
      </c>
      <c r="B13" s="199"/>
      <c r="C13" s="199"/>
      <c r="D13" s="199"/>
      <c r="E13" s="199"/>
      <c r="F13" s="199"/>
      <c r="G13" s="199"/>
      <c r="H13" s="199"/>
      <c r="I13" s="199"/>
      <c r="J13" s="199"/>
      <c r="K13" s="199"/>
      <c r="L13" s="199"/>
      <c r="M13" s="199"/>
      <c r="N13" s="199"/>
      <c r="O13" s="200"/>
      <c r="P13" s="28"/>
      <c r="Q13" s="28"/>
      <c r="R13" s="28"/>
      <c r="S13" s="1"/>
    </row>
    <row r="14" spans="1:19" x14ac:dyDescent="0.25">
      <c r="A14" s="36" t="s">
        <v>56</v>
      </c>
      <c r="B14" s="36" t="s">
        <v>55</v>
      </c>
      <c r="C14" s="36">
        <v>1</v>
      </c>
      <c r="D14" s="36">
        <v>2</v>
      </c>
      <c r="E14" s="36">
        <v>3</v>
      </c>
      <c r="F14" s="36">
        <v>4</v>
      </c>
      <c r="G14" s="36">
        <v>5</v>
      </c>
      <c r="H14" s="36">
        <v>6</v>
      </c>
      <c r="I14" s="36">
        <v>7</v>
      </c>
      <c r="J14" s="36">
        <v>8</v>
      </c>
      <c r="K14" s="36">
        <v>9</v>
      </c>
      <c r="L14" s="36">
        <v>10</v>
      </c>
      <c r="M14" s="36">
        <v>11</v>
      </c>
      <c r="N14" s="36">
        <v>12</v>
      </c>
      <c r="O14" s="36" t="s">
        <v>41</v>
      </c>
    </row>
    <row r="15" spans="1:19" x14ac:dyDescent="0.25">
      <c r="A15" s="33" t="s">
        <v>161</v>
      </c>
      <c r="B15" s="31"/>
      <c r="C15" s="31"/>
      <c r="D15" s="31"/>
      <c r="E15" s="31"/>
      <c r="F15" s="31"/>
      <c r="G15" s="31"/>
      <c r="H15" s="31">
        <f>ROUNDUP(H7/25,0)</f>
        <v>3</v>
      </c>
      <c r="I15" s="31">
        <f t="shared" ref="I15:N15" si="2">ROUNDUP(I7/25,0)</f>
        <v>3</v>
      </c>
      <c r="J15" s="31">
        <f t="shared" si="2"/>
        <v>3</v>
      </c>
      <c r="K15" s="31">
        <f t="shared" si="2"/>
        <v>2</v>
      </c>
      <c r="L15" s="31">
        <f t="shared" si="2"/>
        <v>2</v>
      </c>
      <c r="M15" s="31">
        <f t="shared" si="2"/>
        <v>1</v>
      </c>
      <c r="N15" s="31">
        <f t="shared" si="2"/>
        <v>1</v>
      </c>
      <c r="O15" s="31">
        <f>SUM(B15:N15)</f>
        <v>15</v>
      </c>
    </row>
    <row r="16" spans="1:19" x14ac:dyDescent="0.25">
      <c r="A16" s="34" t="s">
        <v>162</v>
      </c>
      <c r="B16" s="31"/>
      <c r="C16" s="31"/>
      <c r="D16" s="31"/>
      <c r="E16" s="31"/>
      <c r="F16" s="31"/>
      <c r="G16" s="31"/>
      <c r="H16" s="31">
        <f>ROUNDUP(H8/25,0)</f>
        <v>2</v>
      </c>
      <c r="I16" s="31">
        <f t="shared" ref="I16:N17" si="3">ROUNDUP(I8/25,0)</f>
        <v>3</v>
      </c>
      <c r="J16" s="31">
        <f t="shared" si="3"/>
        <v>3</v>
      </c>
      <c r="K16" s="31">
        <f t="shared" si="3"/>
        <v>3</v>
      </c>
      <c r="L16" s="31">
        <f t="shared" si="3"/>
        <v>2</v>
      </c>
      <c r="M16" s="31">
        <f t="shared" si="3"/>
        <v>2</v>
      </c>
      <c r="N16" s="31">
        <f t="shared" si="3"/>
        <v>1</v>
      </c>
      <c r="O16" s="31">
        <f>SUM(B16:N16)</f>
        <v>16</v>
      </c>
    </row>
    <row r="17" spans="1:15" x14ac:dyDescent="0.25">
      <c r="A17" s="34" t="s">
        <v>163</v>
      </c>
      <c r="B17" s="31"/>
      <c r="C17" s="31"/>
      <c r="D17" s="31"/>
      <c r="E17" s="31"/>
      <c r="F17" s="31"/>
      <c r="G17" s="31"/>
      <c r="H17" s="31">
        <f>ROUNDUP(H9/25,0)</f>
        <v>2</v>
      </c>
      <c r="I17" s="31">
        <f t="shared" si="3"/>
        <v>2</v>
      </c>
      <c r="J17" s="31">
        <f t="shared" si="3"/>
        <v>2</v>
      </c>
      <c r="K17" s="31">
        <f t="shared" si="3"/>
        <v>2</v>
      </c>
      <c r="L17" s="31">
        <f t="shared" si="3"/>
        <v>2</v>
      </c>
      <c r="M17" s="31">
        <f t="shared" si="3"/>
        <v>2</v>
      </c>
      <c r="N17" s="31">
        <f t="shared" si="3"/>
        <v>2</v>
      </c>
      <c r="O17" s="31">
        <f>SUM(B17:N17)</f>
        <v>14</v>
      </c>
    </row>
    <row r="18" spans="1:15" x14ac:dyDescent="0.25">
      <c r="A18" s="34" t="s">
        <v>164</v>
      </c>
      <c r="B18" s="31"/>
      <c r="C18" s="31"/>
      <c r="D18" s="31"/>
      <c r="E18" s="31"/>
      <c r="F18" s="31"/>
      <c r="G18" s="31"/>
      <c r="H18" s="31">
        <f t="shared" ref="H18:N18" si="4">ROUNDUP(H10/25,0)</f>
        <v>3</v>
      </c>
      <c r="I18" s="31">
        <f t="shared" si="4"/>
        <v>2</v>
      </c>
      <c r="J18" s="31">
        <f t="shared" si="4"/>
        <v>2</v>
      </c>
      <c r="K18" s="31">
        <f t="shared" si="4"/>
        <v>2</v>
      </c>
      <c r="L18" s="31">
        <f t="shared" si="4"/>
        <v>2</v>
      </c>
      <c r="M18" s="31">
        <f t="shared" si="4"/>
        <v>2</v>
      </c>
      <c r="N18" s="31">
        <f t="shared" si="4"/>
        <v>2</v>
      </c>
      <c r="O18" s="31">
        <f>SUM(B18:N18)</f>
        <v>15</v>
      </c>
    </row>
    <row r="19" spans="1:15" x14ac:dyDescent="0.25">
      <c r="A19" s="34" t="s">
        <v>165</v>
      </c>
      <c r="B19" s="31"/>
      <c r="C19" s="31"/>
      <c r="D19" s="31"/>
      <c r="E19" s="31"/>
      <c r="F19" s="31"/>
      <c r="G19" s="31"/>
      <c r="H19" s="31">
        <f t="shared" ref="H19:N19" si="5">ROUNDUP(H11/25,0)</f>
        <v>3</v>
      </c>
      <c r="I19" s="31">
        <f t="shared" si="5"/>
        <v>2</v>
      </c>
      <c r="J19" s="31">
        <f t="shared" si="5"/>
        <v>2</v>
      </c>
      <c r="K19" s="31">
        <f t="shared" si="5"/>
        <v>2</v>
      </c>
      <c r="L19" s="31">
        <f t="shared" si="5"/>
        <v>2</v>
      </c>
      <c r="M19" s="31">
        <f t="shared" si="5"/>
        <v>2</v>
      </c>
      <c r="N19" s="31">
        <f t="shared" si="5"/>
        <v>2</v>
      </c>
      <c r="O19" s="31">
        <f>SUM(B19:N19)</f>
        <v>15</v>
      </c>
    </row>
    <row r="20" spans="1:15" x14ac:dyDescent="0.25">
      <c r="A20" s="130"/>
      <c r="B20" s="130"/>
      <c r="C20" s="130"/>
    </row>
    <row r="21" spans="1:15" ht="15.75" customHeight="1" x14ac:dyDescent="0.25">
      <c r="A21" s="133" t="s">
        <v>141</v>
      </c>
      <c r="B21" s="28"/>
      <c r="C21" s="28"/>
      <c r="D21" s="28"/>
      <c r="E21" s="28"/>
      <c r="F21" s="28"/>
      <c r="G21" s="28"/>
      <c r="H21" s="28"/>
      <c r="I21" s="28"/>
      <c r="J21" s="28"/>
      <c r="K21" s="28"/>
      <c r="L21" s="28"/>
      <c r="M21" s="28"/>
      <c r="N21" s="28"/>
      <c r="O21" s="28"/>
    </row>
    <row r="22" spans="1:15" ht="15.75" customHeight="1" x14ac:dyDescent="0.25">
      <c r="A22" s="133"/>
      <c r="B22" s="28"/>
      <c r="C22" s="28"/>
      <c r="D22" s="28"/>
      <c r="E22" s="28"/>
      <c r="F22" s="28"/>
      <c r="G22" s="28"/>
      <c r="H22" s="28"/>
      <c r="I22" s="28"/>
      <c r="J22" s="28"/>
      <c r="K22" s="28"/>
      <c r="L22" s="28"/>
      <c r="M22" s="28"/>
      <c r="N22" s="28"/>
      <c r="O22" s="28"/>
    </row>
    <row r="23" spans="1:15" x14ac:dyDescent="0.25">
      <c r="B23" s="131" t="s">
        <v>166</v>
      </c>
      <c r="C23" s="131"/>
      <c r="D23" s="1"/>
      <c r="E23" s="1"/>
      <c r="F23" s="1"/>
      <c r="G23" s="1"/>
      <c r="H23" s="1"/>
      <c r="I23" s="1"/>
      <c r="J23" s="1"/>
      <c r="K23" s="1"/>
      <c r="L23" s="1"/>
      <c r="M23" s="1"/>
      <c r="N23" s="1"/>
      <c r="O23" s="1"/>
    </row>
    <row r="24" spans="1:15" x14ac:dyDescent="0.25">
      <c r="A24" s="22" t="s">
        <v>142</v>
      </c>
      <c r="B24" s="184">
        <v>5088</v>
      </c>
      <c r="C24" s="184"/>
      <c r="D24" s="1"/>
      <c r="E24" s="1"/>
      <c r="F24" s="1"/>
      <c r="G24" s="1"/>
      <c r="H24" s="1"/>
      <c r="I24" s="1"/>
      <c r="J24" s="1"/>
      <c r="K24" s="1"/>
      <c r="L24" s="1"/>
      <c r="M24" s="1"/>
      <c r="N24" s="1"/>
      <c r="O24" s="1"/>
    </row>
    <row r="25" spans="1:15" x14ac:dyDescent="0.25">
      <c r="A25" s="185" t="s">
        <v>143</v>
      </c>
      <c r="B25" s="184">
        <v>3539</v>
      </c>
      <c r="C25" s="184"/>
      <c r="D25" s="186"/>
    </row>
    <row r="26" spans="1:15" x14ac:dyDescent="0.25">
      <c r="A26" s="129"/>
      <c r="B26" s="132"/>
      <c r="C26" s="132"/>
    </row>
    <row r="27" spans="1:15" x14ac:dyDescent="0.25">
      <c r="A27" s="129"/>
      <c r="B27" s="132"/>
      <c r="C27" s="132"/>
    </row>
    <row r="28" spans="1:15" x14ac:dyDescent="0.25">
      <c r="A28" s="129"/>
      <c r="B28" s="132"/>
      <c r="C28" s="132"/>
    </row>
    <row r="29" spans="1:15" x14ac:dyDescent="0.25">
      <c r="A29" s="130"/>
      <c r="B29" s="130"/>
      <c r="C29" s="130"/>
    </row>
    <row r="30" spans="1:15" x14ac:dyDescent="0.25">
      <c r="A30" s="30"/>
    </row>
  </sheetData>
  <customSheetViews>
    <customSheetView guid="{4EB07C87-A9F4-403E-8C0F-324FFB87E1FF}">
      <selection activeCell="P5" sqref="P5:R9"/>
      <pageMargins left="0.7" right="0.7" top="0.75" bottom="0.75" header="0.3" footer="0.3"/>
      <pageSetup orientation="portrait"/>
    </customSheetView>
    <customSheetView guid="{78108F25-E067-40AC-B09B-6FE5187CDB4B}" topLeftCell="A10">
      <selection activeCell="B21" sqref="B21:C21"/>
      <pageMargins left="0.7" right="0.7" top="0.75" bottom="0.75" header="0.3" footer="0.3"/>
      <pageSetup orientation="portrait"/>
    </customSheetView>
  </customSheetViews>
  <mergeCells count="2">
    <mergeCell ref="A5:R5"/>
    <mergeCell ref="A13:O13"/>
  </mergeCells>
  <phoneticPr fontId="27" type="noConversion"/>
  <pageMargins left="0.7" right="0.7" top="0.75" bottom="0.75" header="0.3" footer="0.3"/>
  <pageSetup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topLeftCell="A118" workbookViewId="0">
      <selection activeCell="C20" sqref="C20"/>
    </sheetView>
  </sheetViews>
  <sheetFormatPr defaultRowHeight="12.75" x14ac:dyDescent="0.2"/>
  <cols>
    <col min="1" max="1" width="44.7109375" style="59" customWidth="1"/>
    <col min="2" max="7" width="16.140625" style="46" customWidth="1"/>
    <col min="8" max="16384" width="9.140625" style="46"/>
  </cols>
  <sheetData>
    <row r="1" spans="1:8" x14ac:dyDescent="0.2">
      <c r="A1" s="189" t="str">
        <f>'School Enrollment Projection'!A1</f>
        <v>School Name: Carpe Diem Meridian</v>
      </c>
      <c r="B1" s="126"/>
      <c r="C1" s="126"/>
      <c r="D1" s="126"/>
      <c r="E1" s="126"/>
      <c r="F1" s="126"/>
      <c r="G1" s="126"/>
    </row>
    <row r="2" spans="1:8" x14ac:dyDescent="0.2">
      <c r="A2" s="142"/>
      <c r="B2" s="10"/>
      <c r="C2" s="10"/>
      <c r="D2" s="10"/>
      <c r="E2" s="10"/>
      <c r="F2" s="10"/>
      <c r="G2" s="10"/>
    </row>
    <row r="3" spans="1:8" x14ac:dyDescent="0.2">
      <c r="A3" s="190"/>
      <c r="B3" s="10" t="s">
        <v>50</v>
      </c>
      <c r="C3" s="10" t="s">
        <v>150</v>
      </c>
      <c r="D3" s="10" t="s">
        <v>151</v>
      </c>
      <c r="E3" s="10" t="s">
        <v>152</v>
      </c>
      <c r="F3" s="10" t="s">
        <v>153</v>
      </c>
      <c r="G3" s="10" t="s">
        <v>154</v>
      </c>
    </row>
    <row r="4" spans="1:8" s="11" customFormat="1" x14ac:dyDescent="0.2">
      <c r="A4" s="10" t="str">
        <f>'YEAR 6'!A4</f>
        <v>REVENUE</v>
      </c>
      <c r="B4" s="12"/>
      <c r="C4" s="12"/>
      <c r="D4" s="12"/>
      <c r="E4" s="12"/>
      <c r="F4" s="12"/>
      <c r="G4" s="12"/>
    </row>
    <row r="5" spans="1:8" s="11" customFormat="1" x14ac:dyDescent="0.2">
      <c r="A5" s="12" t="str">
        <f>'YEAR 6'!A5</f>
        <v>State Revenue</v>
      </c>
      <c r="B5" s="12"/>
      <c r="C5" s="12"/>
      <c r="D5" s="12"/>
      <c r="E5" s="12"/>
      <c r="F5" s="12"/>
      <c r="G5" s="114">
        <f>'YEAR 10'!$B5</f>
        <v>0</v>
      </c>
    </row>
    <row r="6" spans="1:8" s="43" customFormat="1" x14ac:dyDescent="0.2">
      <c r="A6" s="60" t="str">
        <f>'YEAR 6'!A6</f>
        <v>Basic Grant</v>
      </c>
      <c r="B6" s="114"/>
      <c r="C6" s="114">
        <f>'YEAR 6'!$B6</f>
        <v>2209617.8219999997</v>
      </c>
      <c r="D6" s="114">
        <f>'YEAR 7'!$B6</f>
        <v>2209617.8219999997</v>
      </c>
      <c r="E6" s="114">
        <f>'YEAR 8'!$B6</f>
        <v>2209617.8219999997</v>
      </c>
      <c r="F6" s="114">
        <f>'YEAR 9'!$B6</f>
        <v>2209617.8219999997</v>
      </c>
      <c r="G6" s="114">
        <f>'YEAR 10'!$B6</f>
        <v>2209617.8219999997</v>
      </c>
    </row>
    <row r="7" spans="1:8" x14ac:dyDescent="0.2">
      <c r="A7" s="60" t="str">
        <f>'YEAR 6'!A7</f>
        <v>State Matching Funds for School Lunch Program</v>
      </c>
      <c r="B7" s="114"/>
      <c r="C7" s="114">
        <f>'YEAR 6'!$B7</f>
        <v>0</v>
      </c>
      <c r="D7" s="114">
        <f>'YEAR 7'!$B7</f>
        <v>0</v>
      </c>
      <c r="E7" s="114">
        <f>'YEAR 8'!$B7</f>
        <v>0</v>
      </c>
      <c r="F7" s="114">
        <f>'YEAR 9'!$B7</f>
        <v>0</v>
      </c>
      <c r="G7" s="114">
        <f>'YEAR 10'!$B7</f>
        <v>0</v>
      </c>
      <c r="H7" s="127"/>
    </row>
    <row r="8" spans="1:8" x14ac:dyDescent="0.2">
      <c r="A8" s="60" t="str">
        <f>'YEAR 6'!A8</f>
        <v>Professional Development</v>
      </c>
      <c r="B8" s="114"/>
      <c r="C8" s="114">
        <f>'YEAR 6'!$B8</f>
        <v>0</v>
      </c>
      <c r="D8" s="114">
        <f>'YEAR 7'!$B8</f>
        <v>0</v>
      </c>
      <c r="E8" s="114">
        <f>'YEAR 8'!$B8</f>
        <v>0</v>
      </c>
      <c r="F8" s="114">
        <f>'YEAR 9'!$B8</f>
        <v>0</v>
      </c>
      <c r="G8" s="114">
        <f>'YEAR 10'!$B8</f>
        <v>0</v>
      </c>
      <c r="H8" s="127"/>
    </row>
    <row r="9" spans="1:8" x14ac:dyDescent="0.2">
      <c r="A9" s="60" t="str">
        <f>'YEAR 6'!A9</f>
        <v>Technology Grants</v>
      </c>
      <c r="B9" s="114"/>
      <c r="C9" s="114">
        <f>'YEAR 6'!$B9</f>
        <v>0</v>
      </c>
      <c r="D9" s="114">
        <f>'YEAR 7'!$B9</f>
        <v>0</v>
      </c>
      <c r="E9" s="114">
        <f>'YEAR 8'!$B9</f>
        <v>0</v>
      </c>
      <c r="F9" s="114">
        <f>'YEAR 9'!$B9</f>
        <v>0</v>
      </c>
      <c r="G9" s="114">
        <f>'YEAR 10'!$B9</f>
        <v>0</v>
      </c>
      <c r="H9" s="127"/>
    </row>
    <row r="10" spans="1:8" x14ac:dyDescent="0.2">
      <c r="A10" s="60" t="str">
        <f>'YEAR 6'!A10</f>
        <v>Remediation Program</v>
      </c>
      <c r="B10" s="114"/>
      <c r="C10" s="114">
        <f>'YEAR 6'!$B10</f>
        <v>0</v>
      </c>
      <c r="D10" s="114">
        <f>'YEAR 7'!$B10</f>
        <v>0</v>
      </c>
      <c r="E10" s="114">
        <f>'YEAR 8'!$B10</f>
        <v>0</v>
      </c>
      <c r="F10" s="114">
        <f>'YEAR 9'!$B10</f>
        <v>0</v>
      </c>
      <c r="G10" s="114">
        <f>'YEAR 10'!$B10</f>
        <v>0</v>
      </c>
      <c r="H10" s="127"/>
    </row>
    <row r="11" spans="1:8" x14ac:dyDescent="0.2">
      <c r="A11" s="60" t="str">
        <f>'YEAR 6'!A11</f>
        <v>Gifted and Talented Program</v>
      </c>
      <c r="B11" s="114"/>
      <c r="C11" s="114">
        <f>'YEAR 6'!$B11</f>
        <v>0</v>
      </c>
      <c r="D11" s="114">
        <f>'YEAR 7'!$B11</f>
        <v>0</v>
      </c>
      <c r="E11" s="114">
        <f>'YEAR 8'!$B11</f>
        <v>0</v>
      </c>
      <c r="F11" s="114">
        <f>'YEAR 9'!$B11</f>
        <v>0</v>
      </c>
      <c r="G11" s="114">
        <f>'YEAR 10'!$B11</f>
        <v>0</v>
      </c>
      <c r="H11" s="127"/>
    </row>
    <row r="12" spans="1:8" x14ac:dyDescent="0.2">
      <c r="A12" s="60" t="str">
        <f>'YEAR 6'!A12</f>
        <v>Textbook Reimbursement</v>
      </c>
      <c r="B12" s="114"/>
      <c r="C12" s="114">
        <f>'YEAR 6'!$B12</f>
        <v>12000</v>
      </c>
      <c r="D12" s="114">
        <f>'YEAR 7'!$B12</f>
        <v>12000</v>
      </c>
      <c r="E12" s="114">
        <f>'YEAR 8'!$B12</f>
        <v>12000</v>
      </c>
      <c r="F12" s="114">
        <f>'YEAR 9'!$B12</f>
        <v>12000</v>
      </c>
      <c r="G12" s="114">
        <f>'YEAR 10'!$B12</f>
        <v>12000</v>
      </c>
      <c r="H12" s="127"/>
    </row>
    <row r="13" spans="1:8" x14ac:dyDescent="0.2">
      <c r="A13" s="60" t="str">
        <f>'YEAR 6'!A13</f>
        <v>Summer School</v>
      </c>
      <c r="B13" s="114"/>
      <c r="C13" s="114">
        <f>'YEAR 6'!$B13</f>
        <v>15000</v>
      </c>
      <c r="D13" s="114">
        <f>'YEAR 7'!$B13</f>
        <v>15000</v>
      </c>
      <c r="E13" s="114">
        <f>'YEAR 8'!$B13</f>
        <v>15000</v>
      </c>
      <c r="F13" s="114">
        <f>'YEAR 9'!$B13</f>
        <v>15000</v>
      </c>
      <c r="G13" s="114">
        <f>'YEAR 10'!$B13</f>
        <v>15000</v>
      </c>
      <c r="H13" s="127"/>
    </row>
    <row r="14" spans="1:8" x14ac:dyDescent="0.2">
      <c r="A14" s="60" t="str">
        <f>'YEAR 6'!A14</f>
        <v>Charter and Innovation Network School Grant Program</v>
      </c>
      <c r="B14" s="114"/>
      <c r="C14" s="114">
        <f>'YEAR 6'!$B14</f>
        <v>145000</v>
      </c>
      <c r="D14" s="114">
        <f>'YEAR 7'!$B14</f>
        <v>145000</v>
      </c>
      <c r="E14" s="114">
        <f>'YEAR 8'!$B14</f>
        <v>145000</v>
      </c>
      <c r="F14" s="114">
        <f>'YEAR 9'!$B14</f>
        <v>145000</v>
      </c>
      <c r="G14" s="114">
        <f>'YEAR 10'!$B14</f>
        <v>145000</v>
      </c>
      <c r="H14" s="127"/>
    </row>
    <row r="15" spans="1:8" x14ac:dyDescent="0.2">
      <c r="A15" s="60" t="str">
        <f>'YEAR 6'!A15</f>
        <v>Charter and Innovation Network School Advance Program</v>
      </c>
      <c r="B15" s="114"/>
      <c r="C15" s="114">
        <f>'YEAR 6'!$B15</f>
        <v>0</v>
      </c>
      <c r="D15" s="114">
        <f>'YEAR 7'!$B15</f>
        <v>0</v>
      </c>
      <c r="E15" s="114">
        <f>'YEAR 8'!$B15</f>
        <v>0</v>
      </c>
      <c r="F15" s="114">
        <f>'YEAR 9'!$B15</f>
        <v>0</v>
      </c>
      <c r="G15" s="114">
        <f>'YEAR 10'!$B15</f>
        <v>0</v>
      </c>
      <c r="H15" s="127"/>
    </row>
    <row r="16" spans="1:8" x14ac:dyDescent="0.2">
      <c r="A16" s="12" t="str">
        <f>'YEAR 6'!A16</f>
        <v>Federal Revenue</v>
      </c>
      <c r="B16" s="114"/>
      <c r="C16" s="114">
        <f>'YEAR 6'!$B16</f>
        <v>0</v>
      </c>
      <c r="D16" s="114">
        <f>'YEAR 7'!$B16</f>
        <v>0</v>
      </c>
      <c r="E16" s="114">
        <f>'YEAR 8'!$B16</f>
        <v>0</v>
      </c>
      <c r="F16" s="114">
        <f>'YEAR 9'!$B16</f>
        <v>0</v>
      </c>
      <c r="G16" s="114">
        <f>'YEAR 10'!$B16</f>
        <v>0</v>
      </c>
      <c r="H16" s="127"/>
    </row>
    <row r="17" spans="1:8" x14ac:dyDescent="0.2">
      <c r="A17" s="60" t="str">
        <f>'YEAR 6'!A17</f>
        <v>Public Charter School Program (PCSP) Grant</v>
      </c>
      <c r="B17" s="114"/>
      <c r="C17" s="114">
        <f>'YEAR 6'!$B17</f>
        <v>0</v>
      </c>
      <c r="D17" s="114">
        <f>'YEAR 7'!$B17</f>
        <v>0</v>
      </c>
      <c r="E17" s="114">
        <f>'YEAR 8'!$B17</f>
        <v>0</v>
      </c>
      <c r="F17" s="114">
        <f>'YEAR 9'!$B17</f>
        <v>0</v>
      </c>
      <c r="G17" s="114">
        <f>'YEAR 10'!$B17</f>
        <v>0</v>
      </c>
      <c r="H17" s="127"/>
    </row>
    <row r="18" spans="1:8" x14ac:dyDescent="0.2">
      <c r="A18" s="60" t="str">
        <f>'YEAR 6'!A18</f>
        <v>Public Law 101-476 (IDEA)</v>
      </c>
      <c r="B18" s="114"/>
      <c r="C18" s="114">
        <f>'YEAR 6'!$B18</f>
        <v>0</v>
      </c>
      <c r="D18" s="114">
        <f>'YEAR 7'!$B18</f>
        <v>0</v>
      </c>
      <c r="E18" s="114">
        <f>'YEAR 8'!$B18</f>
        <v>0</v>
      </c>
      <c r="F18" s="114">
        <f>'YEAR 9'!$B18</f>
        <v>0</v>
      </c>
      <c r="G18" s="114">
        <f>'YEAR 10'!$B18</f>
        <v>0</v>
      </c>
      <c r="H18" s="127"/>
    </row>
    <row r="19" spans="1:8" x14ac:dyDescent="0.2">
      <c r="A19" s="60" t="str">
        <f>'YEAR 6'!A19</f>
        <v>Title I</v>
      </c>
      <c r="B19" s="114"/>
      <c r="C19" s="114">
        <f>'YEAR 6'!$B19</f>
        <v>126440</v>
      </c>
      <c r="D19" s="114">
        <f>'YEAR 7'!$B19</f>
        <v>126440</v>
      </c>
      <c r="E19" s="114">
        <f>'YEAR 8'!$B19</f>
        <v>126440</v>
      </c>
      <c r="F19" s="114">
        <f>'YEAR 9'!$B19</f>
        <v>126440</v>
      </c>
      <c r="G19" s="114">
        <f>'YEAR 10'!$B19</f>
        <v>126440</v>
      </c>
      <c r="H19" s="127"/>
    </row>
    <row r="20" spans="1:8" x14ac:dyDescent="0.2">
      <c r="A20" s="60" t="str">
        <f>'YEAR 6'!A20</f>
        <v>Title II</v>
      </c>
      <c r="B20" s="114"/>
      <c r="C20" s="114">
        <f>'YEAR 6'!$B20</f>
        <v>12000</v>
      </c>
      <c r="D20" s="114">
        <f>'YEAR 7'!$B20</f>
        <v>20000</v>
      </c>
      <c r="E20" s="114">
        <f>'YEAR 8'!$B20</f>
        <v>20000</v>
      </c>
      <c r="F20" s="114">
        <f>'YEAR 9'!$B20</f>
        <v>20000</v>
      </c>
      <c r="G20" s="114">
        <f>'YEAR 10'!$B20</f>
        <v>20000</v>
      </c>
      <c r="H20" s="127"/>
    </row>
    <row r="21" spans="1:8" x14ac:dyDescent="0.2">
      <c r="A21" s="60" t="str">
        <f>'YEAR 6'!A21</f>
        <v>Federal Lunch Program</v>
      </c>
      <c r="B21" s="114"/>
      <c r="C21" s="114">
        <f>'YEAR 6'!$B21</f>
        <v>116000</v>
      </c>
      <c r="D21" s="114">
        <f>'YEAR 7'!$B21</f>
        <v>116000</v>
      </c>
      <c r="E21" s="114">
        <f>'YEAR 8'!$B21</f>
        <v>116000</v>
      </c>
      <c r="F21" s="114">
        <f>'YEAR 9'!$B21</f>
        <v>116000</v>
      </c>
      <c r="G21" s="114">
        <f>'YEAR 10'!$B21</f>
        <v>116000</v>
      </c>
    </row>
    <row r="22" spans="1:8" x14ac:dyDescent="0.2">
      <c r="A22" s="60" t="str">
        <f>'YEAR 6'!A22</f>
        <v>Federal Breakfast Reimbursement</v>
      </c>
      <c r="B22" s="114"/>
      <c r="C22" s="114">
        <f>'YEAR 6'!$B22</f>
        <v>0</v>
      </c>
      <c r="D22" s="114">
        <f>'YEAR 7'!$B22</f>
        <v>0</v>
      </c>
      <c r="E22" s="114">
        <f>'YEAR 8'!$B22</f>
        <v>0</v>
      </c>
      <c r="F22" s="114">
        <f>'YEAR 9'!$B22</f>
        <v>0</v>
      </c>
      <c r="G22" s="114">
        <f>'YEAR 10'!$B22</f>
        <v>0</v>
      </c>
    </row>
    <row r="23" spans="1:8" ht="13.5" x14ac:dyDescent="0.25">
      <c r="A23" s="60" t="str">
        <f>'YEAR 6'!A23</f>
        <v>Other Revenue Federal sources (Medicaid Reimbursement)</v>
      </c>
      <c r="B23" s="114"/>
      <c r="C23" s="114">
        <f>'YEAR 6'!$B23</f>
        <v>69600</v>
      </c>
      <c r="D23" s="114">
        <f>'YEAR 7'!$B23</f>
        <v>69600</v>
      </c>
      <c r="E23" s="114">
        <f>'YEAR 8'!$B23</f>
        <v>69600</v>
      </c>
      <c r="F23" s="114">
        <f>'YEAR 9'!$B23</f>
        <v>69600</v>
      </c>
      <c r="G23" s="114">
        <f>'YEAR 10'!$B23</f>
        <v>69600</v>
      </c>
      <c r="H23" s="62"/>
    </row>
    <row r="24" spans="1:8" x14ac:dyDescent="0.2">
      <c r="A24" s="60" t="str">
        <f>'YEAR 6'!A24</f>
        <v>Other Revenue Federal sources (please describe)</v>
      </c>
      <c r="B24" s="114"/>
      <c r="C24" s="114">
        <f>'YEAR 6'!$B24</f>
        <v>0</v>
      </c>
      <c r="D24" s="114">
        <f>'YEAR 7'!$B24</f>
        <v>0</v>
      </c>
      <c r="E24" s="114">
        <f>'YEAR 8'!$B24</f>
        <v>0</v>
      </c>
      <c r="F24" s="114">
        <f>'YEAR 9'!$B24</f>
        <v>0</v>
      </c>
      <c r="G24" s="114">
        <f>'YEAR 10'!$B24</f>
        <v>0</v>
      </c>
      <c r="H24" s="127"/>
    </row>
    <row r="25" spans="1:8" x14ac:dyDescent="0.2">
      <c r="A25" s="12" t="str">
        <f>'YEAR 6'!A25</f>
        <v>Other Revenues</v>
      </c>
      <c r="B25" s="114"/>
      <c r="C25" s="114">
        <f>'YEAR 6'!$B25</f>
        <v>0</v>
      </c>
      <c r="D25" s="114">
        <f>'YEAR 7'!$B25</f>
        <v>0</v>
      </c>
      <c r="E25" s="114">
        <f>'YEAR 8'!$B25</f>
        <v>0</v>
      </c>
      <c r="F25" s="114">
        <f>'YEAR 9'!$B25</f>
        <v>0</v>
      </c>
      <c r="G25" s="114">
        <f>'YEAR 10'!$B25</f>
        <v>0</v>
      </c>
      <c r="H25" s="127"/>
    </row>
    <row r="26" spans="1:8" x14ac:dyDescent="0.2">
      <c r="A26" s="60" t="str">
        <f>'YEAR 6'!A26</f>
        <v>Committed Philanthropic Donations</v>
      </c>
      <c r="B26" s="114"/>
      <c r="C26" s="114">
        <f>'YEAR 6'!$B26</f>
        <v>0</v>
      </c>
      <c r="D26" s="114">
        <f>'YEAR 7'!$B26</f>
        <v>0</v>
      </c>
      <c r="E26" s="114">
        <f>'YEAR 8'!$B26</f>
        <v>0</v>
      </c>
      <c r="F26" s="114">
        <f>'YEAR 9'!$B26</f>
        <v>0</v>
      </c>
      <c r="G26" s="114">
        <f>'YEAR 10'!$B26</f>
        <v>0</v>
      </c>
    </row>
    <row r="27" spans="1:8" x14ac:dyDescent="0.2">
      <c r="A27" s="60" t="str">
        <f>'YEAR 6'!A27</f>
        <v>Before and After Care Fees</v>
      </c>
      <c r="B27" s="114"/>
      <c r="C27" s="114">
        <f>'YEAR 6'!$B27</f>
        <v>0</v>
      </c>
      <c r="D27" s="114">
        <f>'YEAR 7'!$B27</f>
        <v>0</v>
      </c>
      <c r="E27" s="114">
        <f>'YEAR 8'!$B27</f>
        <v>0</v>
      </c>
      <c r="F27" s="114">
        <f>'YEAR 9'!$B27</f>
        <v>0</v>
      </c>
      <c r="G27" s="114">
        <f>'YEAR 10'!$B27</f>
        <v>0</v>
      </c>
    </row>
    <row r="28" spans="1:8" x14ac:dyDescent="0.2">
      <c r="A28" s="60" t="str">
        <f>'YEAR 6'!A28</f>
        <v>Interest Income</v>
      </c>
      <c r="B28" s="114"/>
      <c r="C28" s="114">
        <f>'YEAR 6'!$B28</f>
        <v>0</v>
      </c>
      <c r="D28" s="114">
        <f>'YEAR 7'!$B28</f>
        <v>0</v>
      </c>
      <c r="E28" s="114">
        <f>'YEAR 8'!$B28</f>
        <v>0</v>
      </c>
      <c r="F28" s="114">
        <f>'YEAR 9'!$B28</f>
        <v>0</v>
      </c>
      <c r="G28" s="114">
        <f>'YEAR 10'!$B28</f>
        <v>0</v>
      </c>
    </row>
    <row r="29" spans="1:8" s="45" customFormat="1" x14ac:dyDescent="0.2">
      <c r="A29" s="60" t="str">
        <f>'YEAR 6'!A29</f>
        <v>Other (please describe)</v>
      </c>
      <c r="B29" s="114"/>
      <c r="C29" s="114">
        <f>'YEAR 6'!$B29</f>
        <v>0</v>
      </c>
      <c r="D29" s="114">
        <f>'YEAR 7'!$B29</f>
        <v>0</v>
      </c>
      <c r="E29" s="114">
        <f>'YEAR 8'!$B29</f>
        <v>0</v>
      </c>
      <c r="F29" s="114">
        <f>'YEAR 9'!$B29</f>
        <v>0</v>
      </c>
      <c r="G29" s="114">
        <f>'YEAR 10'!$B29</f>
        <v>0</v>
      </c>
    </row>
    <row r="30" spans="1:8" s="43" customFormat="1" x14ac:dyDescent="0.2">
      <c r="A30" s="60" t="str">
        <f>'YEAR 6'!A30</f>
        <v>Other (please describe)</v>
      </c>
      <c r="B30" s="114"/>
      <c r="C30" s="114">
        <f>'YEAR 6'!$B30</f>
        <v>0</v>
      </c>
      <c r="D30" s="114">
        <f>'YEAR 7'!$B30</f>
        <v>0</v>
      </c>
      <c r="E30" s="114">
        <f>'YEAR 8'!$B30</f>
        <v>0</v>
      </c>
      <c r="F30" s="114">
        <f>'YEAR 9'!$B30</f>
        <v>0</v>
      </c>
      <c r="G30" s="114">
        <f>'YEAR 10'!$B30</f>
        <v>0</v>
      </c>
    </row>
    <row r="31" spans="1:8" x14ac:dyDescent="0.2">
      <c r="A31" s="60" t="str">
        <f>'YEAR 6'!A31</f>
        <v>Other (please describe)</v>
      </c>
      <c r="B31" s="114"/>
      <c r="C31" s="114">
        <f>'YEAR 6'!$B31</f>
        <v>0</v>
      </c>
      <c r="D31" s="114">
        <f>'YEAR 7'!$B31</f>
        <v>0</v>
      </c>
      <c r="E31" s="114">
        <f>'YEAR 8'!$B31</f>
        <v>0</v>
      </c>
      <c r="F31" s="114">
        <f>'YEAR 9'!$B31</f>
        <v>0</v>
      </c>
      <c r="G31" s="114">
        <f>'YEAR 10'!$B31</f>
        <v>0</v>
      </c>
      <c r="H31" s="127"/>
    </row>
    <row r="32" spans="1:8" x14ac:dyDescent="0.2">
      <c r="A32" s="60" t="str">
        <f>'YEAR 6'!A32</f>
        <v>Other (please describe)</v>
      </c>
      <c r="B32" s="114"/>
      <c r="C32" s="114">
        <f>'YEAR 6'!$B32</f>
        <v>0</v>
      </c>
      <c r="D32" s="114">
        <f>'YEAR 7'!$B32</f>
        <v>0</v>
      </c>
      <c r="E32" s="114">
        <f>'YEAR 8'!$B32</f>
        <v>0</v>
      </c>
      <c r="F32" s="114">
        <f>'YEAR 9'!$B32</f>
        <v>0</v>
      </c>
      <c r="G32" s="114">
        <f>'YEAR 10'!$B32</f>
        <v>0</v>
      </c>
    </row>
    <row r="33" spans="1:8" x14ac:dyDescent="0.2">
      <c r="A33" s="12" t="str">
        <f>'YEAR 6'!A33</f>
        <v>Total Revenue</v>
      </c>
      <c r="B33" s="114"/>
      <c r="C33" s="114">
        <f>'YEAR 6'!$B33</f>
        <v>2705657.8219999997</v>
      </c>
      <c r="D33" s="114">
        <f>'YEAR 7'!$B33</f>
        <v>2713657.8219999997</v>
      </c>
      <c r="E33" s="114">
        <f>'YEAR 8'!$B33</f>
        <v>2713657.8219999997</v>
      </c>
      <c r="F33" s="114">
        <f>'YEAR 9'!$B33</f>
        <v>2713657.8219999997</v>
      </c>
      <c r="G33" s="114">
        <f>'YEAR 10'!$B33</f>
        <v>2713657.8219999997</v>
      </c>
    </row>
    <row r="34" spans="1:8" x14ac:dyDescent="0.2">
      <c r="A34" s="60"/>
      <c r="B34" s="114"/>
      <c r="C34" s="114">
        <f>'YEAR 6'!$B34</f>
        <v>0</v>
      </c>
      <c r="D34" s="114">
        <f>'YEAR 7'!$B34</f>
        <v>0</v>
      </c>
      <c r="E34" s="114">
        <f>'YEAR 8'!$B34</f>
        <v>0</v>
      </c>
      <c r="F34" s="114">
        <f>'YEAR 9'!$B34</f>
        <v>0</v>
      </c>
      <c r="G34" s="114">
        <f>'YEAR 10'!$B34</f>
        <v>0</v>
      </c>
    </row>
    <row r="35" spans="1:8" x14ac:dyDescent="0.2">
      <c r="A35" s="10" t="str">
        <f>'YEAR 6'!A35</f>
        <v>EXPENDITURES</v>
      </c>
      <c r="B35" s="114"/>
      <c r="C35" s="114">
        <f>'YEAR 6'!$B35</f>
        <v>0</v>
      </c>
      <c r="D35" s="114">
        <f>'YEAR 7'!$B35</f>
        <v>0</v>
      </c>
      <c r="E35" s="114">
        <f>'YEAR 8'!$B35</f>
        <v>0</v>
      </c>
      <c r="F35" s="114">
        <f>'YEAR 9'!$B35</f>
        <v>0</v>
      </c>
      <c r="G35" s="114">
        <f>'YEAR 10'!$B35</f>
        <v>0</v>
      </c>
      <c r="H35" s="127"/>
    </row>
    <row r="36" spans="1:8" x14ac:dyDescent="0.2">
      <c r="A36" s="12" t="str">
        <f>'YEAR 6'!A36</f>
        <v>Personnel Expenses</v>
      </c>
      <c r="B36" s="114"/>
      <c r="C36" s="114">
        <f>'YEAR 6'!$B36</f>
        <v>0</v>
      </c>
      <c r="D36" s="114">
        <f>'YEAR 7'!$B36</f>
        <v>0</v>
      </c>
      <c r="E36" s="114">
        <f>'YEAR 8'!$B36</f>
        <v>0</v>
      </c>
      <c r="F36" s="114">
        <f>'YEAR 9'!$B36</f>
        <v>0</v>
      </c>
      <c r="G36" s="114">
        <f>'YEAR 10'!$B36</f>
        <v>0</v>
      </c>
      <c r="H36" s="127"/>
    </row>
    <row r="37" spans="1:8" x14ac:dyDescent="0.2">
      <c r="A37" s="60" t="str">
        <f>'YEAR 6'!A37</f>
        <v>Wages, Benefits and Payroll Taxes</v>
      </c>
      <c r="B37" s="114"/>
      <c r="C37" s="114">
        <f>'YEAR 6'!$B37</f>
        <v>1042720</v>
      </c>
      <c r="D37" s="114">
        <f>'YEAR 7'!$B37</f>
        <v>1063574.3999999999</v>
      </c>
      <c r="E37" s="114">
        <f>'YEAR 8'!$B37</f>
        <v>1084845.888</v>
      </c>
      <c r="F37" s="114">
        <f>'YEAR 9'!$B37</f>
        <v>1106542.8057599997</v>
      </c>
      <c r="G37" s="114">
        <f>'YEAR 10'!$B37</f>
        <v>1128673.6618752</v>
      </c>
      <c r="H37" s="127"/>
    </row>
    <row r="38" spans="1:8" x14ac:dyDescent="0.2">
      <c r="A38" s="60" t="str">
        <f>'YEAR 6'!A38</f>
        <v>Substitute Teachers</v>
      </c>
      <c r="B38" s="124"/>
      <c r="C38" s="114">
        <f>'YEAR 6'!$B38</f>
        <v>4000</v>
      </c>
      <c r="D38" s="114">
        <f>'YEAR 7'!$B38</f>
        <v>4000</v>
      </c>
      <c r="E38" s="114">
        <f>'YEAR 8'!$B38</f>
        <v>4000</v>
      </c>
      <c r="F38" s="114">
        <f>'YEAR 9'!$B38</f>
        <v>4000</v>
      </c>
      <c r="G38" s="114">
        <f>'YEAR 10'!$B38</f>
        <v>4000</v>
      </c>
      <c r="H38" s="127"/>
    </row>
    <row r="39" spans="1:8" s="45" customFormat="1" x14ac:dyDescent="0.2">
      <c r="A39" s="60" t="str">
        <f>'YEAR 6'!A39</f>
        <v>Professional Development</v>
      </c>
      <c r="B39" s="114"/>
      <c r="C39" s="114">
        <f>'YEAR 6'!$B39</f>
        <v>25000</v>
      </c>
      <c r="D39" s="114">
        <f>'YEAR 7'!$B39</f>
        <v>25000</v>
      </c>
      <c r="E39" s="114">
        <f>'YEAR 8'!$B39</f>
        <v>25000</v>
      </c>
      <c r="F39" s="114">
        <f>'YEAR 9'!$B39</f>
        <v>25000</v>
      </c>
      <c r="G39" s="114">
        <f>'YEAR 10'!$B39</f>
        <v>25000</v>
      </c>
      <c r="H39" s="128"/>
    </row>
    <row r="40" spans="1:8" s="45" customFormat="1" x14ac:dyDescent="0.2">
      <c r="A40" s="60" t="str">
        <f>'YEAR 6'!A40</f>
        <v>Bonuses</v>
      </c>
      <c r="B40" s="114"/>
      <c r="C40" s="114">
        <f>'YEAR 6'!$B40</f>
        <v>0</v>
      </c>
      <c r="D40" s="114">
        <f>'YEAR 7'!$B40</f>
        <v>0</v>
      </c>
      <c r="E40" s="114">
        <f>'YEAR 8'!$B40</f>
        <v>0</v>
      </c>
      <c r="F40" s="114">
        <f>'YEAR 9'!$B40</f>
        <v>0</v>
      </c>
      <c r="G40" s="114">
        <f>'YEAR 10'!$B40</f>
        <v>0</v>
      </c>
      <c r="H40" s="128"/>
    </row>
    <row r="41" spans="1:8" s="45" customFormat="1" x14ac:dyDescent="0.2">
      <c r="A41" s="60" t="str">
        <f>'YEAR 6'!A41</f>
        <v>Other (DVA contract)</v>
      </c>
      <c r="B41" s="114"/>
      <c r="C41" s="114">
        <f>'YEAR 6'!$B41</f>
        <v>50000</v>
      </c>
      <c r="D41" s="114">
        <f>'YEAR 7'!$B41</f>
        <v>50000</v>
      </c>
      <c r="E41" s="114">
        <f>'YEAR 8'!$B41</f>
        <v>50000</v>
      </c>
      <c r="F41" s="114">
        <f>'YEAR 9'!$B41</f>
        <v>50000</v>
      </c>
      <c r="G41" s="114">
        <f>'YEAR 10'!$B41</f>
        <v>50000</v>
      </c>
      <c r="H41" s="128"/>
    </row>
    <row r="42" spans="1:8" x14ac:dyDescent="0.2">
      <c r="A42" s="60" t="str">
        <f>'YEAR 6'!A42</f>
        <v>Other (Risk Aware)</v>
      </c>
      <c r="B42" s="114"/>
      <c r="C42" s="114">
        <f>'YEAR 6'!$B42</f>
        <v>1050</v>
      </c>
      <c r="D42" s="114">
        <f>'YEAR 7'!$B42</f>
        <v>1050</v>
      </c>
      <c r="E42" s="114">
        <f>'YEAR 8'!$B42</f>
        <v>1050</v>
      </c>
      <c r="F42" s="114">
        <f>'YEAR 9'!$B42</f>
        <v>1050</v>
      </c>
      <c r="G42" s="114">
        <f>'YEAR 10'!$B42</f>
        <v>1050</v>
      </c>
    </row>
    <row r="43" spans="1:8" x14ac:dyDescent="0.2">
      <c r="A43" s="60" t="str">
        <f>'YEAR 6'!A43</f>
        <v xml:space="preserve">Other </v>
      </c>
      <c r="B43" s="114"/>
      <c r="C43" s="114">
        <f>'YEAR 6'!$B43</f>
        <v>0</v>
      </c>
      <c r="D43" s="114">
        <f>'YEAR 7'!$B43</f>
        <v>0</v>
      </c>
      <c r="E43" s="114">
        <f>'YEAR 8'!$B43</f>
        <v>0</v>
      </c>
      <c r="F43" s="114">
        <f>'YEAR 9'!$B43</f>
        <v>0</v>
      </c>
      <c r="G43" s="114">
        <f>'YEAR 10'!$B43</f>
        <v>0</v>
      </c>
    </row>
    <row r="44" spans="1:8" x14ac:dyDescent="0.2">
      <c r="A44" s="60" t="str">
        <f>'YEAR 6'!A44</f>
        <v>Other (please describe)</v>
      </c>
      <c r="B44" s="114"/>
      <c r="C44" s="114">
        <f>'YEAR 6'!$B44</f>
        <v>0</v>
      </c>
      <c r="D44" s="114">
        <f>'YEAR 7'!$B44</f>
        <v>0</v>
      </c>
      <c r="E44" s="114">
        <f>'YEAR 8'!$B44</f>
        <v>0</v>
      </c>
      <c r="F44" s="114">
        <f>'YEAR 9'!$B44</f>
        <v>0</v>
      </c>
      <c r="G44" s="114">
        <f>'YEAR 10'!$B44</f>
        <v>0</v>
      </c>
    </row>
    <row r="45" spans="1:8" x14ac:dyDescent="0.2">
      <c r="A45" s="60" t="str">
        <f>'YEAR 6'!A45</f>
        <v>Other (please describe)</v>
      </c>
      <c r="B45" s="114"/>
      <c r="C45" s="114">
        <f>'YEAR 6'!$B45</f>
        <v>0</v>
      </c>
      <c r="D45" s="114">
        <f>'YEAR 7'!$B45</f>
        <v>0</v>
      </c>
      <c r="E45" s="114">
        <f>'YEAR 8'!$B45</f>
        <v>0</v>
      </c>
      <c r="F45" s="114">
        <f>'YEAR 9'!$B45</f>
        <v>0</v>
      </c>
      <c r="G45" s="114">
        <f>'YEAR 10'!$B45</f>
        <v>0</v>
      </c>
    </row>
    <row r="46" spans="1:8" x14ac:dyDescent="0.2">
      <c r="A46" s="12" t="str">
        <f>'YEAR 6'!A46</f>
        <v>Total Personnel Expenses</v>
      </c>
      <c r="B46" s="114"/>
      <c r="C46" s="114">
        <f>'YEAR 6'!$B46</f>
        <v>1122770</v>
      </c>
      <c r="D46" s="114">
        <f>'YEAR 7'!$B46</f>
        <v>1143624.3999999999</v>
      </c>
      <c r="E46" s="114">
        <f>'YEAR 8'!$B46</f>
        <v>1164895.888</v>
      </c>
      <c r="F46" s="114">
        <f>'YEAR 9'!$B46</f>
        <v>1186592.8057599997</v>
      </c>
      <c r="G46" s="114">
        <f>'YEAR 10'!$B46</f>
        <v>1208723.6618752</v>
      </c>
      <c r="H46" s="127"/>
    </row>
    <row r="47" spans="1:8" x14ac:dyDescent="0.2">
      <c r="A47" s="60"/>
      <c r="B47" s="114"/>
      <c r="C47" s="114">
        <f>'YEAR 6'!$B47</f>
        <v>0</v>
      </c>
      <c r="D47" s="114">
        <f>'YEAR 7'!$B47</f>
        <v>0</v>
      </c>
      <c r="E47" s="114">
        <f>'YEAR 8'!$B47</f>
        <v>0</v>
      </c>
      <c r="F47" s="114">
        <f>'YEAR 9'!$B47</f>
        <v>0</v>
      </c>
      <c r="G47" s="114">
        <f>'YEAR 10'!$B47</f>
        <v>0</v>
      </c>
      <c r="H47" s="127"/>
    </row>
    <row r="48" spans="1:8" x14ac:dyDescent="0.2">
      <c r="A48" s="12" t="str">
        <f>'YEAR 6'!A48</f>
        <v>Instructional Supplies and Resources</v>
      </c>
      <c r="B48" s="114"/>
      <c r="C48" s="114">
        <f>'YEAR 6'!$B48</f>
        <v>0</v>
      </c>
      <c r="D48" s="114">
        <f>'YEAR 7'!$B48</f>
        <v>0</v>
      </c>
      <c r="E48" s="114">
        <f>'YEAR 8'!$B48</f>
        <v>0</v>
      </c>
      <c r="F48" s="114">
        <f>'YEAR 9'!$B48</f>
        <v>0</v>
      </c>
      <c r="G48" s="114">
        <f>'YEAR 10'!$B48</f>
        <v>0</v>
      </c>
    </row>
    <row r="49" spans="1:8" s="43" customFormat="1" x14ac:dyDescent="0.2">
      <c r="A49" s="60" t="str">
        <f>'YEAR 6'!A49</f>
        <v>Textbooks</v>
      </c>
      <c r="B49" s="114"/>
      <c r="C49" s="114">
        <f>'YEAR 6'!$B49</f>
        <v>2000</v>
      </c>
      <c r="D49" s="114">
        <f>'YEAR 7'!$B49</f>
        <v>2000</v>
      </c>
      <c r="E49" s="114">
        <f>'YEAR 8'!$B49</f>
        <v>2000</v>
      </c>
      <c r="F49" s="114">
        <f>'YEAR 9'!$B49</f>
        <v>2000</v>
      </c>
      <c r="G49" s="114">
        <f>'YEAR 10'!$B49</f>
        <v>2000</v>
      </c>
    </row>
    <row r="50" spans="1:8" s="43" customFormat="1" x14ac:dyDescent="0.2">
      <c r="A50" s="60" t="str">
        <f>'YEAR 6'!A50</f>
        <v>Library, periodicals, etc</v>
      </c>
      <c r="B50" s="114"/>
      <c r="C50" s="114">
        <f>'YEAR 6'!$B50</f>
        <v>0</v>
      </c>
      <c r="D50" s="114">
        <f>'YEAR 7'!$B50</f>
        <v>0</v>
      </c>
      <c r="E50" s="114">
        <f>'YEAR 8'!$B50</f>
        <v>0</v>
      </c>
      <c r="F50" s="114">
        <f>'YEAR 9'!$B50</f>
        <v>0</v>
      </c>
      <c r="G50" s="114">
        <f>'YEAR 10'!$B50</f>
        <v>0</v>
      </c>
    </row>
    <row r="51" spans="1:8" s="85" customFormat="1" x14ac:dyDescent="0.2">
      <c r="A51" s="60" t="str">
        <f>'YEAR 6'!A51</f>
        <v>Technology</v>
      </c>
      <c r="B51" s="114"/>
      <c r="C51" s="114">
        <f>'YEAR 6'!$B51</f>
        <v>18700</v>
      </c>
      <c r="D51" s="114">
        <f>'YEAR 7'!$B51</f>
        <v>18700</v>
      </c>
      <c r="E51" s="114">
        <f>'YEAR 8'!$B51</f>
        <v>18700</v>
      </c>
      <c r="F51" s="114">
        <f>'YEAR 9'!$B51</f>
        <v>18700</v>
      </c>
      <c r="G51" s="114">
        <f>'YEAR 10'!$B51</f>
        <v>18700</v>
      </c>
    </row>
    <row r="52" spans="1:8" s="85" customFormat="1" x14ac:dyDescent="0.2">
      <c r="A52" s="60" t="str">
        <f>'YEAR 6'!A52</f>
        <v>Assessment materials</v>
      </c>
      <c r="B52" s="114"/>
      <c r="C52" s="114">
        <f>'YEAR 6'!$B52</f>
        <v>7125</v>
      </c>
      <c r="D52" s="114">
        <f>'YEAR 7'!$B52</f>
        <v>7125</v>
      </c>
      <c r="E52" s="114">
        <f>'YEAR 8'!$B52</f>
        <v>7125</v>
      </c>
      <c r="F52" s="114">
        <f>'YEAR 9'!$B52</f>
        <v>7125</v>
      </c>
      <c r="G52" s="114">
        <f>'YEAR 10'!$B52</f>
        <v>7125</v>
      </c>
    </row>
    <row r="53" spans="1:8" s="43" customFormat="1" x14ac:dyDescent="0.2">
      <c r="A53" s="60" t="str">
        <f>'YEAR 6'!A53</f>
        <v>Computers</v>
      </c>
      <c r="B53" s="114"/>
      <c r="C53" s="114">
        <f>'YEAR 6'!$B53</f>
        <v>82650</v>
      </c>
      <c r="D53" s="114">
        <f>'YEAR 7'!$B53</f>
        <v>20000</v>
      </c>
      <c r="E53" s="114">
        <f>'YEAR 8'!$B53</f>
        <v>20000</v>
      </c>
      <c r="F53" s="114">
        <f>'YEAR 9'!$B53</f>
        <v>20000</v>
      </c>
      <c r="G53" s="114">
        <f>'YEAR 10'!$B53</f>
        <v>20000</v>
      </c>
    </row>
    <row r="54" spans="1:8" x14ac:dyDescent="0.2">
      <c r="A54" s="60" t="str">
        <f>'YEAR 6'!A54</f>
        <v>Software</v>
      </c>
      <c r="B54" s="114"/>
      <c r="C54" s="114">
        <f>'YEAR 6'!$B54</f>
        <v>50000</v>
      </c>
      <c r="D54" s="114">
        <f>'YEAR 7'!$B54</f>
        <v>50000</v>
      </c>
      <c r="E54" s="114">
        <f>'YEAR 8'!$B54</f>
        <v>50000</v>
      </c>
      <c r="F54" s="114">
        <f>'YEAR 9'!$B54</f>
        <v>50000</v>
      </c>
      <c r="G54" s="114">
        <f>'YEAR 10'!$B54</f>
        <v>50000</v>
      </c>
      <c r="H54" s="127"/>
    </row>
    <row r="55" spans="1:8" s="43" customFormat="1" x14ac:dyDescent="0.2">
      <c r="A55" s="60" t="str">
        <f>'YEAR 6'!A55</f>
        <v>Other classroom supplies</v>
      </c>
      <c r="B55" s="114"/>
      <c r="C55" s="114">
        <f>'YEAR 6'!$B55</f>
        <v>31000</v>
      </c>
      <c r="D55" s="114">
        <f>'YEAR 7'!$B55</f>
        <v>31000</v>
      </c>
      <c r="E55" s="114">
        <f>'YEAR 8'!$B55</f>
        <v>31000</v>
      </c>
      <c r="F55" s="114">
        <f>'YEAR 9'!$B55</f>
        <v>31000</v>
      </c>
      <c r="G55" s="114">
        <f>'YEAR 10'!$B55</f>
        <v>31000</v>
      </c>
    </row>
    <row r="56" spans="1:8" x14ac:dyDescent="0.2">
      <c r="A56" s="60" t="str">
        <f>'YEAR 6'!A56</f>
        <v>Field trips, other unclassified items</v>
      </c>
      <c r="B56" s="114"/>
      <c r="C56" s="114">
        <f>'YEAR 6'!$B56</f>
        <v>5000</v>
      </c>
      <c r="D56" s="114">
        <f>'YEAR 7'!$B56</f>
        <v>5000</v>
      </c>
      <c r="E56" s="114">
        <f>'YEAR 8'!$B56</f>
        <v>5000</v>
      </c>
      <c r="F56" s="114">
        <f>'YEAR 9'!$B56</f>
        <v>5000</v>
      </c>
      <c r="G56" s="114">
        <f>'YEAR 10'!$B56</f>
        <v>5000</v>
      </c>
    </row>
    <row r="57" spans="1:8" x14ac:dyDescent="0.2">
      <c r="A57" s="60" t="str">
        <f>'YEAR 6'!A57</f>
        <v>Co-curricular &amp; Athletics</v>
      </c>
      <c r="B57" s="114"/>
      <c r="C57" s="114">
        <f>'YEAR 6'!$B57</f>
        <v>6000</v>
      </c>
      <c r="D57" s="114">
        <f>'YEAR 7'!$B57</f>
        <v>6000</v>
      </c>
      <c r="E57" s="114">
        <f>'YEAR 8'!$B57</f>
        <v>6000</v>
      </c>
      <c r="F57" s="114">
        <f>'YEAR 9'!$B57</f>
        <v>6000</v>
      </c>
      <c r="G57" s="114">
        <f>'YEAR 10'!$B57</f>
        <v>6000</v>
      </c>
    </row>
    <row r="58" spans="1:8" x14ac:dyDescent="0.2">
      <c r="A58" s="60" t="str">
        <f>'YEAR 6'!A58</f>
        <v>Other (misc expenses)</v>
      </c>
      <c r="B58" s="114"/>
      <c r="C58" s="114">
        <f>'YEAR 6'!$B58</f>
        <v>4500</v>
      </c>
      <c r="D58" s="114">
        <f>'YEAR 7'!$B58</f>
        <v>4500</v>
      </c>
      <c r="E58" s="114">
        <f>'YEAR 8'!$B58</f>
        <v>4500</v>
      </c>
      <c r="F58" s="114">
        <f>'YEAR 9'!$B58</f>
        <v>4500</v>
      </c>
      <c r="G58" s="114">
        <f>'YEAR 10'!$B58</f>
        <v>4500</v>
      </c>
    </row>
    <row r="59" spans="1:8" x14ac:dyDescent="0.2">
      <c r="A59" s="60" t="str">
        <f>'YEAR 6'!A59</f>
        <v>Other (additional SPED support/services)</v>
      </c>
      <c r="B59" s="114"/>
      <c r="C59" s="114">
        <f>'YEAR 6'!$B59</f>
        <v>25000</v>
      </c>
      <c r="D59" s="114">
        <f>'YEAR 7'!$B59</f>
        <v>25000</v>
      </c>
      <c r="E59" s="114">
        <f>'YEAR 8'!$B59</f>
        <v>25000</v>
      </c>
      <c r="F59" s="114">
        <f>'YEAR 9'!$B59</f>
        <v>25000</v>
      </c>
      <c r="G59" s="114">
        <f>'YEAR 10'!$B59</f>
        <v>25000</v>
      </c>
    </row>
    <row r="60" spans="1:8" x14ac:dyDescent="0.2">
      <c r="A60" s="60" t="str">
        <f>'YEAR 6'!A60</f>
        <v>Other (elective, dual credit classes)</v>
      </c>
      <c r="B60" s="114"/>
      <c r="C60" s="114">
        <f>'YEAR 6'!$B60</f>
        <v>10500</v>
      </c>
      <c r="D60" s="114">
        <f>'YEAR 7'!$B60</f>
        <v>12000</v>
      </c>
      <c r="E60" s="114">
        <f>'YEAR 8'!$B60</f>
        <v>14000</v>
      </c>
      <c r="F60" s="114">
        <f>'YEAR 9'!$B60</f>
        <v>16000</v>
      </c>
      <c r="G60" s="114">
        <f>'YEAR 10'!$B60</f>
        <v>18000</v>
      </c>
    </row>
    <row r="61" spans="1:8" x14ac:dyDescent="0.2">
      <c r="A61" s="60" t="str">
        <f>'YEAR 6'!A61</f>
        <v>Other (please describe)</v>
      </c>
      <c r="B61" s="114"/>
      <c r="C61" s="114">
        <f>'YEAR 6'!$B61</f>
        <v>0</v>
      </c>
      <c r="D61" s="114">
        <f>'YEAR 7'!$B61</f>
        <v>0</v>
      </c>
      <c r="E61" s="114">
        <f>'YEAR 8'!$B61</f>
        <v>0</v>
      </c>
      <c r="F61" s="114">
        <f>'YEAR 9'!$B61</f>
        <v>0</v>
      </c>
      <c r="G61" s="114">
        <f>'YEAR 10'!$B61</f>
        <v>0</v>
      </c>
    </row>
    <row r="62" spans="1:8" x14ac:dyDescent="0.2">
      <c r="A62" s="60" t="str">
        <f>'YEAR 6'!A62</f>
        <v>Other (please describe)</v>
      </c>
      <c r="B62" s="114"/>
      <c r="C62" s="114">
        <f>'YEAR 6'!$B62</f>
        <v>0</v>
      </c>
      <c r="D62" s="114">
        <f>'YEAR 7'!$B62</f>
        <v>0</v>
      </c>
      <c r="E62" s="114">
        <f>'YEAR 8'!$B62</f>
        <v>0</v>
      </c>
      <c r="F62" s="114">
        <f>'YEAR 9'!$B62</f>
        <v>0</v>
      </c>
      <c r="G62" s="114">
        <f>'YEAR 10'!$B62</f>
        <v>0</v>
      </c>
    </row>
    <row r="63" spans="1:8" x14ac:dyDescent="0.2">
      <c r="A63" s="12" t="str">
        <f>'YEAR 6'!A63</f>
        <v>Total Instructional Supplies and Resources</v>
      </c>
      <c r="B63" s="114"/>
      <c r="C63" s="114">
        <f>'YEAR 6'!$B63</f>
        <v>242475</v>
      </c>
      <c r="D63" s="114">
        <f>'YEAR 7'!$B63</f>
        <v>181325</v>
      </c>
      <c r="E63" s="114">
        <f>'YEAR 8'!$B63</f>
        <v>183325</v>
      </c>
      <c r="F63" s="114">
        <f>'YEAR 9'!$B63</f>
        <v>185325</v>
      </c>
      <c r="G63" s="114">
        <f>'YEAR 10'!$B63</f>
        <v>187325</v>
      </c>
    </row>
    <row r="64" spans="1:8" x14ac:dyDescent="0.2">
      <c r="A64" s="60"/>
      <c r="B64" s="114"/>
      <c r="C64" s="114">
        <f>'YEAR 6'!$B64</f>
        <v>0</v>
      </c>
      <c r="D64" s="114">
        <f>'YEAR 7'!$B64</f>
        <v>0</v>
      </c>
      <c r="E64" s="114">
        <f>'YEAR 8'!$B64</f>
        <v>0</v>
      </c>
      <c r="F64" s="114">
        <f>'YEAR 9'!$B64</f>
        <v>0</v>
      </c>
      <c r="G64" s="114">
        <f>'YEAR 10'!$B64</f>
        <v>0</v>
      </c>
    </row>
    <row r="65" spans="1:8" x14ac:dyDescent="0.2">
      <c r="A65" s="12" t="str">
        <f>'YEAR 6'!A65</f>
        <v xml:space="preserve">Support Supplies and Resources </v>
      </c>
      <c r="B65" s="114"/>
      <c r="C65" s="114">
        <f>'YEAR 6'!$B65</f>
        <v>0</v>
      </c>
      <c r="D65" s="114">
        <f>'YEAR 7'!$B65</f>
        <v>0</v>
      </c>
      <c r="E65" s="114">
        <f>'YEAR 8'!$B65</f>
        <v>0</v>
      </c>
      <c r="F65" s="114">
        <f>'YEAR 9'!$B65</f>
        <v>0</v>
      </c>
      <c r="G65" s="114">
        <f>'YEAR 10'!$B65</f>
        <v>0</v>
      </c>
      <c r="H65" s="127"/>
    </row>
    <row r="66" spans="1:8" x14ac:dyDescent="0.2">
      <c r="A66" s="60" t="str">
        <f>'YEAR 6'!A66</f>
        <v>Administrative Computers</v>
      </c>
      <c r="B66" s="123"/>
      <c r="C66" s="114">
        <f>'YEAR 6'!$B66</f>
        <v>5000</v>
      </c>
      <c r="D66" s="114">
        <f>'YEAR 7'!$B66</f>
        <v>5000</v>
      </c>
      <c r="E66" s="114">
        <f>'YEAR 8'!$B66</f>
        <v>5000</v>
      </c>
      <c r="F66" s="114">
        <f>'YEAR 9'!$B66</f>
        <v>5000</v>
      </c>
      <c r="G66" s="114">
        <f>'YEAR 10'!$B66</f>
        <v>5000</v>
      </c>
    </row>
    <row r="67" spans="1:8" x14ac:dyDescent="0.2">
      <c r="A67" s="60" t="str">
        <f>'YEAR 6'!A67</f>
        <v>Administrative Software</v>
      </c>
      <c r="B67" s="114"/>
      <c r="C67" s="114">
        <f>'YEAR 6'!$B67</f>
        <v>0</v>
      </c>
      <c r="D67" s="114">
        <f>'YEAR 7'!$B67</f>
        <v>0</v>
      </c>
      <c r="E67" s="114">
        <f>'YEAR 8'!$B67</f>
        <v>0</v>
      </c>
      <c r="F67" s="114">
        <f>'YEAR 9'!$B67</f>
        <v>0</v>
      </c>
      <c r="G67" s="114">
        <f>'YEAR 10'!$B67</f>
        <v>0</v>
      </c>
    </row>
    <row r="68" spans="1:8" x14ac:dyDescent="0.2">
      <c r="A68" s="60" t="str">
        <f>'YEAR 6'!A68</f>
        <v>Administration Dues, fees, misc expenses</v>
      </c>
      <c r="B68" s="114"/>
      <c r="C68" s="114">
        <f>'YEAR 6'!$B68</f>
        <v>0</v>
      </c>
      <c r="D68" s="114">
        <f>'YEAR 7'!$B68</f>
        <v>0</v>
      </c>
      <c r="E68" s="114">
        <f>'YEAR 8'!$B68</f>
        <v>0</v>
      </c>
      <c r="F68" s="114">
        <f>'YEAR 9'!$B68</f>
        <v>0</v>
      </c>
      <c r="G68" s="114">
        <f>'YEAR 10'!$B68</f>
        <v>0</v>
      </c>
      <c r="H68" s="127"/>
    </row>
    <row r="69" spans="1:8" x14ac:dyDescent="0.2">
      <c r="A69" s="60" t="str">
        <f>'YEAR 6'!A69</f>
        <v>Office supplies</v>
      </c>
      <c r="B69" s="114"/>
      <c r="C69" s="114">
        <f>'YEAR 6'!$B69</f>
        <v>10000</v>
      </c>
      <c r="D69" s="114">
        <f>'YEAR 7'!$B69</f>
        <v>10000</v>
      </c>
      <c r="E69" s="114">
        <f>'YEAR 8'!$B69</f>
        <v>10000</v>
      </c>
      <c r="F69" s="114">
        <f>'YEAR 9'!$B69</f>
        <v>10000</v>
      </c>
      <c r="G69" s="114">
        <f>'YEAR 10'!$B69</f>
        <v>10000</v>
      </c>
      <c r="H69" s="127"/>
    </row>
    <row r="70" spans="1:8" x14ac:dyDescent="0.2">
      <c r="A70" s="60" t="str">
        <f>'YEAR 6'!A70</f>
        <v>Other (Uniform allocation)</v>
      </c>
      <c r="B70" s="114"/>
      <c r="C70" s="114">
        <f>'YEAR 6'!$B70</f>
        <v>1000</v>
      </c>
      <c r="D70" s="114">
        <f>'YEAR 7'!$B70</f>
        <v>1000</v>
      </c>
      <c r="E70" s="114">
        <f>'YEAR 8'!$B70</f>
        <v>1000</v>
      </c>
      <c r="F70" s="114">
        <f>'YEAR 9'!$B70</f>
        <v>1000</v>
      </c>
      <c r="G70" s="114">
        <f>'YEAR 10'!$B70</f>
        <v>1000</v>
      </c>
    </row>
    <row r="71" spans="1:8" x14ac:dyDescent="0.2">
      <c r="A71" s="60" t="str">
        <f>'YEAR 6'!A71</f>
        <v>Other (copier)</v>
      </c>
      <c r="B71" s="114"/>
      <c r="C71" s="114">
        <f>'YEAR 6'!$B71</f>
        <v>2500</v>
      </c>
      <c r="D71" s="114">
        <f>'YEAR 7'!$B71</f>
        <v>2500</v>
      </c>
      <c r="E71" s="114">
        <f>'YEAR 8'!$B71</f>
        <v>2500</v>
      </c>
      <c r="F71" s="114">
        <f>'YEAR 9'!$B71</f>
        <v>2500</v>
      </c>
      <c r="G71" s="114">
        <f>'YEAR 10'!$B71</f>
        <v>2500</v>
      </c>
    </row>
    <row r="72" spans="1:8" x14ac:dyDescent="0.2">
      <c r="A72" s="60" t="str">
        <f>'YEAR 6'!A72</f>
        <v>Other (please describe)</v>
      </c>
      <c r="B72" s="114"/>
      <c r="C72" s="114">
        <f>'YEAR 6'!$B72</f>
        <v>0</v>
      </c>
      <c r="D72" s="114">
        <f>'YEAR 7'!$B72</f>
        <v>0</v>
      </c>
      <c r="E72" s="114">
        <f>'YEAR 8'!$B72</f>
        <v>0</v>
      </c>
      <c r="F72" s="114">
        <f>'YEAR 9'!$B72</f>
        <v>0</v>
      </c>
      <c r="G72" s="114">
        <f>'YEAR 10'!$B72</f>
        <v>0</v>
      </c>
      <c r="H72" s="127"/>
    </row>
    <row r="73" spans="1:8" x14ac:dyDescent="0.2">
      <c r="A73" s="60" t="str">
        <f>'YEAR 6'!A73</f>
        <v>Other (please describe)</v>
      </c>
      <c r="B73" s="114"/>
      <c r="C73" s="114">
        <f>'YEAR 6'!$B73</f>
        <v>0</v>
      </c>
      <c r="D73" s="114">
        <f>'YEAR 7'!$B73</f>
        <v>0</v>
      </c>
      <c r="E73" s="114">
        <f>'YEAR 8'!$B73</f>
        <v>0</v>
      </c>
      <c r="F73" s="114">
        <f>'YEAR 9'!$B73</f>
        <v>0</v>
      </c>
      <c r="G73" s="114">
        <f>'YEAR 10'!$B73</f>
        <v>0</v>
      </c>
      <c r="H73" s="127"/>
    </row>
    <row r="74" spans="1:8" x14ac:dyDescent="0.2">
      <c r="A74" s="60" t="str">
        <f>'YEAR 6'!A74</f>
        <v>Other (please describe)</v>
      </c>
      <c r="B74" s="114"/>
      <c r="C74" s="114">
        <f>'YEAR 6'!$B74</f>
        <v>0</v>
      </c>
      <c r="D74" s="114">
        <f>'YEAR 7'!$B74</f>
        <v>0</v>
      </c>
      <c r="E74" s="114">
        <f>'YEAR 8'!$B74</f>
        <v>0</v>
      </c>
      <c r="F74" s="114">
        <f>'YEAR 9'!$B74</f>
        <v>0</v>
      </c>
      <c r="G74" s="114">
        <f>'YEAR 10'!$B74</f>
        <v>0</v>
      </c>
      <c r="H74" s="127"/>
    </row>
    <row r="75" spans="1:8" x14ac:dyDescent="0.2">
      <c r="A75" s="12" t="str">
        <f>'YEAR 6'!A75</f>
        <v>Total Support Supplies and Resources</v>
      </c>
      <c r="B75" s="114"/>
      <c r="C75" s="114">
        <f>'YEAR 6'!$B75</f>
        <v>18500</v>
      </c>
      <c r="D75" s="114">
        <f>'YEAR 7'!$B75</f>
        <v>18500</v>
      </c>
      <c r="E75" s="114">
        <f>'YEAR 8'!$B75</f>
        <v>18500</v>
      </c>
      <c r="F75" s="114">
        <f>'YEAR 9'!$B75</f>
        <v>18500</v>
      </c>
      <c r="G75" s="114">
        <f>'YEAR 10'!$B75</f>
        <v>18500</v>
      </c>
      <c r="H75" s="127"/>
    </row>
    <row r="76" spans="1:8" x14ac:dyDescent="0.2">
      <c r="A76" s="60"/>
      <c r="B76" s="114"/>
      <c r="C76" s="114">
        <f>'YEAR 6'!$B76</f>
        <v>0</v>
      </c>
      <c r="D76" s="114">
        <f>'YEAR 7'!$B76</f>
        <v>0</v>
      </c>
      <c r="E76" s="114">
        <f>'YEAR 8'!$B76</f>
        <v>0</v>
      </c>
      <c r="F76" s="114">
        <f>'YEAR 9'!$B76</f>
        <v>0</v>
      </c>
      <c r="G76" s="114">
        <f>'YEAR 10'!$B76</f>
        <v>0</v>
      </c>
      <c r="H76" s="127"/>
    </row>
    <row r="77" spans="1:8" x14ac:dyDescent="0.2">
      <c r="A77" s="12" t="str">
        <f>'YEAR 6'!A77</f>
        <v>Board Expenses</v>
      </c>
      <c r="B77" s="114"/>
      <c r="C77" s="114">
        <f>'YEAR 6'!$B77</f>
        <v>0</v>
      </c>
      <c r="D77" s="114">
        <f>'YEAR 7'!$B77</f>
        <v>0</v>
      </c>
      <c r="E77" s="114">
        <f>'YEAR 8'!$B77</f>
        <v>0</v>
      </c>
      <c r="F77" s="114">
        <f>'YEAR 9'!$B77</f>
        <v>0</v>
      </c>
      <c r="G77" s="114">
        <f>'YEAR 10'!$B77</f>
        <v>0</v>
      </c>
    </row>
    <row r="78" spans="1:8" x14ac:dyDescent="0.2">
      <c r="A78" s="60" t="str">
        <f>'YEAR 6'!A78</f>
        <v>Charter Board Services, including Board Training, retreats</v>
      </c>
      <c r="B78" s="114"/>
      <c r="C78" s="114">
        <f>'YEAR 6'!$B78</f>
        <v>0</v>
      </c>
      <c r="D78" s="114">
        <f>'YEAR 7'!$B78</f>
        <v>0</v>
      </c>
      <c r="E78" s="114">
        <f>'YEAR 8'!$B78</f>
        <v>0</v>
      </c>
      <c r="F78" s="114">
        <f>'YEAR 9'!$B78</f>
        <v>0</v>
      </c>
      <c r="G78" s="114">
        <f>'YEAR 10'!$B78</f>
        <v>0</v>
      </c>
    </row>
    <row r="79" spans="1:8" x14ac:dyDescent="0.2">
      <c r="A79" s="60" t="str">
        <f>'YEAR 6'!A79</f>
        <v>Charter Board Supplies &amp; Equipment</v>
      </c>
      <c r="B79" s="114"/>
      <c r="C79" s="114">
        <f>'YEAR 6'!$B79</f>
        <v>0</v>
      </c>
      <c r="D79" s="114">
        <f>'YEAR 7'!$B79</f>
        <v>0</v>
      </c>
      <c r="E79" s="114">
        <f>'YEAR 8'!$B79</f>
        <v>0</v>
      </c>
      <c r="F79" s="114">
        <f>'YEAR 9'!$B79</f>
        <v>0</v>
      </c>
      <c r="G79" s="114">
        <f>'YEAR 10'!$B79</f>
        <v>0</v>
      </c>
      <c r="H79" s="127"/>
    </row>
    <row r="80" spans="1:8" x14ac:dyDescent="0.2">
      <c r="A80" s="60" t="str">
        <f>'YEAR 6'!A80</f>
        <v>Charter Board Dues, fees, etc</v>
      </c>
      <c r="B80" s="114"/>
      <c r="C80" s="114">
        <f>'YEAR 6'!$B80</f>
        <v>0</v>
      </c>
      <c r="D80" s="114">
        <f>'YEAR 7'!$B80</f>
        <v>0</v>
      </c>
      <c r="E80" s="114">
        <f>'YEAR 8'!$B80</f>
        <v>0</v>
      </c>
      <c r="F80" s="114">
        <f>'YEAR 9'!$B80</f>
        <v>0</v>
      </c>
      <c r="G80" s="114">
        <f>'YEAR 10'!$B80</f>
        <v>0</v>
      </c>
      <c r="H80" s="127"/>
    </row>
    <row r="81" spans="1:8" x14ac:dyDescent="0.2">
      <c r="A81" s="60" t="str">
        <f>'YEAR 6'!A81</f>
        <v>Other (please describe)</v>
      </c>
      <c r="B81" s="114"/>
      <c r="C81" s="114">
        <f>'YEAR 6'!$B81</f>
        <v>0</v>
      </c>
      <c r="D81" s="114">
        <f>'YEAR 7'!$B81</f>
        <v>0</v>
      </c>
      <c r="E81" s="114">
        <f>'YEAR 8'!$B81</f>
        <v>0</v>
      </c>
      <c r="F81" s="114">
        <f>'YEAR 9'!$B81</f>
        <v>0</v>
      </c>
      <c r="G81" s="114">
        <f>'YEAR 10'!$B81</f>
        <v>0</v>
      </c>
      <c r="H81" s="127"/>
    </row>
    <row r="82" spans="1:8" x14ac:dyDescent="0.2">
      <c r="A82" s="60" t="str">
        <f>'YEAR 6'!A82</f>
        <v>Other (please describe)</v>
      </c>
      <c r="B82" s="114"/>
      <c r="C82" s="114">
        <f>'YEAR 6'!$B82</f>
        <v>0</v>
      </c>
      <c r="D82" s="114">
        <f>'YEAR 7'!$B82</f>
        <v>0</v>
      </c>
      <c r="E82" s="114">
        <f>'YEAR 8'!$B82</f>
        <v>0</v>
      </c>
      <c r="F82" s="114">
        <f>'YEAR 9'!$B82</f>
        <v>0</v>
      </c>
      <c r="G82" s="114">
        <f>'YEAR 10'!$B82</f>
        <v>0</v>
      </c>
      <c r="H82" s="127"/>
    </row>
    <row r="83" spans="1:8" x14ac:dyDescent="0.2">
      <c r="A83" s="60" t="str">
        <f>'YEAR 6'!A83</f>
        <v>Other (please describe)</v>
      </c>
      <c r="B83" s="114"/>
      <c r="C83" s="114">
        <f>'YEAR 6'!$B83</f>
        <v>0</v>
      </c>
      <c r="D83" s="114">
        <f>'YEAR 7'!$B83</f>
        <v>0</v>
      </c>
      <c r="E83" s="114">
        <f>'YEAR 8'!$B83</f>
        <v>0</v>
      </c>
      <c r="F83" s="114">
        <f>'YEAR 9'!$B83</f>
        <v>0</v>
      </c>
      <c r="G83" s="114">
        <f>'YEAR 10'!$B83</f>
        <v>0</v>
      </c>
      <c r="H83" s="127"/>
    </row>
    <row r="84" spans="1:8" x14ac:dyDescent="0.2">
      <c r="A84" s="60" t="str">
        <f>'YEAR 6'!A84</f>
        <v>Other (please describe)</v>
      </c>
      <c r="B84" s="114"/>
      <c r="C84" s="114">
        <f>'YEAR 6'!$B84</f>
        <v>0</v>
      </c>
      <c r="D84" s="114">
        <f>'YEAR 7'!$B84</f>
        <v>0</v>
      </c>
      <c r="E84" s="114">
        <f>'YEAR 8'!$B84</f>
        <v>0</v>
      </c>
      <c r="F84" s="114">
        <f>'YEAR 9'!$B84</f>
        <v>0</v>
      </c>
      <c r="G84" s="114">
        <f>'YEAR 10'!$B84</f>
        <v>0</v>
      </c>
    </row>
    <row r="85" spans="1:8" x14ac:dyDescent="0.2">
      <c r="A85" s="60" t="str">
        <f>'YEAR 6'!A85</f>
        <v>Other (please describe)</v>
      </c>
      <c r="B85" s="114"/>
      <c r="C85" s="114">
        <f>'YEAR 6'!$B85</f>
        <v>0</v>
      </c>
      <c r="D85" s="114">
        <f>'YEAR 7'!$B85</f>
        <v>0</v>
      </c>
      <c r="E85" s="114">
        <f>'YEAR 8'!$B85</f>
        <v>0</v>
      </c>
      <c r="F85" s="114">
        <f>'YEAR 9'!$B85</f>
        <v>0</v>
      </c>
      <c r="G85" s="114">
        <f>'YEAR 10'!$B85</f>
        <v>0</v>
      </c>
      <c r="H85" s="127"/>
    </row>
    <row r="86" spans="1:8" s="118" customFormat="1" x14ac:dyDescent="0.2">
      <c r="A86" s="12" t="str">
        <f>'YEAR 6'!A86</f>
        <v>Total Board Expenses</v>
      </c>
      <c r="B86" s="125"/>
      <c r="C86" s="114">
        <f>'YEAR 6'!$B86</f>
        <v>0</v>
      </c>
      <c r="D86" s="114">
        <f>'YEAR 7'!$B86</f>
        <v>0</v>
      </c>
      <c r="E86" s="114">
        <f>'YEAR 8'!$B86</f>
        <v>0</v>
      </c>
      <c r="F86" s="114">
        <f>'YEAR 9'!$B86</f>
        <v>0</v>
      </c>
      <c r="G86" s="114">
        <f>'YEAR 10'!$B86</f>
        <v>0</v>
      </c>
      <c r="H86" s="191"/>
    </row>
    <row r="87" spans="1:8" x14ac:dyDescent="0.2">
      <c r="A87" s="60"/>
      <c r="B87" s="114"/>
      <c r="C87" s="114">
        <f>'YEAR 6'!$B87</f>
        <v>0</v>
      </c>
      <c r="D87" s="114">
        <f>'YEAR 7'!$B87</f>
        <v>0</v>
      </c>
      <c r="E87" s="114">
        <f>'YEAR 8'!$B87</f>
        <v>0</v>
      </c>
      <c r="F87" s="114">
        <f>'YEAR 9'!$B87</f>
        <v>0</v>
      </c>
      <c r="G87" s="114">
        <f>'YEAR 10'!$B87</f>
        <v>0</v>
      </c>
      <c r="H87" s="127"/>
    </row>
    <row r="88" spans="1:8" x14ac:dyDescent="0.2">
      <c r="A88" s="12" t="str">
        <f>'YEAR 6'!A88</f>
        <v>Professional Purchased or Contracted Services</v>
      </c>
      <c r="B88" s="114"/>
      <c r="C88" s="114">
        <f>'YEAR 6'!$B88</f>
        <v>0</v>
      </c>
      <c r="D88" s="114">
        <f>'YEAR 7'!$B88</f>
        <v>0</v>
      </c>
      <c r="E88" s="114">
        <f>'YEAR 8'!$B88</f>
        <v>0</v>
      </c>
      <c r="F88" s="114">
        <f>'YEAR 9'!$B88</f>
        <v>0</v>
      </c>
      <c r="G88" s="114">
        <f>'YEAR 10'!$B88</f>
        <v>0</v>
      </c>
      <c r="H88" s="127"/>
    </row>
    <row r="89" spans="1:8" x14ac:dyDescent="0.2">
      <c r="A89" s="60" t="str">
        <f>'YEAR 6'!A89</f>
        <v>Legal Services</v>
      </c>
      <c r="B89" s="114"/>
      <c r="C89" s="114">
        <f>'YEAR 6'!$B89</f>
        <v>15000</v>
      </c>
      <c r="D89" s="114">
        <f>'YEAR 7'!$B89</f>
        <v>15000</v>
      </c>
      <c r="E89" s="114">
        <f>'YEAR 8'!$B89</f>
        <v>15000</v>
      </c>
      <c r="F89" s="114">
        <f>'YEAR 9'!$B89</f>
        <v>15000</v>
      </c>
      <c r="G89" s="114">
        <f>'YEAR 10'!$B89</f>
        <v>15000</v>
      </c>
      <c r="H89" s="127"/>
    </row>
    <row r="90" spans="1:8" x14ac:dyDescent="0.2">
      <c r="A90" s="60" t="str">
        <f>'YEAR 6'!A90</f>
        <v>Audit Services (compliant with SBOA requirements)</v>
      </c>
      <c r="B90" s="114"/>
      <c r="C90" s="114">
        <f>'YEAR 6'!$B90</f>
        <v>20000</v>
      </c>
      <c r="D90" s="114">
        <f>'YEAR 7'!$B90</f>
        <v>6000</v>
      </c>
      <c r="E90" s="114">
        <f>'YEAR 8'!$B90</f>
        <v>6000</v>
      </c>
      <c r="F90" s="114">
        <f>'YEAR 9'!$B90</f>
        <v>6000</v>
      </c>
      <c r="G90" s="114">
        <f>'YEAR 10'!$B90</f>
        <v>6000</v>
      </c>
      <c r="H90" s="127"/>
    </row>
    <row r="91" spans="1:8" x14ac:dyDescent="0.2">
      <c r="A91" s="60" t="str">
        <f>'YEAR 6'!A91</f>
        <v>Payroll Services</v>
      </c>
      <c r="B91" s="114"/>
      <c r="C91" s="114">
        <f>'YEAR 6'!$B91</f>
        <v>1800</v>
      </c>
      <c r="D91" s="114">
        <f>'YEAR 7'!$B91</f>
        <v>1800</v>
      </c>
      <c r="E91" s="114">
        <f>'YEAR 8'!$B91</f>
        <v>1800</v>
      </c>
      <c r="F91" s="114">
        <f>'YEAR 9'!$B91</f>
        <v>1800</v>
      </c>
      <c r="G91" s="114">
        <f>'YEAR 10'!$B91</f>
        <v>1800</v>
      </c>
      <c r="H91" s="127"/>
    </row>
    <row r="92" spans="1:8" x14ac:dyDescent="0.2">
      <c r="A92" s="60" t="str">
        <f>'YEAR 6'!A92</f>
        <v>Accounting Services</v>
      </c>
      <c r="B92" s="114"/>
      <c r="C92" s="114">
        <f>'YEAR 6'!$B92</f>
        <v>64000</v>
      </c>
      <c r="D92" s="114">
        <f>'YEAR 7'!$B92</f>
        <v>64000</v>
      </c>
      <c r="E92" s="114">
        <f>'YEAR 8'!$B92</f>
        <v>64000</v>
      </c>
      <c r="F92" s="114">
        <f>'YEAR 9'!$B92</f>
        <v>64000</v>
      </c>
      <c r="G92" s="114">
        <f>'YEAR 10'!$B92</f>
        <v>64000</v>
      </c>
    </row>
    <row r="93" spans="1:8" x14ac:dyDescent="0.2">
      <c r="A93" s="60" t="str">
        <f>'YEAR 6'!A93</f>
        <v>Printing/Newsletter/Annual Report Services</v>
      </c>
      <c r="B93" s="114"/>
      <c r="C93" s="114">
        <f>'YEAR 6'!$B93</f>
        <v>20000</v>
      </c>
      <c r="D93" s="114">
        <f>'YEAR 7'!$B93</f>
        <v>20000</v>
      </c>
      <c r="E93" s="114">
        <f>'YEAR 8'!$B93</f>
        <v>20000</v>
      </c>
      <c r="F93" s="114">
        <f>'YEAR 9'!$B93</f>
        <v>20000</v>
      </c>
      <c r="G93" s="114">
        <f>'YEAR 10'!$B93</f>
        <v>20000</v>
      </c>
    </row>
    <row r="94" spans="1:8" x14ac:dyDescent="0.2">
      <c r="A94" s="60" t="str">
        <f>'YEAR 6'!A94</f>
        <v>Consultants</v>
      </c>
      <c r="B94" s="114"/>
      <c r="C94" s="114">
        <f>'YEAR 6'!$B94</f>
        <v>0</v>
      </c>
      <c r="D94" s="114">
        <f>'YEAR 7'!$B94</f>
        <v>0</v>
      </c>
      <c r="E94" s="114">
        <f>'YEAR 8'!$B94</f>
        <v>0</v>
      </c>
      <c r="F94" s="114">
        <f>'YEAR 9'!$B94</f>
        <v>0</v>
      </c>
      <c r="G94" s="114">
        <f>'YEAR 10'!$B94</f>
        <v>0</v>
      </c>
    </row>
    <row r="95" spans="1:8" x14ac:dyDescent="0.2">
      <c r="A95" s="60" t="str">
        <f>'YEAR 6'!A95</f>
        <v>Internet Services</v>
      </c>
      <c r="B95" s="114"/>
      <c r="C95" s="114">
        <f>'YEAR 6'!$B95</f>
        <v>5000</v>
      </c>
      <c r="D95" s="114">
        <f>'YEAR 7'!$B95</f>
        <v>5000</v>
      </c>
      <c r="E95" s="114">
        <f>'YEAR 8'!$B95</f>
        <v>5000</v>
      </c>
      <c r="F95" s="114">
        <f>'YEAR 9'!$B95</f>
        <v>5000</v>
      </c>
      <c r="G95" s="114">
        <f>'YEAR 10'!$B95</f>
        <v>5000</v>
      </c>
    </row>
    <row r="96" spans="1:8" x14ac:dyDescent="0.2">
      <c r="A96" s="60" t="str">
        <f>'YEAR 6'!A96</f>
        <v>Telephone/Telecommunication Services</v>
      </c>
      <c r="B96" s="114"/>
      <c r="C96" s="114">
        <f>'YEAR 6'!$B96</f>
        <v>6000</v>
      </c>
      <c r="D96" s="114">
        <f>'YEAR 7'!$B96</f>
        <v>6000</v>
      </c>
      <c r="E96" s="114">
        <f>'YEAR 8'!$B96</f>
        <v>6000</v>
      </c>
      <c r="F96" s="114">
        <f>'YEAR 9'!$B96</f>
        <v>6000</v>
      </c>
      <c r="G96" s="114">
        <f>'YEAR 10'!$B96</f>
        <v>6000</v>
      </c>
    </row>
    <row r="97" spans="1:8" x14ac:dyDescent="0.2">
      <c r="A97" s="60" t="str">
        <f>'YEAR 6'!A97</f>
        <v>Total Insurance Costs (per ICSB requirements detailed in charter school application)</v>
      </c>
      <c r="B97" s="114"/>
      <c r="C97" s="114">
        <f>'YEAR 6'!$B97</f>
        <v>30000</v>
      </c>
      <c r="D97" s="114">
        <f>'YEAR 7'!$B97</f>
        <v>30000</v>
      </c>
      <c r="E97" s="114">
        <f>'YEAR 8'!$B97</f>
        <v>30000</v>
      </c>
      <c r="F97" s="114">
        <f>'YEAR 9'!$B97</f>
        <v>30000</v>
      </c>
      <c r="G97" s="114">
        <f>'YEAR 10'!$B97</f>
        <v>30000</v>
      </c>
    </row>
    <row r="98" spans="1:8" x14ac:dyDescent="0.2">
      <c r="A98" s="60" t="str">
        <f>'YEAR 6'!A98</f>
        <v>Travel</v>
      </c>
      <c r="B98" s="114"/>
      <c r="C98" s="114">
        <f>'YEAR 6'!$B98</f>
        <v>5000</v>
      </c>
      <c r="D98" s="114">
        <f>'YEAR 7'!$B98</f>
        <v>5000</v>
      </c>
      <c r="E98" s="114">
        <f>'YEAR 8'!$B98</f>
        <v>5000</v>
      </c>
      <c r="F98" s="114">
        <f>'YEAR 9'!$B98</f>
        <v>5000</v>
      </c>
      <c r="G98" s="114">
        <f>'YEAR 10'!$B98</f>
        <v>5000</v>
      </c>
    </row>
    <row r="99" spans="1:8" x14ac:dyDescent="0.2">
      <c r="A99" s="60" t="str">
        <f>'YEAR 6'!A99</f>
        <v>Postage</v>
      </c>
      <c r="B99" s="114"/>
      <c r="C99" s="114">
        <f>'YEAR 6'!$B99</f>
        <v>1000</v>
      </c>
      <c r="D99" s="114">
        <f>'YEAR 7'!$B99</f>
        <v>1000</v>
      </c>
      <c r="E99" s="114">
        <f>'YEAR 8'!$B99</f>
        <v>1000</v>
      </c>
      <c r="F99" s="114">
        <f>'YEAR 9'!$B99</f>
        <v>1000</v>
      </c>
      <c r="G99" s="114">
        <f>'YEAR 10'!$B99</f>
        <v>1000</v>
      </c>
    </row>
    <row r="100" spans="1:8" x14ac:dyDescent="0.2">
      <c r="A100" s="60" t="str">
        <f>'YEAR 6'!A100</f>
        <v>Special Education Services</v>
      </c>
      <c r="B100" s="114"/>
      <c r="C100" s="114">
        <f>'YEAR 6'!$B100</f>
        <v>23159</v>
      </c>
      <c r="D100" s="114">
        <f>'YEAR 7'!$B100</f>
        <v>23159</v>
      </c>
      <c r="E100" s="114">
        <f>'YEAR 8'!$B100</f>
        <v>23159</v>
      </c>
      <c r="F100" s="114">
        <f>'YEAR 9'!$B100</f>
        <v>23159</v>
      </c>
      <c r="G100" s="114">
        <f>'YEAR 10'!$B100</f>
        <v>23159</v>
      </c>
    </row>
    <row r="101" spans="1:8" x14ac:dyDescent="0.2">
      <c r="A101" s="60" t="str">
        <f>'YEAR 6'!A101</f>
        <v>Student Information Services</v>
      </c>
      <c r="B101" s="114"/>
      <c r="C101" s="114">
        <f>'YEAR 6'!$B101</f>
        <v>0</v>
      </c>
      <c r="D101" s="114">
        <f>'YEAR 7'!$B101</f>
        <v>0</v>
      </c>
      <c r="E101" s="114">
        <f>'YEAR 8'!$B101</f>
        <v>0</v>
      </c>
      <c r="F101" s="114">
        <f>'YEAR 9'!$B101</f>
        <v>0</v>
      </c>
      <c r="G101" s="114">
        <f>'YEAR 10'!$B101</f>
        <v>0</v>
      </c>
    </row>
    <row r="102" spans="1:8" x14ac:dyDescent="0.2">
      <c r="A102" s="60" t="str">
        <f>'YEAR 6'!A102</f>
        <v>Food service</v>
      </c>
      <c r="B102" s="114"/>
      <c r="C102" s="114">
        <f>'YEAR 6'!$B102</f>
        <v>116000</v>
      </c>
      <c r="D102" s="114">
        <f>'YEAR 7'!$B102</f>
        <v>116000</v>
      </c>
      <c r="E102" s="114">
        <f>'YEAR 8'!$B102</f>
        <v>116000</v>
      </c>
      <c r="F102" s="114">
        <f>'YEAR 9'!$B102</f>
        <v>116000</v>
      </c>
      <c r="G102" s="114">
        <f>'YEAR 10'!$B102</f>
        <v>116000</v>
      </c>
    </row>
    <row r="103" spans="1:8" x14ac:dyDescent="0.2">
      <c r="A103" s="60" t="str">
        <f>'YEAR 6'!A103</f>
        <v>Transportation</v>
      </c>
      <c r="B103" s="114"/>
      <c r="C103" s="114">
        <f>'YEAR 6'!$B103</f>
        <v>45000</v>
      </c>
      <c r="D103" s="114">
        <f>'YEAR 7'!$B103</f>
        <v>20000</v>
      </c>
      <c r="E103" s="114">
        <f>'YEAR 8'!$B103</f>
        <v>20000</v>
      </c>
      <c r="F103" s="114">
        <f>'YEAR 9'!$B103</f>
        <v>20000</v>
      </c>
      <c r="G103" s="114">
        <f>'YEAR 10'!$B103</f>
        <v>20000</v>
      </c>
    </row>
    <row r="104" spans="1:8" x14ac:dyDescent="0.2">
      <c r="A104" s="60" t="str">
        <f>'YEAR 6'!A104</f>
        <v>Nursing Services</v>
      </c>
      <c r="B104" s="114"/>
      <c r="C104" s="114">
        <f>'YEAR 6'!$B104</f>
        <v>0</v>
      </c>
      <c r="D104" s="114">
        <f>'YEAR 7'!$B104</f>
        <v>0</v>
      </c>
      <c r="E104" s="114">
        <f>'YEAR 8'!$B104</f>
        <v>0</v>
      </c>
      <c r="F104" s="114">
        <f>'YEAR 9'!$B104</f>
        <v>0</v>
      </c>
      <c r="G104" s="114">
        <f>'YEAR 10'!$B104</f>
        <v>0</v>
      </c>
      <c r="H104" s="127"/>
    </row>
    <row r="105" spans="1:8" x14ac:dyDescent="0.2">
      <c r="A105" s="60" t="str">
        <f>'YEAR 6'!A105</f>
        <v>Other (Summer School)</v>
      </c>
      <c r="B105" s="114"/>
      <c r="C105" s="114">
        <f>'YEAR 6'!$B105</f>
        <v>20000</v>
      </c>
      <c r="D105" s="114">
        <f>'YEAR 7'!$B105</f>
        <v>20000</v>
      </c>
      <c r="E105" s="114">
        <f>'YEAR 8'!$B105</f>
        <v>20000</v>
      </c>
      <c r="F105" s="114">
        <f>'YEAR 9'!$B105</f>
        <v>20000</v>
      </c>
      <c r="G105" s="114">
        <f>'YEAR 10'!$B105</f>
        <v>20000</v>
      </c>
      <c r="H105" s="127"/>
    </row>
    <row r="106" spans="1:8" x14ac:dyDescent="0.2">
      <c r="A106" s="60" t="str">
        <f>'YEAR 6'!A106</f>
        <v>Other ()</v>
      </c>
      <c r="B106" s="114"/>
      <c r="C106" s="114">
        <f>'YEAR 6'!$B106</f>
        <v>0</v>
      </c>
      <c r="D106" s="114">
        <f>'YEAR 7'!$B106</f>
        <v>0</v>
      </c>
      <c r="E106" s="114">
        <f>'YEAR 8'!$B106</f>
        <v>0</v>
      </c>
      <c r="F106" s="114">
        <f>'YEAR 9'!$B106</f>
        <v>0</v>
      </c>
      <c r="G106" s="114">
        <f>'YEAR 10'!$B106</f>
        <v>0</v>
      </c>
    </row>
    <row r="107" spans="1:8" x14ac:dyDescent="0.2">
      <c r="A107" s="60" t="str">
        <f>'YEAR 6'!A107</f>
        <v>Other (please describe)</v>
      </c>
      <c r="B107" s="114"/>
      <c r="C107" s="114">
        <f>'YEAR 6'!$B107</f>
        <v>0</v>
      </c>
      <c r="D107" s="114">
        <f>'YEAR 7'!$B107</f>
        <v>0</v>
      </c>
      <c r="E107" s="114">
        <f>'YEAR 8'!$B107</f>
        <v>0</v>
      </c>
      <c r="F107" s="114">
        <f>'YEAR 9'!$B107</f>
        <v>0</v>
      </c>
      <c r="G107" s="114">
        <f>'YEAR 10'!$B107</f>
        <v>0</v>
      </c>
    </row>
    <row r="108" spans="1:8" x14ac:dyDescent="0.2">
      <c r="A108" s="60" t="str">
        <f>'YEAR 6'!A108</f>
        <v>Other (please describe)</v>
      </c>
      <c r="B108" s="114"/>
      <c r="C108" s="114">
        <f>'YEAR 6'!$B108</f>
        <v>0</v>
      </c>
      <c r="D108" s="114">
        <f>'YEAR 7'!$B108</f>
        <v>0</v>
      </c>
      <c r="E108" s="114">
        <f>'YEAR 8'!$B108</f>
        <v>0</v>
      </c>
      <c r="F108" s="114">
        <f>'YEAR 9'!$B108</f>
        <v>0</v>
      </c>
      <c r="G108" s="114">
        <f>'YEAR 10'!$B108</f>
        <v>0</v>
      </c>
    </row>
    <row r="109" spans="1:8" x14ac:dyDescent="0.2">
      <c r="A109" s="12" t="str">
        <f>'YEAR 6'!A109</f>
        <v>Total Professional Purchased or Contracted Services</v>
      </c>
      <c r="B109" s="114"/>
      <c r="C109" s="114">
        <f>'YEAR 6'!$B109</f>
        <v>371959</v>
      </c>
      <c r="D109" s="114">
        <f>'YEAR 7'!$B109</f>
        <v>332959</v>
      </c>
      <c r="E109" s="114">
        <f>'YEAR 8'!$B109</f>
        <v>332959</v>
      </c>
      <c r="F109" s="114">
        <f>'YEAR 9'!$B109</f>
        <v>332959</v>
      </c>
      <c r="G109" s="114">
        <f>'YEAR 10'!$B109</f>
        <v>332959</v>
      </c>
    </row>
    <row r="110" spans="1:8" x14ac:dyDescent="0.2">
      <c r="A110" s="60"/>
      <c r="B110" s="114"/>
      <c r="C110" s="114">
        <f>'YEAR 6'!$B110</f>
        <v>0</v>
      </c>
      <c r="D110" s="114">
        <f>'YEAR 7'!$B110</f>
        <v>0</v>
      </c>
      <c r="E110" s="114">
        <f>'YEAR 8'!$B110</f>
        <v>0</v>
      </c>
      <c r="F110" s="114">
        <f>'YEAR 9'!$B110</f>
        <v>0</v>
      </c>
      <c r="G110" s="114">
        <f>'YEAR 10'!$B110</f>
        <v>0</v>
      </c>
    </row>
    <row r="111" spans="1:8" s="45" customFormat="1" x14ac:dyDescent="0.2">
      <c r="A111" s="12" t="str">
        <f>'YEAR 6'!A111</f>
        <v>Facilities</v>
      </c>
      <c r="B111" s="114"/>
      <c r="C111" s="114">
        <f>'YEAR 6'!$B111</f>
        <v>0</v>
      </c>
      <c r="D111" s="114">
        <f>'YEAR 7'!$B111</f>
        <v>0</v>
      </c>
      <c r="E111" s="114">
        <f>'YEAR 8'!$B111</f>
        <v>0</v>
      </c>
      <c r="F111" s="114">
        <f>'YEAR 9'!$B111</f>
        <v>0</v>
      </c>
      <c r="G111" s="114">
        <f>'YEAR 10'!$B111</f>
        <v>0</v>
      </c>
    </row>
    <row r="112" spans="1:8" x14ac:dyDescent="0.2">
      <c r="A112" s="60" t="str">
        <f>'YEAR 6'!A112</f>
        <v>Rent, mortgage, or other facility cost</v>
      </c>
      <c r="B112" s="107"/>
      <c r="C112" s="114">
        <f>'YEAR 6'!$B112</f>
        <v>290000</v>
      </c>
      <c r="D112" s="114">
        <f>'YEAR 7'!$B112</f>
        <v>304799</v>
      </c>
      <c r="E112" s="114">
        <f>'YEAR 8'!$B112</f>
        <v>304799</v>
      </c>
      <c r="F112" s="114">
        <f>'YEAR 9'!$B112</f>
        <v>304799</v>
      </c>
      <c r="G112" s="114">
        <f>'YEAR 10'!$B112</f>
        <v>304799</v>
      </c>
    </row>
    <row r="113" spans="1:8" x14ac:dyDescent="0.2">
      <c r="A113" s="60" t="str">
        <f>'YEAR 6'!A113</f>
        <v>Furniture &amp; Equipment</v>
      </c>
      <c r="B113" s="125"/>
      <c r="C113" s="114">
        <f>'YEAR 6'!$B113</f>
        <v>37352</v>
      </c>
      <c r="D113" s="114">
        <f>'YEAR 7'!$B113</f>
        <v>0</v>
      </c>
      <c r="E113" s="114">
        <f>'YEAR 8'!$B113</f>
        <v>0</v>
      </c>
      <c r="F113" s="114">
        <f>'YEAR 9'!$B113</f>
        <v>0</v>
      </c>
      <c r="G113" s="114">
        <f>'YEAR 10'!$B113</f>
        <v>0</v>
      </c>
    </row>
    <row r="114" spans="1:8" ht="13.5" x14ac:dyDescent="0.25">
      <c r="A114" s="60" t="str">
        <f>'YEAR 6'!A114</f>
        <v>Gas/electric</v>
      </c>
      <c r="B114" s="114"/>
      <c r="C114" s="114">
        <f>'YEAR 6'!$B114</f>
        <v>35000</v>
      </c>
      <c r="D114" s="114">
        <f>'YEAR 7'!$B114</f>
        <v>35000</v>
      </c>
      <c r="E114" s="114">
        <f>'YEAR 8'!$B114</f>
        <v>35000</v>
      </c>
      <c r="F114" s="114">
        <f>'YEAR 9'!$B114</f>
        <v>35000</v>
      </c>
      <c r="G114" s="114">
        <f>'YEAR 10'!$B114</f>
        <v>35000</v>
      </c>
      <c r="H114" s="62"/>
    </row>
    <row r="115" spans="1:8" x14ac:dyDescent="0.2">
      <c r="A115" s="60" t="str">
        <f>'YEAR 6'!A115</f>
        <v>Water/ Sewer</v>
      </c>
      <c r="B115" s="114"/>
      <c r="C115" s="114">
        <f>'YEAR 6'!$B115</f>
        <v>2900</v>
      </c>
      <c r="D115" s="114">
        <f>'YEAR 7'!$B115</f>
        <v>2900</v>
      </c>
      <c r="E115" s="114">
        <f>'YEAR 8'!$B115</f>
        <v>2900</v>
      </c>
      <c r="F115" s="114">
        <f>'YEAR 9'!$B115</f>
        <v>2900</v>
      </c>
      <c r="G115" s="114">
        <f>'YEAR 10'!$B115</f>
        <v>2900</v>
      </c>
    </row>
    <row r="116" spans="1:8" x14ac:dyDescent="0.2">
      <c r="A116" s="60" t="str">
        <f>'YEAR 6'!A116</f>
        <v>Grounds Keeping</v>
      </c>
      <c r="B116" s="114"/>
      <c r="C116" s="114">
        <f>'YEAR 6'!$B116</f>
        <v>20000</v>
      </c>
      <c r="D116" s="114">
        <f>'YEAR 7'!$B116</f>
        <v>20000</v>
      </c>
      <c r="E116" s="114">
        <f>'YEAR 8'!$B116</f>
        <v>20000</v>
      </c>
      <c r="F116" s="114">
        <f>'YEAR 9'!$B116</f>
        <v>20000</v>
      </c>
      <c r="G116" s="114">
        <f>'YEAR 10'!$B116</f>
        <v>20000</v>
      </c>
    </row>
    <row r="117" spans="1:8" x14ac:dyDescent="0.2">
      <c r="A117" s="60" t="str">
        <f>'YEAR 6'!A117</f>
        <v>Maintenance Services</v>
      </c>
      <c r="B117" s="114"/>
      <c r="C117" s="114">
        <f>'YEAR 6'!$B117</f>
        <v>20000</v>
      </c>
      <c r="D117" s="114">
        <f>'YEAR 7'!$B117</f>
        <v>20000</v>
      </c>
      <c r="E117" s="114">
        <f>'YEAR 8'!$B117</f>
        <v>20000</v>
      </c>
      <c r="F117" s="114">
        <f>'YEAR 9'!$B117</f>
        <v>20000</v>
      </c>
      <c r="G117" s="114">
        <f>'YEAR 10'!$B117</f>
        <v>20000</v>
      </c>
    </row>
    <row r="118" spans="1:8" x14ac:dyDescent="0.2">
      <c r="A118" s="60" t="str">
        <f>'YEAR 6'!A118</f>
        <v>Custodial</v>
      </c>
      <c r="B118" s="114"/>
      <c r="C118" s="114">
        <f>'YEAR 6'!$B118</f>
        <v>35000</v>
      </c>
      <c r="D118" s="114">
        <f>'YEAR 7'!$B118</f>
        <v>35000</v>
      </c>
      <c r="E118" s="114">
        <f>'YEAR 8'!$B118</f>
        <v>35000</v>
      </c>
      <c r="F118" s="114">
        <f>'YEAR 9'!$B118</f>
        <v>35000</v>
      </c>
      <c r="G118" s="114">
        <f>'YEAR 10'!$B118</f>
        <v>35000</v>
      </c>
    </row>
    <row r="119" spans="1:8" s="45" customFormat="1" x14ac:dyDescent="0.2">
      <c r="A119" s="60" t="str">
        <f>'YEAR 6'!A119</f>
        <v>Waste disposal</v>
      </c>
      <c r="B119" s="114"/>
      <c r="C119" s="114">
        <f>'YEAR 6'!$B119</f>
        <v>1500</v>
      </c>
      <c r="D119" s="114">
        <f>'YEAR 7'!$B119</f>
        <v>1500</v>
      </c>
      <c r="E119" s="114">
        <f>'YEAR 8'!$B119</f>
        <v>1500</v>
      </c>
      <c r="F119" s="114">
        <f>'YEAR 9'!$B119</f>
        <v>1500</v>
      </c>
      <c r="G119" s="114">
        <f>'YEAR 10'!$B119</f>
        <v>1500</v>
      </c>
    </row>
    <row r="120" spans="1:8" x14ac:dyDescent="0.2">
      <c r="A120" s="60" t="str">
        <f>'YEAR 6'!A120</f>
        <v>Debt Service for Facilities (Interest Only)</v>
      </c>
      <c r="B120" s="114"/>
      <c r="C120" s="114">
        <f>'YEAR 6'!$B120</f>
        <v>0</v>
      </c>
      <c r="D120" s="114">
        <f>'YEAR 7'!$B120</f>
        <v>0</v>
      </c>
      <c r="E120" s="114">
        <f>'YEAR 8'!$B120</f>
        <v>0</v>
      </c>
      <c r="F120" s="114">
        <f>'YEAR 9'!$B120</f>
        <v>0</v>
      </c>
      <c r="G120" s="114">
        <f>'YEAR 10'!$B120</f>
        <v>0</v>
      </c>
    </row>
    <row r="121" spans="1:8" x14ac:dyDescent="0.2">
      <c r="A121" s="60" t="str">
        <f>'YEAR 6'!A121</f>
        <v>Other (Supplies)</v>
      </c>
      <c r="B121" s="114"/>
      <c r="C121" s="114">
        <f>'YEAR 6'!$B121</f>
        <v>9500</v>
      </c>
      <c r="D121" s="114">
        <f>'YEAR 7'!$B121</f>
        <v>9500</v>
      </c>
      <c r="E121" s="114">
        <f>'YEAR 8'!$B121</f>
        <v>9500</v>
      </c>
      <c r="F121" s="114">
        <f>'YEAR 9'!$B121</f>
        <v>9500</v>
      </c>
      <c r="G121" s="114">
        <f>'YEAR 10'!$B121</f>
        <v>9500</v>
      </c>
    </row>
    <row r="122" spans="1:8" x14ac:dyDescent="0.2">
      <c r="A122" s="60" t="str">
        <f>'YEAR 6'!A122</f>
        <v>Other (security/alarm)</v>
      </c>
      <c r="B122" s="114"/>
      <c r="C122" s="114">
        <f>'YEAR 6'!$B122</f>
        <v>7000</v>
      </c>
      <c r="D122" s="114">
        <f>'YEAR 7'!$B122</f>
        <v>7000</v>
      </c>
      <c r="E122" s="114">
        <f>'YEAR 8'!$B122</f>
        <v>7000</v>
      </c>
      <c r="F122" s="114">
        <f>'YEAR 9'!$B122</f>
        <v>7000</v>
      </c>
      <c r="G122" s="114">
        <f>'YEAR 10'!$B122</f>
        <v>7000</v>
      </c>
    </row>
    <row r="123" spans="1:8" x14ac:dyDescent="0.2">
      <c r="A123" s="60" t="str">
        <f>'YEAR 6'!A123</f>
        <v xml:space="preserve">Other </v>
      </c>
      <c r="B123" s="114"/>
      <c r="C123" s="114">
        <f>'YEAR 6'!$B123</f>
        <v>0</v>
      </c>
      <c r="D123" s="114">
        <f>'YEAR 7'!$B123</f>
        <v>0</v>
      </c>
      <c r="E123" s="114">
        <f>'YEAR 8'!$B123</f>
        <v>0</v>
      </c>
      <c r="F123" s="114">
        <f>'YEAR 9'!$B123</f>
        <v>0</v>
      </c>
      <c r="G123" s="114">
        <f>'YEAR 10'!$B123</f>
        <v>0</v>
      </c>
    </row>
    <row r="124" spans="1:8" x14ac:dyDescent="0.2">
      <c r="A124" s="60" t="str">
        <f>'YEAR 6'!A124</f>
        <v>Other (pest control)</v>
      </c>
      <c r="B124" s="114"/>
      <c r="C124" s="114">
        <f>'YEAR 6'!$B124</f>
        <v>1200</v>
      </c>
      <c r="D124" s="114">
        <f>'YEAR 7'!$B124</f>
        <v>1200</v>
      </c>
      <c r="E124" s="114">
        <f>'YEAR 8'!$B124</f>
        <v>1200</v>
      </c>
      <c r="F124" s="114">
        <f>'YEAR 9'!$B124</f>
        <v>1200</v>
      </c>
      <c r="G124" s="114">
        <f>'YEAR 10'!$B124</f>
        <v>1200</v>
      </c>
    </row>
    <row r="125" spans="1:8" x14ac:dyDescent="0.2">
      <c r="A125" s="12" t="str">
        <f>'YEAR 6'!A125</f>
        <v>Total Facilities</v>
      </c>
      <c r="B125" s="114"/>
      <c r="C125" s="114">
        <f>'YEAR 6'!$B125</f>
        <v>459452</v>
      </c>
      <c r="D125" s="114">
        <f>'YEAR 7'!$B125</f>
        <v>436899</v>
      </c>
      <c r="E125" s="114">
        <f>'YEAR 8'!$B125</f>
        <v>436899</v>
      </c>
      <c r="F125" s="114">
        <f>'YEAR 9'!$B125</f>
        <v>436899</v>
      </c>
      <c r="G125" s="114">
        <f>'YEAR 10'!$B125</f>
        <v>436899</v>
      </c>
    </row>
    <row r="126" spans="1:8" x14ac:dyDescent="0.2">
      <c r="A126" s="60"/>
      <c r="B126" s="114"/>
      <c r="C126" s="114">
        <f>'YEAR 6'!$B126</f>
        <v>0</v>
      </c>
      <c r="D126" s="114">
        <f>'YEAR 7'!$B126</f>
        <v>0</v>
      </c>
      <c r="E126" s="114">
        <f>'YEAR 8'!$B126</f>
        <v>0</v>
      </c>
      <c r="F126" s="114">
        <f>'YEAR 9'!$B126</f>
        <v>0</v>
      </c>
      <c r="G126" s="114">
        <f>'YEAR 10'!$B126</f>
        <v>0</v>
      </c>
    </row>
    <row r="127" spans="1:8" x14ac:dyDescent="0.2">
      <c r="A127" s="12" t="str">
        <f>'YEAR 6'!A127</f>
        <v>Other</v>
      </c>
      <c r="B127" s="114"/>
      <c r="C127" s="114">
        <f>'YEAR 6'!$B127</f>
        <v>0</v>
      </c>
      <c r="D127" s="114">
        <f>'YEAR 7'!$B127</f>
        <v>0</v>
      </c>
      <c r="E127" s="114">
        <f>'YEAR 8'!$B127</f>
        <v>0</v>
      </c>
      <c r="F127" s="114">
        <f>'YEAR 9'!$B127</f>
        <v>0</v>
      </c>
      <c r="G127" s="114">
        <f>'YEAR 10'!$B127</f>
        <v>0</v>
      </c>
    </row>
    <row r="128" spans="1:8" x14ac:dyDescent="0.2">
      <c r="A128" s="60" t="str">
        <f>'YEAR 6'!A128</f>
        <v>Contingency</v>
      </c>
      <c r="B128" s="107"/>
      <c r="C128" s="114">
        <f>'YEAR 6'!$B128</f>
        <v>0</v>
      </c>
      <c r="D128" s="114">
        <f>'YEAR 7'!$B128</f>
        <v>0</v>
      </c>
      <c r="E128" s="114">
        <f>'YEAR 8'!$B128</f>
        <v>0</v>
      </c>
      <c r="F128" s="114">
        <f>'YEAR 9'!$B128</f>
        <v>0</v>
      </c>
      <c r="G128" s="114">
        <f>'YEAR 10'!$B128</f>
        <v>0</v>
      </c>
    </row>
    <row r="129" spans="1:7" x14ac:dyDescent="0.2">
      <c r="A129" s="60" t="str">
        <f>'YEAR 6'!A129</f>
        <v>Indiana Charter School Board Administrative Fee</v>
      </c>
      <c r="B129" s="107"/>
      <c r="C129" s="114">
        <f>'YEAR 6'!$B129</f>
        <v>66288.53465999999</v>
      </c>
      <c r="D129" s="114">
        <f>'YEAR 7'!$B129</f>
        <v>66288.53465999999</v>
      </c>
      <c r="E129" s="114">
        <f>'YEAR 8'!$B129</f>
        <v>66288.53465999999</v>
      </c>
      <c r="F129" s="114">
        <f>'YEAR 9'!$B129</f>
        <v>66288.53465999999</v>
      </c>
      <c r="G129" s="114">
        <f>'YEAR 10'!$B129</f>
        <v>66288.53465999999</v>
      </c>
    </row>
    <row r="130" spans="1:7" x14ac:dyDescent="0.2">
      <c r="A130" s="60" t="str">
        <f>'YEAR 6'!A130</f>
        <v>CMO/EMO Fee</v>
      </c>
      <c r="B130" s="114"/>
      <c r="C130" s="114">
        <f>'YEAR 6'!$B130</f>
        <v>0</v>
      </c>
      <c r="D130" s="114">
        <f>'YEAR 7'!$B130</f>
        <v>0</v>
      </c>
      <c r="E130" s="114">
        <f>'YEAR 8'!$B130</f>
        <v>0</v>
      </c>
      <c r="F130" s="114">
        <f>'YEAR 9'!$B130</f>
        <v>0</v>
      </c>
      <c r="G130" s="114">
        <f>'YEAR 10'!$B130</f>
        <v>0</v>
      </c>
    </row>
    <row r="131" spans="1:7" x14ac:dyDescent="0.2">
      <c r="A131" s="60" t="str">
        <f>'YEAR 6'!A131</f>
        <v>Charter and Innovation Network School Advance Program Interest Costs</v>
      </c>
      <c r="B131" s="114"/>
      <c r="C131" s="114">
        <f>'YEAR 6'!$B131</f>
        <v>0</v>
      </c>
      <c r="D131" s="114">
        <f>'YEAR 7'!$B131</f>
        <v>0</v>
      </c>
      <c r="E131" s="114">
        <f>'YEAR 8'!$B131</f>
        <v>0</v>
      </c>
      <c r="F131" s="114">
        <f>'YEAR 9'!$B131</f>
        <v>0</v>
      </c>
      <c r="G131" s="114">
        <f>'YEAR 10'!$B131</f>
        <v>0</v>
      </c>
    </row>
    <row r="132" spans="1:7" x14ac:dyDescent="0.2">
      <c r="A132" s="60" t="str">
        <f>'YEAR 6'!A132</f>
        <v>Escrow account for dissillusionment / closure</v>
      </c>
      <c r="B132" s="114"/>
      <c r="C132" s="114">
        <f>'YEAR 6'!$B132</f>
        <v>30000</v>
      </c>
      <c r="D132" s="114">
        <f>'YEAR 7'!$B132</f>
        <v>0</v>
      </c>
      <c r="E132" s="114">
        <f>'YEAR 8'!$B132</f>
        <v>0</v>
      </c>
      <c r="F132" s="114">
        <f>'YEAR 9'!$B132</f>
        <v>0</v>
      </c>
      <c r="G132" s="114">
        <f>'YEAR 10'!$B132</f>
        <v>0</v>
      </c>
    </row>
    <row r="133" spans="1:7" x14ac:dyDescent="0.2">
      <c r="A133" s="60" t="str">
        <f>'YEAR 6'!A133</f>
        <v>Other (CSLF deduction)</v>
      </c>
      <c r="B133" s="114"/>
      <c r="C133" s="114">
        <f>'YEAR 6'!$B133</f>
        <v>134052</v>
      </c>
      <c r="D133" s="114">
        <f>'YEAR 7'!$B133</f>
        <v>134052</v>
      </c>
      <c r="E133" s="114">
        <f>'YEAR 8'!$B133</f>
        <v>134052</v>
      </c>
      <c r="F133" s="114">
        <f>'YEAR 9'!$B133</f>
        <v>134052</v>
      </c>
      <c r="G133" s="114">
        <f>'YEAR 10'!$B133</f>
        <v>134052</v>
      </c>
    </row>
    <row r="134" spans="1:7" x14ac:dyDescent="0.2">
      <c r="A134" s="60" t="str">
        <f>'YEAR 6'!A134</f>
        <v>Other (Challenge debt)</v>
      </c>
      <c r="B134" s="114"/>
      <c r="C134" s="114">
        <f>'YEAR 6'!$B134</f>
        <v>69552.345027833901</v>
      </c>
      <c r="D134" s="114">
        <f>'YEAR 7'!$B134</f>
        <v>57744</v>
      </c>
      <c r="E134" s="114">
        <f>'YEAR 8'!$B134</f>
        <v>57744</v>
      </c>
      <c r="F134" s="114">
        <f>'YEAR 9'!$B134</f>
        <v>57744</v>
      </c>
      <c r="G134" s="114">
        <f>'YEAR 10'!$B134</f>
        <v>57744</v>
      </c>
    </row>
    <row r="135" spans="1:7" x14ac:dyDescent="0.2">
      <c r="A135" s="12" t="str">
        <f>'YEAR 6'!A135</f>
        <v>Total Other</v>
      </c>
      <c r="B135" s="114"/>
      <c r="C135" s="114">
        <f>'YEAR 6'!$B135</f>
        <v>299892.87968783389</v>
      </c>
      <c r="D135" s="114">
        <f>'YEAR 7'!$B135</f>
        <v>258084.53466</v>
      </c>
      <c r="E135" s="114">
        <f>'YEAR 8'!$B135</f>
        <v>258084.53466</v>
      </c>
      <c r="F135" s="114">
        <f>'YEAR 9'!$B135</f>
        <v>258084.53466</v>
      </c>
      <c r="G135" s="114">
        <f>'YEAR 10'!$B135</f>
        <v>258084.53466</v>
      </c>
    </row>
    <row r="136" spans="1:7" x14ac:dyDescent="0.2">
      <c r="A136" s="60"/>
      <c r="B136" s="114"/>
      <c r="C136" s="114">
        <f>'YEAR 6'!$B136</f>
        <v>0</v>
      </c>
      <c r="D136" s="114">
        <f>'YEAR 7'!$B136</f>
        <v>0</v>
      </c>
      <c r="E136" s="114">
        <f>'YEAR 8'!$B136</f>
        <v>0</v>
      </c>
      <c r="F136" s="114">
        <f>'YEAR 9'!$B136</f>
        <v>0</v>
      </c>
      <c r="G136" s="114">
        <f>'YEAR 10'!$B136</f>
        <v>0</v>
      </c>
    </row>
    <row r="137" spans="1:7" x14ac:dyDescent="0.2">
      <c r="A137" s="12" t="str">
        <f>'YEAR 6'!A137</f>
        <v>Total Expenditures</v>
      </c>
      <c r="B137" s="114"/>
      <c r="C137" s="114">
        <f>'YEAR 6'!$B137</f>
        <v>2515048.8796878336</v>
      </c>
      <c r="D137" s="114">
        <f>'YEAR 7'!$B137</f>
        <v>2371391.9346599998</v>
      </c>
      <c r="E137" s="114">
        <f>'YEAR 8'!$B137</f>
        <v>2394663.4226599997</v>
      </c>
      <c r="F137" s="114">
        <f>'YEAR 9'!$B137</f>
        <v>2418360.3404199993</v>
      </c>
      <c r="G137" s="114">
        <f>'YEAR 10'!$B137</f>
        <v>2442491.1965351999</v>
      </c>
    </row>
    <row r="138" spans="1:7" x14ac:dyDescent="0.2">
      <c r="A138" s="60"/>
      <c r="B138" s="107"/>
      <c r="C138" s="114">
        <f>'YEAR 6'!$B138</f>
        <v>0</v>
      </c>
      <c r="D138" s="114">
        <f>'YEAR 7'!$B138</f>
        <v>0</v>
      </c>
      <c r="E138" s="114">
        <f>'YEAR 8'!$B138</f>
        <v>0</v>
      </c>
      <c r="F138" s="114">
        <f>'YEAR 9'!$B138</f>
        <v>0</v>
      </c>
      <c r="G138" s="114">
        <f>'YEAR 10'!$B138</f>
        <v>0</v>
      </c>
    </row>
    <row r="139" spans="1:7" x14ac:dyDescent="0.2">
      <c r="A139" s="12" t="str">
        <f>'YEAR 6'!A139</f>
        <v>Carryover/Deficit</v>
      </c>
      <c r="B139" s="114"/>
      <c r="C139" s="114">
        <f>'YEAR 6'!$B139</f>
        <v>190608.94231216609</v>
      </c>
      <c r="D139" s="114">
        <f>'YEAR 7'!$B139</f>
        <v>342265.8873399999</v>
      </c>
      <c r="E139" s="114">
        <f>'YEAR 8'!$B139</f>
        <v>318994.39934</v>
      </c>
      <c r="F139" s="114">
        <f>'YEAR 9'!$B139</f>
        <v>295297.48158000037</v>
      </c>
      <c r="G139" s="114">
        <f>'YEAR 10'!$B139</f>
        <v>271166.62546479981</v>
      </c>
    </row>
    <row r="140" spans="1:7" x14ac:dyDescent="0.2">
      <c r="A140" s="60"/>
      <c r="B140" s="107"/>
      <c r="C140" s="114">
        <f>'YEAR 6'!$B140</f>
        <v>0</v>
      </c>
      <c r="D140" s="114">
        <f>'YEAR 7'!$B140</f>
        <v>0</v>
      </c>
      <c r="E140" s="114">
        <f>'YEAR 8'!$B140</f>
        <v>0</v>
      </c>
      <c r="F140" s="114">
        <f>'YEAR 9'!$B140</f>
        <v>0</v>
      </c>
      <c r="G140" s="114">
        <f>'YEAR 10'!$B140</f>
        <v>0</v>
      </c>
    </row>
    <row r="141" spans="1:7" s="118" customFormat="1" x14ac:dyDescent="0.2">
      <c r="A141" s="12" t="str">
        <f>'YEAR 6'!A141</f>
        <v>Cumulative Carryover/(Deficit)</v>
      </c>
      <c r="B141" s="125"/>
      <c r="C141" s="114">
        <f>'YEAR 6'!$B141</f>
        <v>246983.94231216609</v>
      </c>
      <c r="D141" s="114">
        <f>'YEAR 7'!$B141</f>
        <v>589249.82965216599</v>
      </c>
      <c r="E141" s="114">
        <f>'YEAR 8'!$B141</f>
        <v>908244.228992166</v>
      </c>
      <c r="F141" s="114">
        <f>'YEAR 9'!$B141</f>
        <v>1203541.7105721664</v>
      </c>
      <c r="G141" s="114">
        <f>'YEAR 10'!$B141</f>
        <v>1474708.3360369662</v>
      </c>
    </row>
    <row r="142" spans="1:7" x14ac:dyDescent="0.2">
      <c r="A142" s="60"/>
      <c r="B142" s="107"/>
      <c r="C142" s="114"/>
      <c r="D142" s="107"/>
      <c r="E142" s="107"/>
      <c r="F142" s="107"/>
      <c r="G142" s="114">
        <f>'YEAR 10'!$B142</f>
        <v>0</v>
      </c>
    </row>
    <row r="143" spans="1:7" x14ac:dyDescent="0.2">
      <c r="A143" s="60"/>
      <c r="B143" s="107"/>
      <c r="C143" s="114"/>
      <c r="D143" s="107"/>
      <c r="E143" s="107"/>
      <c r="F143" s="107"/>
      <c r="G143" s="114">
        <f>'YEAR 10'!$B143</f>
        <v>0</v>
      </c>
    </row>
  </sheetData>
  <customSheetViews>
    <customSheetView guid="{4EB07C87-A9F4-403E-8C0F-324FFB87E1FF}" topLeftCell="A85">
      <selection activeCell="G124" sqref="G124"/>
      <pageMargins left="0.7" right="0.7" top="0.75" bottom="0.75" header="0.3" footer="0.3"/>
      <pageSetup orientation="portrait"/>
    </customSheetView>
    <customSheetView guid="{78108F25-E067-40AC-B09B-6FE5187CDB4B}">
      <selection activeCell="E7" sqref="E7"/>
      <pageMargins left="0.7" right="0.7" top="0.75" bottom="0.75" header="0.3" footer="0.3"/>
      <pageSetup orientation="portrait"/>
    </customSheetView>
  </customSheetViews>
  <phoneticPr fontId="27" type="noConversion"/>
  <pageMargins left="0.7" right="0.7" top="0.75" bottom="0.75" header="0.3" footer="0.3"/>
  <pageSetup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43"/>
  <sheetViews>
    <sheetView topLeftCell="A120" zoomScaleNormal="100" workbookViewId="0">
      <pane xSplit="1" topLeftCell="J1" activePane="topRight" state="frozen"/>
      <selection activeCell="A113" sqref="A113"/>
      <selection pane="topRight" activeCell="S108" sqref="S108"/>
    </sheetView>
  </sheetViews>
  <sheetFormatPr defaultRowHeight="12.75" x14ac:dyDescent="0.2"/>
  <cols>
    <col min="1" max="1" width="45.85546875" style="46" customWidth="1"/>
    <col min="2" max="2" width="1.5703125" style="117" customWidth="1"/>
    <col min="3" max="3" width="11.5703125" style="46" bestFit="1" customWidth="1"/>
    <col min="4" max="4" width="12" style="47" bestFit="1" customWidth="1"/>
    <col min="5" max="8" width="12.5703125" style="46" bestFit="1" customWidth="1"/>
    <col min="9" max="9" width="12" style="46" bestFit="1" customWidth="1"/>
    <col min="10" max="10" width="13.5703125" style="46" bestFit="1" customWidth="1"/>
    <col min="11" max="11" width="1.5703125" style="45" customWidth="1"/>
    <col min="12" max="17" width="12" style="46" bestFit="1" customWidth="1"/>
    <col min="18" max="18" width="13.5703125" style="46" bestFit="1" customWidth="1"/>
    <col min="19" max="20" width="11.140625" style="46" bestFit="1" customWidth="1"/>
    <col min="21" max="16384" width="9.140625" style="46"/>
  </cols>
  <sheetData>
    <row r="1" spans="1:20" x14ac:dyDescent="0.2">
      <c r="A1" s="118"/>
    </row>
    <row r="3" spans="1:20" x14ac:dyDescent="0.2">
      <c r="A3" s="201" t="s">
        <v>158</v>
      </c>
      <c r="B3" s="201"/>
      <c r="C3" s="201"/>
      <c r="D3" s="201"/>
      <c r="E3" s="201"/>
      <c r="F3" s="201"/>
      <c r="G3" s="201"/>
      <c r="H3" s="201"/>
      <c r="I3" s="201"/>
      <c r="J3" s="201"/>
      <c r="K3" s="201"/>
      <c r="L3" s="201"/>
      <c r="M3" s="201"/>
      <c r="N3" s="201"/>
      <c r="O3" s="201"/>
      <c r="P3" s="201"/>
      <c r="Q3" s="201"/>
      <c r="R3" s="201"/>
    </row>
    <row r="4" spans="1:20" s="11" customFormat="1" ht="25.5" x14ac:dyDescent="0.2">
      <c r="A4" s="10"/>
      <c r="B4" s="145"/>
      <c r="C4" s="136">
        <v>42887</v>
      </c>
      <c r="D4" s="137">
        <v>42917</v>
      </c>
      <c r="E4" s="136">
        <v>42948</v>
      </c>
      <c r="F4" s="136">
        <v>42979</v>
      </c>
      <c r="G4" s="136">
        <v>43009</v>
      </c>
      <c r="H4" s="136">
        <v>43040</v>
      </c>
      <c r="I4" s="136">
        <v>43070</v>
      </c>
      <c r="J4" s="136" t="s">
        <v>159</v>
      </c>
      <c r="K4" s="165"/>
      <c r="L4" s="136">
        <v>43101</v>
      </c>
      <c r="M4" s="136">
        <v>43132</v>
      </c>
      <c r="N4" s="136">
        <v>43160</v>
      </c>
      <c r="O4" s="136">
        <v>43191</v>
      </c>
      <c r="P4" s="136">
        <v>43221</v>
      </c>
      <c r="Q4" s="136">
        <v>43252</v>
      </c>
      <c r="R4" s="181" t="s">
        <v>160</v>
      </c>
      <c r="S4" s="11" t="s">
        <v>220</v>
      </c>
    </row>
    <row r="5" spans="1:20" s="11" customFormat="1" x14ac:dyDescent="0.2">
      <c r="A5" s="10" t="s">
        <v>0</v>
      </c>
      <c r="B5" s="145"/>
      <c r="C5" s="136"/>
      <c r="D5" s="137"/>
      <c r="E5" s="136"/>
      <c r="F5" s="136"/>
      <c r="G5" s="136"/>
      <c r="H5" s="136"/>
      <c r="I5" s="136"/>
      <c r="J5" s="136"/>
      <c r="K5" s="165"/>
      <c r="L5" s="136"/>
      <c r="M5" s="136"/>
      <c r="N5" s="136"/>
      <c r="O5" s="136"/>
      <c r="P5" s="136"/>
      <c r="Q5" s="136"/>
      <c r="R5" s="10"/>
    </row>
    <row r="6" spans="1:20" s="11" customFormat="1" x14ac:dyDescent="0.2">
      <c r="A6" s="10"/>
      <c r="B6" s="145"/>
      <c r="C6" s="136"/>
      <c r="D6" s="137"/>
      <c r="E6" s="136"/>
      <c r="F6" s="136"/>
      <c r="G6" s="136"/>
      <c r="H6" s="136"/>
      <c r="I6" s="136"/>
      <c r="J6" s="136"/>
      <c r="K6" s="165"/>
      <c r="L6" s="136"/>
      <c r="M6" s="136"/>
      <c r="N6" s="136"/>
      <c r="O6" s="136"/>
      <c r="P6" s="136"/>
      <c r="Q6" s="136"/>
      <c r="R6" s="10"/>
    </row>
    <row r="7" spans="1:20" x14ac:dyDescent="0.2">
      <c r="A7" s="15" t="s">
        <v>43</v>
      </c>
      <c r="B7" s="108"/>
      <c r="C7" s="61"/>
      <c r="D7" s="119"/>
      <c r="E7" s="61"/>
      <c r="F7" s="61"/>
      <c r="G7" s="61"/>
      <c r="H7" s="61"/>
      <c r="I7" s="61"/>
      <c r="J7" s="61"/>
      <c r="K7" s="141"/>
      <c r="L7" s="61"/>
      <c r="M7" s="61"/>
      <c r="N7" s="61"/>
      <c r="O7" s="61"/>
      <c r="P7" s="61"/>
      <c r="Q7" s="61"/>
      <c r="R7" s="61"/>
    </row>
    <row r="8" spans="1:20" s="45" customFormat="1" x14ac:dyDescent="0.2">
      <c r="A8" s="23" t="str">
        <f>'YEAR 6'!A19</f>
        <v>Title I</v>
      </c>
      <c r="B8" s="108"/>
      <c r="C8" s="138">
        <v>0</v>
      </c>
      <c r="D8" s="138">
        <v>0</v>
      </c>
      <c r="E8" s="138">
        <v>0</v>
      </c>
      <c r="F8" s="138">
        <v>0</v>
      </c>
      <c r="G8" s="138">
        <f>'YEAR 6'!$B$19/9</f>
        <v>14048.888888888889</v>
      </c>
      <c r="H8" s="138">
        <f>'YEAR 6'!$B$19/9</f>
        <v>14048.888888888889</v>
      </c>
      <c r="I8" s="138">
        <f>'YEAR 6'!$B$19/9</f>
        <v>14048.888888888889</v>
      </c>
      <c r="J8" s="164">
        <f>SUM(C8:I8)</f>
        <v>42146.666666666664</v>
      </c>
      <c r="K8" s="166"/>
      <c r="L8" s="138">
        <f>'YEAR 6'!$B$19/9</f>
        <v>14048.888888888889</v>
      </c>
      <c r="M8" s="138">
        <f>'YEAR 6'!$B$19/9</f>
        <v>14048.888888888889</v>
      </c>
      <c r="N8" s="138">
        <f>'YEAR 6'!$B$19/9</f>
        <v>14048.888888888889</v>
      </c>
      <c r="O8" s="138">
        <f>'YEAR 6'!$B$19/9</f>
        <v>14048.888888888889</v>
      </c>
      <c r="P8" s="138">
        <f>'YEAR 6'!$B$19/9</f>
        <v>14048.888888888889</v>
      </c>
      <c r="Q8" s="138">
        <f>'YEAR 6'!$B$19/9</f>
        <v>14048.888888888889</v>
      </c>
      <c r="R8" s="159">
        <f>SUM(L8:Q8)</f>
        <v>84293.333333333328</v>
      </c>
      <c r="S8" s="193">
        <f t="shared" ref="S8:S17" si="0">SUM(L8:Q8,D8:I8)</f>
        <v>126440</v>
      </c>
    </row>
    <row r="9" spans="1:20" x14ac:dyDescent="0.2">
      <c r="A9" s="14" t="str">
        <f>'YEAR 6'!A20</f>
        <v>Title II</v>
      </c>
      <c r="B9" s="108"/>
      <c r="C9" s="138">
        <v>0</v>
      </c>
      <c r="D9" s="138">
        <v>0</v>
      </c>
      <c r="E9" s="138">
        <v>0</v>
      </c>
      <c r="F9" s="138">
        <v>0</v>
      </c>
      <c r="G9" s="138">
        <f>'YEAR 6'!$B$20/9</f>
        <v>1333.3333333333333</v>
      </c>
      <c r="H9" s="138">
        <f>'YEAR 6'!$B$20/9</f>
        <v>1333.3333333333333</v>
      </c>
      <c r="I9" s="138">
        <f>'YEAR 6'!$B$20/9</f>
        <v>1333.3333333333333</v>
      </c>
      <c r="J9" s="164">
        <f>SUM(C9:I9)</f>
        <v>4000</v>
      </c>
      <c r="K9" s="166"/>
      <c r="L9" s="138">
        <f>'YEAR 6'!$B$20/9</f>
        <v>1333.3333333333333</v>
      </c>
      <c r="M9" s="138">
        <f>'YEAR 6'!$B$20/9</f>
        <v>1333.3333333333333</v>
      </c>
      <c r="N9" s="138">
        <f>'YEAR 6'!$B$20/9</f>
        <v>1333.3333333333333</v>
      </c>
      <c r="O9" s="138">
        <f>'YEAR 6'!$B$20/9</f>
        <v>1333.3333333333333</v>
      </c>
      <c r="P9" s="138">
        <f>'YEAR 6'!$B$20/9</f>
        <v>1333.3333333333333</v>
      </c>
      <c r="Q9" s="138">
        <f>'YEAR 6'!$B$20/9</f>
        <v>1333.3333333333333</v>
      </c>
      <c r="R9" s="159">
        <f>SUM(L9:Q9)</f>
        <v>7999.9999999999991</v>
      </c>
      <c r="S9" s="193">
        <f t="shared" si="0"/>
        <v>12000</v>
      </c>
    </row>
    <row r="10" spans="1:20" x14ac:dyDescent="0.2">
      <c r="A10" s="14" t="str">
        <f>'YEAR 6'!A21</f>
        <v>Federal Lunch Program</v>
      </c>
      <c r="B10" s="108"/>
      <c r="C10" s="138"/>
      <c r="D10" s="138"/>
      <c r="E10" s="138"/>
      <c r="F10" s="138">
        <f>'YEAR 6'!$B$21/10</f>
        <v>11600</v>
      </c>
      <c r="G10" s="138">
        <f>'YEAR 6'!$B$21/10</f>
        <v>11600</v>
      </c>
      <c r="H10" s="138">
        <f>'YEAR 6'!$B$21/10</f>
        <v>11600</v>
      </c>
      <c r="I10" s="138">
        <f>'YEAR 6'!$B$21/10</f>
        <v>11600</v>
      </c>
      <c r="J10" s="164">
        <f t="shared" ref="J10:J11" si="1">SUM(C10:I10)</f>
        <v>46400</v>
      </c>
      <c r="K10" s="166"/>
      <c r="L10" s="138">
        <f>'YEAR 6'!$B$21/10</f>
        <v>11600</v>
      </c>
      <c r="M10" s="138">
        <f>'YEAR 6'!$B$21/10</f>
        <v>11600</v>
      </c>
      <c r="N10" s="138">
        <f>'YEAR 6'!$B$21/10</f>
        <v>11600</v>
      </c>
      <c r="O10" s="138">
        <f>'YEAR 6'!$B$21/10</f>
        <v>11600</v>
      </c>
      <c r="P10" s="138">
        <f>'YEAR 6'!$B$21/10</f>
        <v>11600</v>
      </c>
      <c r="Q10" s="138">
        <f>'YEAR 6'!$B$21/10</f>
        <v>11600</v>
      </c>
      <c r="R10" s="159">
        <f t="shared" ref="R10:R12" si="2">SUM(L10:Q10)</f>
        <v>69600</v>
      </c>
      <c r="S10" s="193">
        <f t="shared" si="0"/>
        <v>116000</v>
      </c>
    </row>
    <row r="11" spans="1:20" ht="25.5" x14ac:dyDescent="0.2">
      <c r="A11" s="14" t="str">
        <f>'YEAR 6'!A23</f>
        <v>Other Revenue Federal sources (Medicaid Reimbursement)</v>
      </c>
      <c r="B11" s="108"/>
      <c r="C11" s="138">
        <v>0</v>
      </c>
      <c r="D11" s="138">
        <v>0</v>
      </c>
      <c r="E11" s="138">
        <v>0</v>
      </c>
      <c r="F11" s="138">
        <f>'YEAR 6'!$B$23/10</f>
        <v>6960</v>
      </c>
      <c r="G11" s="138">
        <f>'YEAR 6'!$B$23/10</f>
        <v>6960</v>
      </c>
      <c r="H11" s="138">
        <f>'YEAR 6'!$B$23/10</f>
        <v>6960</v>
      </c>
      <c r="I11" s="138">
        <f>'YEAR 6'!$B$23/10</f>
        <v>6960</v>
      </c>
      <c r="J11" s="164">
        <f t="shared" si="1"/>
        <v>27840</v>
      </c>
      <c r="K11" s="166"/>
      <c r="L11" s="138">
        <f>'YEAR 6'!$B$23/10</f>
        <v>6960</v>
      </c>
      <c r="M11" s="138">
        <f>'YEAR 6'!$B$23/10</f>
        <v>6960</v>
      </c>
      <c r="N11" s="138">
        <f>'YEAR 6'!$B$23/10</f>
        <v>6960</v>
      </c>
      <c r="O11" s="138">
        <f>'YEAR 6'!$B$23/10</f>
        <v>6960</v>
      </c>
      <c r="P11" s="138">
        <f>'YEAR 6'!$B$23/10</f>
        <v>6960</v>
      </c>
      <c r="Q11" s="138">
        <f>'YEAR 6'!$B$23/10</f>
        <v>6960</v>
      </c>
      <c r="R11" s="159">
        <f t="shared" si="2"/>
        <v>41760</v>
      </c>
      <c r="S11" s="193">
        <f t="shared" si="0"/>
        <v>69600</v>
      </c>
    </row>
    <row r="12" spans="1:20" x14ac:dyDescent="0.2">
      <c r="A12" s="15" t="s">
        <v>44</v>
      </c>
      <c r="B12" s="108"/>
      <c r="C12" s="144"/>
      <c r="D12" s="119"/>
      <c r="E12" s="61"/>
      <c r="F12" s="61"/>
      <c r="G12" s="61"/>
      <c r="H12" s="61"/>
      <c r="I12" s="61"/>
      <c r="J12" s="61"/>
      <c r="K12" s="141"/>
      <c r="L12" s="61"/>
      <c r="M12" s="61"/>
      <c r="N12" s="61"/>
      <c r="O12" s="61"/>
      <c r="P12" s="61"/>
      <c r="Q12" s="61"/>
      <c r="R12" s="159">
        <f t="shared" si="2"/>
        <v>0</v>
      </c>
      <c r="S12" s="193">
        <f t="shared" si="0"/>
        <v>0</v>
      </c>
    </row>
    <row r="13" spans="1:20" x14ac:dyDescent="0.2">
      <c r="A13" s="24" t="str">
        <f>'YEAR 6'!A6</f>
        <v>Basic Grant</v>
      </c>
      <c r="B13" s="108"/>
      <c r="C13" s="138">
        <v>90000</v>
      </c>
      <c r="D13" s="138">
        <f>('YEAR 6'!$B$6)/12/290*275</f>
        <v>174610.60374999995</v>
      </c>
      <c r="E13" s="138">
        <f>('YEAR 6'!$B$6)/12/290*275</f>
        <v>174610.60374999995</v>
      </c>
      <c r="F13" s="138">
        <f>('YEAR 6'!$B$6)/12/290*275</f>
        <v>174610.60374999995</v>
      </c>
      <c r="G13" s="138">
        <f>('YEAR 6'!$B$6)/12/290*275</f>
        <v>174610.60374999995</v>
      </c>
      <c r="H13" s="138">
        <f>'YEAR 6'!$B$6/12+('YEAR 6'!$B$6/12-$G13)*2</f>
        <v>203183.24799999999</v>
      </c>
      <c r="I13" s="138">
        <f>'YEAR 6'!$B$6/12+('YEAR 6'!$B$6/12-$G13)*2</f>
        <v>203183.24799999999</v>
      </c>
      <c r="J13" s="164">
        <f>SUM(C13:I13)</f>
        <v>1194808.9109999998</v>
      </c>
      <c r="K13" s="166"/>
      <c r="L13" s="138">
        <f>'YEAR 6'!$B$6/12</f>
        <v>184134.81849999996</v>
      </c>
      <c r="M13" s="138">
        <f>'YEAR 6'!$B$6/12</f>
        <v>184134.81849999996</v>
      </c>
      <c r="N13" s="138">
        <f>'YEAR 6'!$B$6/12</f>
        <v>184134.81849999996</v>
      </c>
      <c r="O13" s="138">
        <f>'YEAR 6'!$B$6/12</f>
        <v>184134.81849999996</v>
      </c>
      <c r="P13" s="138">
        <f>'YEAR 6'!$B$6/12</f>
        <v>184134.81849999996</v>
      </c>
      <c r="Q13" s="138">
        <f>'YEAR 6'!$B$6/12</f>
        <v>184134.81849999996</v>
      </c>
      <c r="R13" s="159">
        <f>SUM(L13:Q13)</f>
        <v>1104808.9109999998</v>
      </c>
      <c r="S13" s="193">
        <f>SUM(L13:Q13,D13:I13)</f>
        <v>2209617.8219999997</v>
      </c>
      <c r="T13" s="192"/>
    </row>
    <row r="14" spans="1:20" x14ac:dyDescent="0.2">
      <c r="A14" s="13" t="str">
        <f>'YEAR 6'!A12</f>
        <v>Textbook Reimbursement</v>
      </c>
      <c r="B14" s="108"/>
      <c r="C14" s="138">
        <v>0</v>
      </c>
      <c r="D14" s="138">
        <v>0</v>
      </c>
      <c r="E14" s="138">
        <v>0</v>
      </c>
      <c r="F14" s="138">
        <v>0</v>
      </c>
      <c r="G14" s="138">
        <v>0</v>
      </c>
      <c r="H14" s="138">
        <f>'YEAR 6'!B12</f>
        <v>12000</v>
      </c>
      <c r="I14" s="138">
        <v>0</v>
      </c>
      <c r="J14" s="164">
        <f>SUM(C14:I14)</f>
        <v>12000</v>
      </c>
      <c r="K14" s="166"/>
      <c r="L14" s="138">
        <v>0</v>
      </c>
      <c r="M14" s="138">
        <v>0</v>
      </c>
      <c r="N14" s="138">
        <v>0</v>
      </c>
      <c r="O14" s="138">
        <v>0</v>
      </c>
      <c r="P14" s="138">
        <v>0</v>
      </c>
      <c r="Q14" s="138">
        <v>0</v>
      </c>
      <c r="R14" s="159">
        <f>SUM(L14:Q14)</f>
        <v>0</v>
      </c>
      <c r="S14" s="193">
        <f t="shared" si="0"/>
        <v>12000</v>
      </c>
    </row>
    <row r="15" spans="1:20" x14ac:dyDescent="0.2">
      <c r="A15" s="13" t="str">
        <f>'YEAR 6'!A13</f>
        <v>Summer School</v>
      </c>
      <c r="B15" s="108"/>
      <c r="C15" s="138">
        <v>0</v>
      </c>
      <c r="D15" s="138">
        <v>0</v>
      </c>
      <c r="E15" s="138">
        <v>0</v>
      </c>
      <c r="F15" s="138">
        <v>0</v>
      </c>
      <c r="G15" s="138">
        <f>'YEAR 6'!B13</f>
        <v>15000</v>
      </c>
      <c r="H15" s="138">
        <v>0</v>
      </c>
      <c r="I15" s="138">
        <v>0</v>
      </c>
      <c r="J15" s="164">
        <f>SUM(C15:I15)</f>
        <v>15000</v>
      </c>
      <c r="K15" s="166"/>
      <c r="L15" s="138">
        <v>0</v>
      </c>
      <c r="M15" s="138">
        <v>0</v>
      </c>
      <c r="N15" s="138">
        <v>0</v>
      </c>
      <c r="O15" s="138">
        <v>0</v>
      </c>
      <c r="P15" s="138">
        <v>0</v>
      </c>
      <c r="Q15" s="138">
        <v>0</v>
      </c>
      <c r="R15" s="159">
        <f>SUM(L15:Q15)</f>
        <v>0</v>
      </c>
      <c r="S15" s="193">
        <f t="shared" si="0"/>
        <v>15000</v>
      </c>
    </row>
    <row r="16" spans="1:20" x14ac:dyDescent="0.2">
      <c r="A16" s="13" t="str">
        <f>'YEAR 6'!A14</f>
        <v>Charter and Innovation Network School Grant Program</v>
      </c>
      <c r="B16" s="108"/>
      <c r="C16" s="138">
        <v>0</v>
      </c>
      <c r="D16" s="138">
        <v>0</v>
      </c>
      <c r="E16" s="138">
        <v>0</v>
      </c>
      <c r="F16" s="138">
        <f>'YEAR 6'!B14/2</f>
        <v>72500</v>
      </c>
      <c r="G16" s="138">
        <v>0</v>
      </c>
      <c r="H16" s="138">
        <v>0</v>
      </c>
      <c r="I16" s="138">
        <v>0</v>
      </c>
      <c r="J16" s="164">
        <f>SUM(C16:I16)</f>
        <v>72500</v>
      </c>
      <c r="K16" s="166"/>
      <c r="L16" s="138">
        <v>0</v>
      </c>
      <c r="M16" s="138">
        <f>'YEAR 6'!B14/2</f>
        <v>72500</v>
      </c>
      <c r="N16" s="138">
        <v>0</v>
      </c>
      <c r="O16" s="138">
        <v>0</v>
      </c>
      <c r="P16" s="138">
        <v>0</v>
      </c>
      <c r="Q16" s="138">
        <v>0</v>
      </c>
      <c r="R16" s="159">
        <f>SUM(L16:Q16)</f>
        <v>72500</v>
      </c>
      <c r="S16" s="193">
        <f t="shared" si="0"/>
        <v>145000</v>
      </c>
    </row>
    <row r="17" spans="1:19" x14ac:dyDescent="0.2">
      <c r="A17" s="20" t="s">
        <v>4</v>
      </c>
      <c r="B17" s="108"/>
      <c r="C17" s="139">
        <f t="shared" ref="C17:J17" si="3">SUM(C8:C16)</f>
        <v>90000</v>
      </c>
      <c r="D17" s="139">
        <f t="shared" si="3"/>
        <v>174610.60374999995</v>
      </c>
      <c r="E17" s="139">
        <f t="shared" si="3"/>
        <v>174610.60374999995</v>
      </c>
      <c r="F17" s="139">
        <f t="shared" si="3"/>
        <v>265670.60374999995</v>
      </c>
      <c r="G17" s="139">
        <f t="shared" si="3"/>
        <v>223552.82597222217</v>
      </c>
      <c r="H17" s="139">
        <f t="shared" si="3"/>
        <v>249125.47022222221</v>
      </c>
      <c r="I17" s="139">
        <f t="shared" si="3"/>
        <v>237125.47022222221</v>
      </c>
      <c r="J17" s="139">
        <f t="shared" si="3"/>
        <v>1414695.5776666666</v>
      </c>
      <c r="K17" s="167"/>
      <c r="L17" s="139">
        <f t="shared" ref="L17:R17" si="4">SUM(L8:L16)</f>
        <v>218077.04072222218</v>
      </c>
      <c r="M17" s="139">
        <f t="shared" si="4"/>
        <v>290577.04072222218</v>
      </c>
      <c r="N17" s="139">
        <f t="shared" si="4"/>
        <v>218077.04072222218</v>
      </c>
      <c r="O17" s="139">
        <f t="shared" si="4"/>
        <v>218077.04072222218</v>
      </c>
      <c r="P17" s="139">
        <f t="shared" si="4"/>
        <v>218077.04072222218</v>
      </c>
      <c r="Q17" s="139">
        <f t="shared" si="4"/>
        <v>218077.04072222218</v>
      </c>
      <c r="R17" s="139">
        <f t="shared" si="4"/>
        <v>1380962.2443333331</v>
      </c>
      <c r="S17" s="193">
        <f t="shared" si="0"/>
        <v>2705657.8219999992</v>
      </c>
    </row>
    <row r="18" spans="1:19" s="45" customFormat="1" x14ac:dyDescent="0.2">
      <c r="A18" s="16"/>
      <c r="B18" s="108"/>
      <c r="C18" s="140"/>
      <c r="D18" s="77"/>
      <c r="E18" s="141"/>
      <c r="F18" s="141"/>
      <c r="G18" s="141"/>
      <c r="H18" s="141"/>
      <c r="I18" s="141"/>
      <c r="J18" s="61"/>
      <c r="K18" s="141"/>
      <c r="L18" s="141"/>
      <c r="M18" s="141"/>
      <c r="N18" s="141"/>
      <c r="O18" s="141"/>
      <c r="P18" s="141"/>
      <c r="Q18" s="141"/>
      <c r="R18" s="61"/>
    </row>
    <row r="19" spans="1:19" x14ac:dyDescent="0.2">
      <c r="A19" s="10" t="s">
        <v>53</v>
      </c>
      <c r="B19" s="108"/>
      <c r="C19" s="142"/>
      <c r="D19" s="119"/>
      <c r="E19" s="61"/>
      <c r="F19" s="61"/>
      <c r="G19" s="61"/>
      <c r="H19" s="61"/>
      <c r="I19" s="61"/>
      <c r="J19" s="61"/>
      <c r="K19" s="141"/>
      <c r="L19" s="61"/>
      <c r="M19" s="61"/>
      <c r="N19" s="61"/>
      <c r="O19" s="61"/>
      <c r="P19" s="61"/>
      <c r="Q19" s="61"/>
      <c r="R19" s="10"/>
    </row>
    <row r="20" spans="1:19" x14ac:dyDescent="0.2">
      <c r="A20" s="12" t="s">
        <v>73</v>
      </c>
      <c r="B20" s="108"/>
      <c r="C20" s="142"/>
      <c r="D20" s="119"/>
      <c r="E20" s="61"/>
      <c r="F20" s="61"/>
      <c r="G20" s="61"/>
      <c r="H20" s="61"/>
      <c r="I20" s="61"/>
      <c r="J20" s="61"/>
      <c r="K20" s="141"/>
      <c r="L20" s="61"/>
      <c r="M20" s="61"/>
      <c r="N20" s="61"/>
      <c r="O20" s="61"/>
      <c r="P20" s="61"/>
      <c r="Q20" s="61"/>
      <c r="R20" s="10"/>
    </row>
    <row r="21" spans="1:19" x14ac:dyDescent="0.2">
      <c r="A21" s="77" t="s">
        <v>69</v>
      </c>
      <c r="B21" s="108"/>
      <c r="C21" s="138">
        <v>65000</v>
      </c>
      <c r="D21" s="138">
        <f>'Staffing Year 6'!$F$25/12</f>
        <v>86893.333333333328</v>
      </c>
      <c r="E21" s="138">
        <f>'Staffing Year 6'!$F$25/12</f>
        <v>86893.333333333328</v>
      </c>
      <c r="F21" s="138">
        <f>'Staffing Year 6'!$F$25/12</f>
        <v>86893.333333333328</v>
      </c>
      <c r="G21" s="138">
        <f>'Staffing Year 6'!$F$25/12</f>
        <v>86893.333333333328</v>
      </c>
      <c r="H21" s="138">
        <f>'Staffing Year 6'!$F$25/12</f>
        <v>86893.333333333328</v>
      </c>
      <c r="I21" s="138">
        <f>'Staffing Year 6'!$F$25/12</f>
        <v>86893.333333333328</v>
      </c>
      <c r="J21" s="164">
        <f t="shared" ref="J21:J27" si="5">SUM(C21:I21)</f>
        <v>586359.99999999988</v>
      </c>
      <c r="K21" s="166"/>
      <c r="L21" s="138">
        <f>'Staffing Year 6'!$F$25/12</f>
        <v>86893.333333333328</v>
      </c>
      <c r="M21" s="138">
        <f>'Staffing Year 6'!$F$25/12</f>
        <v>86893.333333333328</v>
      </c>
      <c r="N21" s="138">
        <f>'Staffing Year 6'!$F$25/12</f>
        <v>86893.333333333328</v>
      </c>
      <c r="O21" s="138">
        <f>'Staffing Year 6'!$F$25/12</f>
        <v>86893.333333333328</v>
      </c>
      <c r="P21" s="138">
        <f>'Staffing Year 6'!$F$25/12</f>
        <v>86893.333333333328</v>
      </c>
      <c r="Q21" s="138">
        <f>'Staffing Year 6'!$F$25/12</f>
        <v>86893.333333333328</v>
      </c>
      <c r="R21" s="159">
        <f t="shared" ref="R21:R27" si="6">SUM(L21:Q21)</f>
        <v>521359.99999999994</v>
      </c>
      <c r="S21" s="193">
        <f t="shared" ref="S21:S84" si="7">SUM(L21:Q21,D21:I21)</f>
        <v>1042720.0000000001</v>
      </c>
    </row>
    <row r="22" spans="1:19" x14ac:dyDescent="0.2">
      <c r="A22" s="14" t="s">
        <v>70</v>
      </c>
      <c r="B22" s="108"/>
      <c r="C22" s="138">
        <v>0</v>
      </c>
      <c r="D22" s="138">
        <f>'YEAR 6'!B39-5000</f>
        <v>20000</v>
      </c>
      <c r="E22" s="138">
        <v>0</v>
      </c>
      <c r="F22" s="138">
        <v>1000</v>
      </c>
      <c r="G22" s="138">
        <v>0</v>
      </c>
      <c r="H22" s="138">
        <v>1000</v>
      </c>
      <c r="I22" s="138">
        <v>0</v>
      </c>
      <c r="J22" s="164">
        <f t="shared" si="5"/>
        <v>22000</v>
      </c>
      <c r="K22" s="166"/>
      <c r="L22" s="138">
        <v>1000</v>
      </c>
      <c r="M22" s="138">
        <v>0</v>
      </c>
      <c r="N22" s="138">
        <v>1000</v>
      </c>
      <c r="O22" s="138">
        <v>0</v>
      </c>
      <c r="P22" s="138">
        <v>1000</v>
      </c>
      <c r="Q22" s="138">
        <v>0</v>
      </c>
      <c r="R22" s="159">
        <f t="shared" si="6"/>
        <v>3000</v>
      </c>
      <c r="S22" s="193">
        <f t="shared" si="7"/>
        <v>25000</v>
      </c>
    </row>
    <row r="23" spans="1:19" x14ac:dyDescent="0.2">
      <c r="A23" s="7" t="str">
        <f>'YEAR 6'!A38</f>
        <v>Substitute Teachers</v>
      </c>
      <c r="B23" s="108"/>
      <c r="C23" s="138">
        <v>0</v>
      </c>
      <c r="D23" s="138">
        <v>0</v>
      </c>
      <c r="E23" s="138">
        <f>'YEAR 6'!$B$38/9</f>
        <v>444.44444444444446</v>
      </c>
      <c r="F23" s="138">
        <f>'YEAR 6'!$B$38/9</f>
        <v>444.44444444444446</v>
      </c>
      <c r="G23" s="138">
        <f>'YEAR 6'!$B$38/9</f>
        <v>444.44444444444446</v>
      </c>
      <c r="H23" s="138">
        <f>'YEAR 6'!$B$38/9</f>
        <v>444.44444444444446</v>
      </c>
      <c r="I23" s="138">
        <f>'YEAR 6'!$B$38/9</f>
        <v>444.44444444444446</v>
      </c>
      <c r="J23" s="164">
        <f t="shared" si="5"/>
        <v>2222.2222222222222</v>
      </c>
      <c r="K23" s="166"/>
      <c r="L23" s="138">
        <f>'YEAR 6'!$B$38/9</f>
        <v>444.44444444444446</v>
      </c>
      <c r="M23" s="138">
        <f>'YEAR 6'!$B$38/9</f>
        <v>444.44444444444446</v>
      </c>
      <c r="N23" s="138">
        <f>'YEAR 6'!$B$38/9</f>
        <v>444.44444444444446</v>
      </c>
      <c r="O23" s="138">
        <f>'YEAR 6'!$B$38/9</f>
        <v>444.44444444444446</v>
      </c>
      <c r="P23" s="138">
        <v>0</v>
      </c>
      <c r="Q23" s="138">
        <v>0</v>
      </c>
      <c r="R23" s="159">
        <f t="shared" si="6"/>
        <v>1777.7777777777778</v>
      </c>
      <c r="S23" s="193">
        <f t="shared" si="7"/>
        <v>3999.9999999999995</v>
      </c>
    </row>
    <row r="24" spans="1:19" x14ac:dyDescent="0.2">
      <c r="A24" s="7" t="str">
        <f>'YEAR 6'!A41</f>
        <v>Other (DVA contract)</v>
      </c>
      <c r="B24" s="108"/>
      <c r="C24" s="138">
        <f>'YEAR 6'!$B$41/12</f>
        <v>4166.666666666667</v>
      </c>
      <c r="D24" s="138">
        <f>'YEAR 6'!$B$41/12</f>
        <v>4166.666666666667</v>
      </c>
      <c r="E24" s="138">
        <f>'YEAR 6'!$B$41/12</f>
        <v>4166.666666666667</v>
      </c>
      <c r="F24" s="138">
        <f>'YEAR 6'!$B$41/12</f>
        <v>4166.666666666667</v>
      </c>
      <c r="G24" s="138">
        <f>'YEAR 6'!$B$41/12</f>
        <v>4166.666666666667</v>
      </c>
      <c r="H24" s="138">
        <f>'YEAR 6'!$B$41/12</f>
        <v>4166.666666666667</v>
      </c>
      <c r="I24" s="138">
        <f>'YEAR 6'!$B$41/12</f>
        <v>4166.666666666667</v>
      </c>
      <c r="J24" s="164">
        <f t="shared" si="5"/>
        <v>29166.666666666672</v>
      </c>
      <c r="K24" s="166"/>
      <c r="L24" s="138">
        <f>'YEAR 6'!$B$41/12</f>
        <v>4166.666666666667</v>
      </c>
      <c r="M24" s="138">
        <f>'YEAR 6'!$B$41/12</f>
        <v>4166.666666666667</v>
      </c>
      <c r="N24" s="138">
        <f>'YEAR 6'!$B$41/12</f>
        <v>4166.666666666667</v>
      </c>
      <c r="O24" s="138">
        <f>'YEAR 6'!$B$41/12</f>
        <v>4166.666666666667</v>
      </c>
      <c r="P24" s="138">
        <f>'YEAR 6'!$B$41/12</f>
        <v>4166.666666666667</v>
      </c>
      <c r="Q24" s="138">
        <f>'YEAR 6'!$B$41/12</f>
        <v>4166.666666666667</v>
      </c>
      <c r="R24" s="159">
        <f t="shared" si="6"/>
        <v>25000.000000000004</v>
      </c>
      <c r="S24" s="193">
        <f t="shared" si="7"/>
        <v>49999.999999999993</v>
      </c>
    </row>
    <row r="25" spans="1:19" x14ac:dyDescent="0.2">
      <c r="A25" s="7" t="str">
        <f>'YEAR 6'!A42</f>
        <v>Other (Risk Aware)</v>
      </c>
      <c r="B25" s="108"/>
      <c r="C25" s="138">
        <v>0</v>
      </c>
      <c r="D25" s="138">
        <f>'YEAR 6'!B42</f>
        <v>1050</v>
      </c>
      <c r="E25" s="138">
        <v>0</v>
      </c>
      <c r="F25" s="138">
        <v>0</v>
      </c>
      <c r="G25" s="138">
        <v>0</v>
      </c>
      <c r="H25" s="138">
        <v>0</v>
      </c>
      <c r="I25" s="138">
        <v>0</v>
      </c>
      <c r="J25" s="164">
        <f t="shared" si="5"/>
        <v>1050</v>
      </c>
      <c r="K25" s="166"/>
      <c r="L25" s="138">
        <v>0</v>
      </c>
      <c r="M25" s="138">
        <v>0</v>
      </c>
      <c r="N25" s="138">
        <v>0</v>
      </c>
      <c r="O25" s="138">
        <v>0</v>
      </c>
      <c r="P25" s="138">
        <v>0</v>
      </c>
      <c r="Q25" s="138">
        <v>0</v>
      </c>
      <c r="R25" s="159">
        <f t="shared" si="6"/>
        <v>0</v>
      </c>
      <c r="S25" s="193">
        <f t="shared" si="7"/>
        <v>1050</v>
      </c>
    </row>
    <row r="26" spans="1:19" x14ac:dyDescent="0.2">
      <c r="A26" s="7" t="s">
        <v>48</v>
      </c>
      <c r="B26" s="108"/>
      <c r="C26" s="138">
        <v>0</v>
      </c>
      <c r="D26" s="138">
        <v>0</v>
      </c>
      <c r="E26" s="138">
        <v>0</v>
      </c>
      <c r="F26" s="138">
        <v>0</v>
      </c>
      <c r="G26" s="138">
        <v>0</v>
      </c>
      <c r="H26" s="138">
        <v>0</v>
      </c>
      <c r="I26" s="138">
        <v>0</v>
      </c>
      <c r="J26" s="164">
        <f t="shared" si="5"/>
        <v>0</v>
      </c>
      <c r="K26" s="166"/>
      <c r="L26" s="138">
        <v>0</v>
      </c>
      <c r="M26" s="138">
        <v>0</v>
      </c>
      <c r="N26" s="138">
        <v>0</v>
      </c>
      <c r="O26" s="138">
        <v>0</v>
      </c>
      <c r="P26" s="138">
        <v>0</v>
      </c>
      <c r="Q26" s="138">
        <v>0</v>
      </c>
      <c r="R26" s="159">
        <f t="shared" si="6"/>
        <v>0</v>
      </c>
      <c r="S26" s="193">
        <f t="shared" si="7"/>
        <v>0</v>
      </c>
    </row>
    <row r="27" spans="1:19" x14ac:dyDescent="0.2">
      <c r="A27" s="7" t="s">
        <v>48</v>
      </c>
      <c r="B27" s="108"/>
      <c r="C27" s="138">
        <v>0</v>
      </c>
      <c r="D27" s="138">
        <v>0</v>
      </c>
      <c r="E27" s="138">
        <v>0</v>
      </c>
      <c r="F27" s="138">
        <v>0</v>
      </c>
      <c r="G27" s="138">
        <v>0</v>
      </c>
      <c r="H27" s="138">
        <v>0</v>
      </c>
      <c r="I27" s="138">
        <v>0</v>
      </c>
      <c r="J27" s="164">
        <f t="shared" si="5"/>
        <v>0</v>
      </c>
      <c r="K27" s="166"/>
      <c r="L27" s="138">
        <v>0</v>
      </c>
      <c r="M27" s="138">
        <v>0</v>
      </c>
      <c r="N27" s="138">
        <v>0</v>
      </c>
      <c r="O27" s="138">
        <v>0</v>
      </c>
      <c r="P27" s="138">
        <v>0</v>
      </c>
      <c r="Q27" s="138">
        <v>0</v>
      </c>
      <c r="R27" s="159">
        <f t="shared" si="6"/>
        <v>0</v>
      </c>
      <c r="S27" s="193">
        <f t="shared" si="7"/>
        <v>0</v>
      </c>
    </row>
    <row r="28" spans="1:19" s="43" customFormat="1" x14ac:dyDescent="0.2">
      <c r="A28" s="20" t="s">
        <v>72</v>
      </c>
      <c r="B28" s="108"/>
      <c r="C28" s="143">
        <f>SUM(C21:C27)</f>
        <v>69166.666666666672</v>
      </c>
      <c r="D28" s="143">
        <f t="shared" ref="D28:R28" si="8">SUM(D21:D27)</f>
        <v>112110</v>
      </c>
      <c r="E28" s="143">
        <f t="shared" si="8"/>
        <v>91504.444444444438</v>
      </c>
      <c r="F28" s="143">
        <f t="shared" si="8"/>
        <v>92504.444444444438</v>
      </c>
      <c r="G28" s="143">
        <f t="shared" si="8"/>
        <v>91504.444444444438</v>
      </c>
      <c r="H28" s="143">
        <f t="shared" si="8"/>
        <v>92504.444444444438</v>
      </c>
      <c r="I28" s="143">
        <f t="shared" si="8"/>
        <v>91504.444444444438</v>
      </c>
      <c r="J28" s="143">
        <f t="shared" si="8"/>
        <v>640798.88888888876</v>
      </c>
      <c r="K28" s="168"/>
      <c r="L28" s="143">
        <f t="shared" si="8"/>
        <v>92504.444444444438</v>
      </c>
      <c r="M28" s="143">
        <f t="shared" si="8"/>
        <v>91504.444444444438</v>
      </c>
      <c r="N28" s="143">
        <f t="shared" si="8"/>
        <v>92504.444444444438</v>
      </c>
      <c r="O28" s="143">
        <f t="shared" si="8"/>
        <v>91504.444444444438</v>
      </c>
      <c r="P28" s="143">
        <f t="shared" si="8"/>
        <v>92060</v>
      </c>
      <c r="Q28" s="143">
        <f t="shared" si="8"/>
        <v>91060</v>
      </c>
      <c r="R28" s="143">
        <f t="shared" si="8"/>
        <v>551137.77777777775</v>
      </c>
      <c r="S28" s="193">
        <f t="shared" si="7"/>
        <v>1122770.0000000002</v>
      </c>
    </row>
    <row r="29" spans="1:19" s="85" customFormat="1" x14ac:dyDescent="0.2">
      <c r="A29" s="61"/>
      <c r="B29" s="108"/>
      <c r="C29" s="142"/>
      <c r="D29" s="119"/>
      <c r="E29" s="61"/>
      <c r="F29" s="61"/>
      <c r="G29" s="61"/>
      <c r="H29" s="61"/>
      <c r="I29" s="61"/>
      <c r="J29" s="61"/>
      <c r="K29" s="141"/>
      <c r="L29" s="61"/>
      <c r="M29" s="61"/>
      <c r="N29" s="61"/>
      <c r="O29" s="61"/>
      <c r="P29" s="61"/>
      <c r="Q29" s="61"/>
      <c r="R29" s="10"/>
      <c r="S29" s="193">
        <f t="shared" si="7"/>
        <v>0</v>
      </c>
    </row>
    <row r="30" spans="1:19" x14ac:dyDescent="0.2">
      <c r="A30" s="15" t="s">
        <v>74</v>
      </c>
      <c r="B30" s="108"/>
      <c r="C30" s="144"/>
      <c r="D30" s="119"/>
      <c r="E30" s="61"/>
      <c r="F30" s="61"/>
      <c r="G30" s="61"/>
      <c r="H30" s="61"/>
      <c r="I30" s="61"/>
      <c r="J30" s="61"/>
      <c r="K30" s="141"/>
      <c r="L30" s="61"/>
      <c r="M30" s="61"/>
      <c r="N30" s="61"/>
      <c r="O30" s="61"/>
      <c r="P30" s="61"/>
      <c r="Q30" s="61"/>
      <c r="R30" s="10"/>
      <c r="S30" s="193">
        <f t="shared" si="7"/>
        <v>0</v>
      </c>
    </row>
    <row r="31" spans="1:19" s="45" customFormat="1" x14ac:dyDescent="0.2">
      <c r="A31" s="77" t="s">
        <v>7</v>
      </c>
      <c r="B31" s="108"/>
      <c r="C31" s="138">
        <v>0</v>
      </c>
      <c r="D31" s="138">
        <v>0</v>
      </c>
      <c r="E31" s="138">
        <f>'YEAR 6'!B49</f>
        <v>2000</v>
      </c>
      <c r="F31" s="138">
        <v>0</v>
      </c>
      <c r="G31" s="138">
        <v>0</v>
      </c>
      <c r="H31" s="138">
        <v>0</v>
      </c>
      <c r="I31" s="138">
        <v>0</v>
      </c>
      <c r="J31" s="164">
        <f t="shared" ref="J31:J44" si="9">SUM(C31:I31)</f>
        <v>2000</v>
      </c>
      <c r="K31" s="166"/>
      <c r="L31" s="138">
        <v>0</v>
      </c>
      <c r="M31" s="138">
        <v>0</v>
      </c>
      <c r="N31" s="138">
        <v>0</v>
      </c>
      <c r="O31" s="138">
        <v>0</v>
      </c>
      <c r="P31" s="138">
        <v>0</v>
      </c>
      <c r="Q31" s="138">
        <v>0</v>
      </c>
      <c r="R31" s="159">
        <f t="shared" ref="R31:R44" si="10">SUM(L31:Q31)</f>
        <v>0</v>
      </c>
      <c r="S31" s="193">
        <f t="shared" si="7"/>
        <v>2000</v>
      </c>
    </row>
    <row r="32" spans="1:19" s="45" customFormat="1" x14ac:dyDescent="0.2">
      <c r="A32" s="77" t="s">
        <v>8</v>
      </c>
      <c r="B32" s="108"/>
      <c r="C32" s="138">
        <v>0</v>
      </c>
      <c r="D32" s="138">
        <v>0</v>
      </c>
      <c r="E32" s="138">
        <f>'YEAR 6'!B50</f>
        <v>0</v>
      </c>
      <c r="F32" s="138">
        <v>0</v>
      </c>
      <c r="G32" s="138">
        <v>0</v>
      </c>
      <c r="H32" s="138">
        <v>0</v>
      </c>
      <c r="I32" s="138">
        <v>0</v>
      </c>
      <c r="J32" s="164">
        <f t="shared" si="9"/>
        <v>0</v>
      </c>
      <c r="K32" s="166"/>
      <c r="L32" s="138">
        <v>0</v>
      </c>
      <c r="M32" s="138">
        <v>0</v>
      </c>
      <c r="N32" s="138">
        <v>0</v>
      </c>
      <c r="O32" s="138">
        <v>0</v>
      </c>
      <c r="P32" s="138">
        <v>0</v>
      </c>
      <c r="Q32" s="138">
        <v>0</v>
      </c>
      <c r="R32" s="159">
        <f t="shared" si="10"/>
        <v>0</v>
      </c>
      <c r="S32" s="193">
        <f t="shared" si="7"/>
        <v>0</v>
      </c>
    </row>
    <row r="33" spans="1:19" s="45" customFormat="1" x14ac:dyDescent="0.2">
      <c r="A33" s="77" t="s">
        <v>9</v>
      </c>
      <c r="B33" s="108"/>
      <c r="C33" s="138">
        <v>0</v>
      </c>
      <c r="D33" s="138">
        <v>0</v>
      </c>
      <c r="E33" s="138">
        <f>'YEAR 6'!B51</f>
        <v>18700</v>
      </c>
      <c r="F33" s="138">
        <v>0</v>
      </c>
      <c r="G33" s="138">
        <v>0</v>
      </c>
      <c r="H33" s="138">
        <v>0</v>
      </c>
      <c r="I33" s="138">
        <v>0</v>
      </c>
      <c r="J33" s="164">
        <f t="shared" si="9"/>
        <v>18700</v>
      </c>
      <c r="K33" s="166"/>
      <c r="L33" s="138">
        <v>0</v>
      </c>
      <c r="M33" s="138">
        <v>0</v>
      </c>
      <c r="N33" s="138">
        <v>0</v>
      </c>
      <c r="O33" s="138">
        <v>0</v>
      </c>
      <c r="P33" s="138">
        <v>0</v>
      </c>
      <c r="Q33" s="138">
        <v>0</v>
      </c>
      <c r="R33" s="159">
        <f t="shared" si="10"/>
        <v>0</v>
      </c>
      <c r="S33" s="193">
        <f t="shared" si="7"/>
        <v>18700</v>
      </c>
    </row>
    <row r="34" spans="1:19" x14ac:dyDescent="0.2">
      <c r="A34" s="7" t="s">
        <v>10</v>
      </c>
      <c r="B34" s="108"/>
      <c r="C34" s="138">
        <v>0</v>
      </c>
      <c r="D34" s="138">
        <v>0</v>
      </c>
      <c r="E34" s="138">
        <f>'YEAR 6'!B52</f>
        <v>7125</v>
      </c>
      <c r="F34" s="138">
        <v>0</v>
      </c>
      <c r="G34" s="138">
        <v>0</v>
      </c>
      <c r="H34" s="138">
        <v>0</v>
      </c>
      <c r="I34" s="138">
        <v>0</v>
      </c>
      <c r="J34" s="164">
        <f t="shared" si="9"/>
        <v>7125</v>
      </c>
      <c r="K34" s="166"/>
      <c r="L34" s="138">
        <v>0</v>
      </c>
      <c r="M34" s="138">
        <v>0</v>
      </c>
      <c r="N34" s="138">
        <v>0</v>
      </c>
      <c r="O34" s="138">
        <v>0</v>
      </c>
      <c r="P34" s="138">
        <v>0</v>
      </c>
      <c r="Q34" s="138">
        <v>0</v>
      </c>
      <c r="R34" s="159">
        <f t="shared" si="10"/>
        <v>0</v>
      </c>
      <c r="S34" s="193">
        <f t="shared" si="7"/>
        <v>7125</v>
      </c>
    </row>
    <row r="35" spans="1:19" x14ac:dyDescent="0.2">
      <c r="A35" s="7" t="s">
        <v>11</v>
      </c>
      <c r="B35" s="108"/>
      <c r="C35" s="138">
        <v>0</v>
      </c>
      <c r="D35" s="138">
        <v>0</v>
      </c>
      <c r="E35" s="138">
        <f>'YEAR 6'!B53</f>
        <v>82650</v>
      </c>
      <c r="F35" s="138">
        <v>0</v>
      </c>
      <c r="G35" s="138">
        <v>0</v>
      </c>
      <c r="H35" s="138">
        <v>0</v>
      </c>
      <c r="I35" s="138">
        <v>0</v>
      </c>
      <c r="J35" s="164">
        <f t="shared" si="9"/>
        <v>82650</v>
      </c>
      <c r="K35" s="166"/>
      <c r="L35" s="138">
        <v>0</v>
      </c>
      <c r="M35" s="138">
        <v>0</v>
      </c>
      <c r="N35" s="138">
        <v>0</v>
      </c>
      <c r="O35" s="138">
        <v>0</v>
      </c>
      <c r="P35" s="138">
        <v>0</v>
      </c>
      <c r="Q35" s="138">
        <v>0</v>
      </c>
      <c r="R35" s="159">
        <f t="shared" si="10"/>
        <v>0</v>
      </c>
      <c r="S35" s="193">
        <f t="shared" si="7"/>
        <v>82650</v>
      </c>
    </row>
    <row r="36" spans="1:19" x14ac:dyDescent="0.2">
      <c r="A36" s="7" t="s">
        <v>12</v>
      </c>
      <c r="B36" s="108"/>
      <c r="C36" s="138">
        <v>0</v>
      </c>
      <c r="D36" s="138">
        <v>0</v>
      </c>
      <c r="E36" s="138">
        <f>'YEAR 6'!$B$54</f>
        <v>50000</v>
      </c>
      <c r="F36" s="138">
        <v>0</v>
      </c>
      <c r="G36" s="138">
        <v>0</v>
      </c>
      <c r="H36" s="138">
        <v>0</v>
      </c>
      <c r="I36" s="138">
        <v>0</v>
      </c>
      <c r="J36" s="164">
        <f t="shared" si="9"/>
        <v>50000</v>
      </c>
      <c r="K36" s="166"/>
      <c r="L36" s="138">
        <v>0</v>
      </c>
      <c r="M36" s="138">
        <v>0</v>
      </c>
      <c r="N36" s="138">
        <v>0</v>
      </c>
      <c r="O36" s="138">
        <v>0</v>
      </c>
      <c r="P36" s="138">
        <v>0</v>
      </c>
      <c r="Q36" s="138">
        <v>0</v>
      </c>
      <c r="R36" s="159">
        <f t="shared" si="10"/>
        <v>0</v>
      </c>
      <c r="S36" s="193">
        <f t="shared" si="7"/>
        <v>50000</v>
      </c>
    </row>
    <row r="37" spans="1:19" x14ac:dyDescent="0.2">
      <c r="A37" s="7" t="s">
        <v>45</v>
      </c>
      <c r="B37" s="108"/>
      <c r="C37" s="138">
        <v>0</v>
      </c>
      <c r="D37" s="138">
        <v>0</v>
      </c>
      <c r="E37" s="138">
        <f>'YEAR 6'!B55-(SUM(F37:I37,L37:Q37))</f>
        <v>22000</v>
      </c>
      <c r="F37" s="138">
        <v>1000</v>
      </c>
      <c r="G37" s="138">
        <v>1000</v>
      </c>
      <c r="H37" s="138">
        <v>1000</v>
      </c>
      <c r="I37" s="138">
        <v>1000</v>
      </c>
      <c r="J37" s="164">
        <f t="shared" si="9"/>
        <v>26000</v>
      </c>
      <c r="K37" s="166"/>
      <c r="L37" s="138">
        <v>1000</v>
      </c>
      <c r="M37" s="138">
        <v>1000</v>
      </c>
      <c r="N37" s="138">
        <v>1000</v>
      </c>
      <c r="O37" s="138">
        <v>1000</v>
      </c>
      <c r="P37" s="138">
        <v>1000</v>
      </c>
      <c r="Q37" s="138">
        <v>0</v>
      </c>
      <c r="R37" s="159">
        <f t="shared" si="10"/>
        <v>5000</v>
      </c>
      <c r="S37" s="193">
        <f t="shared" si="7"/>
        <v>31000</v>
      </c>
    </row>
    <row r="38" spans="1:19" x14ac:dyDescent="0.2">
      <c r="A38" s="80" t="s">
        <v>13</v>
      </c>
      <c r="B38" s="108"/>
      <c r="C38" s="138">
        <v>0</v>
      </c>
      <c r="D38" s="138">
        <v>0</v>
      </c>
      <c r="E38" s="138">
        <f>'YEAR 6'!$B$56/9</f>
        <v>555.55555555555554</v>
      </c>
      <c r="F38" s="138">
        <f>'YEAR 6'!$B$56/9</f>
        <v>555.55555555555554</v>
      </c>
      <c r="G38" s="138">
        <f>'YEAR 6'!$B$56/9</f>
        <v>555.55555555555554</v>
      </c>
      <c r="H38" s="138">
        <f>'YEAR 6'!$B$56/9</f>
        <v>555.55555555555554</v>
      </c>
      <c r="I38" s="138">
        <f>'YEAR 6'!$B$56/9</f>
        <v>555.55555555555554</v>
      </c>
      <c r="J38" s="164">
        <f t="shared" si="9"/>
        <v>2777.7777777777778</v>
      </c>
      <c r="K38" s="166"/>
      <c r="L38" s="138">
        <f>'YEAR 6'!$B$56/9</f>
        <v>555.55555555555554</v>
      </c>
      <c r="M38" s="138">
        <f>'YEAR 6'!$B$56/9</f>
        <v>555.55555555555554</v>
      </c>
      <c r="N38" s="138">
        <f>'YEAR 6'!$B$56/9</f>
        <v>555.55555555555554</v>
      </c>
      <c r="O38" s="138">
        <f>'YEAR 6'!$B$56/9</f>
        <v>555.55555555555554</v>
      </c>
      <c r="P38" s="138">
        <v>0</v>
      </c>
      <c r="Q38" s="138">
        <v>0</v>
      </c>
      <c r="R38" s="159">
        <f t="shared" si="10"/>
        <v>2222.2222222222222</v>
      </c>
      <c r="S38" s="193">
        <f t="shared" si="7"/>
        <v>5000</v>
      </c>
    </row>
    <row r="39" spans="1:19" x14ac:dyDescent="0.2">
      <c r="A39" s="14" t="s">
        <v>62</v>
      </c>
      <c r="B39" s="108"/>
      <c r="C39" s="138">
        <v>0</v>
      </c>
      <c r="D39" s="138">
        <v>0</v>
      </c>
      <c r="E39" s="138">
        <f>'YEAR 6'!$B$57/2</f>
        <v>3000</v>
      </c>
      <c r="F39" s="138">
        <v>0</v>
      </c>
      <c r="G39" s="138">
        <v>0</v>
      </c>
      <c r="H39" s="138">
        <v>0</v>
      </c>
      <c r="I39" s="138">
        <v>0</v>
      </c>
      <c r="J39" s="164">
        <f t="shared" si="9"/>
        <v>3000</v>
      </c>
      <c r="K39" s="166"/>
      <c r="L39" s="138">
        <f>'YEAR 6'!$B$57/2</f>
        <v>3000</v>
      </c>
      <c r="M39" s="138">
        <v>0</v>
      </c>
      <c r="N39" s="138">
        <v>0</v>
      </c>
      <c r="O39" s="138">
        <v>0</v>
      </c>
      <c r="P39" s="138">
        <v>0</v>
      </c>
      <c r="Q39" s="138">
        <v>0</v>
      </c>
      <c r="R39" s="159">
        <f t="shared" si="10"/>
        <v>3000</v>
      </c>
      <c r="S39" s="193">
        <f t="shared" si="7"/>
        <v>6000</v>
      </c>
    </row>
    <row r="40" spans="1:19" x14ac:dyDescent="0.2">
      <c r="A40" s="7" t="str">
        <f>'YEAR 6'!A58</f>
        <v>Other (misc expenses)</v>
      </c>
      <c r="B40" s="108"/>
      <c r="C40" s="138">
        <v>0</v>
      </c>
      <c r="D40" s="138">
        <f>'YEAR 6'!$B$58/12</f>
        <v>375</v>
      </c>
      <c r="E40" s="138">
        <f>'YEAR 6'!$B$58/12</f>
        <v>375</v>
      </c>
      <c r="F40" s="138">
        <f>'YEAR 6'!$B$58/12</f>
        <v>375</v>
      </c>
      <c r="G40" s="138">
        <f>'YEAR 6'!$B$58/12</f>
        <v>375</v>
      </c>
      <c r="H40" s="138">
        <f>'YEAR 6'!$B$58/12</f>
        <v>375</v>
      </c>
      <c r="I40" s="138">
        <f>'YEAR 6'!$B$58/12</f>
        <v>375</v>
      </c>
      <c r="J40" s="164">
        <f t="shared" si="9"/>
        <v>2250</v>
      </c>
      <c r="K40" s="166"/>
      <c r="L40" s="138">
        <f>'YEAR 6'!$B$58/12</f>
        <v>375</v>
      </c>
      <c r="M40" s="138">
        <f>'YEAR 6'!$B$58/12</f>
        <v>375</v>
      </c>
      <c r="N40" s="138">
        <f>'YEAR 6'!$B$58/12</f>
        <v>375</v>
      </c>
      <c r="O40" s="138">
        <f>'YEAR 6'!$B$58/12</f>
        <v>375</v>
      </c>
      <c r="P40" s="138">
        <f>'YEAR 6'!$B$58/12</f>
        <v>375</v>
      </c>
      <c r="Q40" s="138">
        <f>'YEAR 6'!$B$58/12</f>
        <v>375</v>
      </c>
      <c r="R40" s="159">
        <f t="shared" si="10"/>
        <v>2250</v>
      </c>
      <c r="S40" s="193">
        <f t="shared" si="7"/>
        <v>4500</v>
      </c>
    </row>
    <row r="41" spans="1:19" x14ac:dyDescent="0.2">
      <c r="A41" s="7" t="str">
        <f>'YEAR 6'!A59</f>
        <v>Other (additional SPED support/services)</v>
      </c>
      <c r="B41" s="108"/>
      <c r="C41" s="138">
        <v>0</v>
      </c>
      <c r="D41" s="138">
        <v>0</v>
      </c>
      <c r="E41" s="138">
        <f>'YEAR 6'!$B$59/10</f>
        <v>2500</v>
      </c>
      <c r="F41" s="138">
        <f>'YEAR 6'!$B$59/10</f>
        <v>2500</v>
      </c>
      <c r="G41" s="138">
        <f>'YEAR 6'!$B$59/10</f>
        <v>2500</v>
      </c>
      <c r="H41" s="138">
        <f>'YEAR 6'!$B$59/10</f>
        <v>2500</v>
      </c>
      <c r="I41" s="138">
        <f>'YEAR 6'!$B$59/10</f>
        <v>2500</v>
      </c>
      <c r="J41" s="164">
        <f t="shared" si="9"/>
        <v>12500</v>
      </c>
      <c r="K41" s="166"/>
      <c r="L41" s="138">
        <f>'YEAR 6'!$B$59/10</f>
        <v>2500</v>
      </c>
      <c r="M41" s="138">
        <f>'YEAR 6'!$B$59/10</f>
        <v>2500</v>
      </c>
      <c r="N41" s="138">
        <f>'YEAR 6'!$B$59/10</f>
        <v>2500</v>
      </c>
      <c r="O41" s="138">
        <f>'YEAR 6'!$B$59/10</f>
        <v>2500</v>
      </c>
      <c r="P41" s="138">
        <f>'YEAR 6'!$B$59/10</f>
        <v>2500</v>
      </c>
      <c r="Q41" s="138">
        <v>0</v>
      </c>
      <c r="R41" s="159">
        <f t="shared" si="10"/>
        <v>12500</v>
      </c>
      <c r="S41" s="193">
        <f t="shared" si="7"/>
        <v>25000</v>
      </c>
    </row>
    <row r="42" spans="1:19" x14ac:dyDescent="0.2">
      <c r="A42" s="7" t="str">
        <f>'YEAR 6'!A60</f>
        <v>Other (elective, dual credit classes)</v>
      </c>
      <c r="B42" s="108"/>
      <c r="C42" s="138">
        <v>0</v>
      </c>
      <c r="D42" s="138">
        <v>0</v>
      </c>
      <c r="E42" s="138">
        <f>'YEAR 6'!$B$60/2</f>
        <v>5250</v>
      </c>
      <c r="F42" s="138">
        <v>0</v>
      </c>
      <c r="G42" s="138">
        <v>0</v>
      </c>
      <c r="H42" s="138">
        <v>0</v>
      </c>
      <c r="I42" s="138">
        <v>0</v>
      </c>
      <c r="J42" s="164">
        <f t="shared" si="9"/>
        <v>5250</v>
      </c>
      <c r="K42" s="166"/>
      <c r="L42" s="138">
        <f>'YEAR 6'!$B$60/2</f>
        <v>5250</v>
      </c>
      <c r="M42" s="138">
        <v>0</v>
      </c>
      <c r="N42" s="138">
        <v>0</v>
      </c>
      <c r="O42" s="138">
        <v>0</v>
      </c>
      <c r="P42" s="138">
        <v>0</v>
      </c>
      <c r="Q42" s="138">
        <v>0</v>
      </c>
      <c r="R42" s="159">
        <f t="shared" si="10"/>
        <v>5250</v>
      </c>
      <c r="S42" s="193">
        <f t="shared" si="7"/>
        <v>10500</v>
      </c>
    </row>
    <row r="43" spans="1:19" x14ac:dyDescent="0.2">
      <c r="A43" s="7" t="str">
        <f>'YEAR 6'!A61</f>
        <v>Other (please describe)</v>
      </c>
      <c r="B43" s="108"/>
      <c r="C43" s="138">
        <v>0</v>
      </c>
      <c r="D43" s="138">
        <v>0</v>
      </c>
      <c r="E43" s="138">
        <f>'YEAR 6'!B61</f>
        <v>0</v>
      </c>
      <c r="F43" s="138">
        <v>0</v>
      </c>
      <c r="G43" s="138">
        <v>0</v>
      </c>
      <c r="H43" s="138">
        <v>0</v>
      </c>
      <c r="I43" s="138">
        <v>0</v>
      </c>
      <c r="J43" s="164">
        <f t="shared" si="9"/>
        <v>0</v>
      </c>
      <c r="K43" s="166"/>
      <c r="L43" s="138">
        <v>0</v>
      </c>
      <c r="M43" s="138">
        <v>0</v>
      </c>
      <c r="N43" s="138">
        <v>0</v>
      </c>
      <c r="O43" s="138">
        <v>0</v>
      </c>
      <c r="P43" s="138">
        <v>0</v>
      </c>
      <c r="Q43" s="138">
        <v>0</v>
      </c>
      <c r="R43" s="159">
        <f t="shared" si="10"/>
        <v>0</v>
      </c>
      <c r="S43" s="193">
        <f t="shared" si="7"/>
        <v>0</v>
      </c>
    </row>
    <row r="44" spans="1:19" x14ac:dyDescent="0.2">
      <c r="A44" s="7" t="s">
        <v>48</v>
      </c>
      <c r="B44" s="108"/>
      <c r="C44" s="138">
        <v>0</v>
      </c>
      <c r="D44" s="138">
        <v>0</v>
      </c>
      <c r="E44" s="138">
        <v>0</v>
      </c>
      <c r="F44" s="138">
        <v>0</v>
      </c>
      <c r="G44" s="138">
        <v>0</v>
      </c>
      <c r="H44" s="138">
        <v>0</v>
      </c>
      <c r="I44" s="138">
        <v>0</v>
      </c>
      <c r="J44" s="164">
        <f t="shared" si="9"/>
        <v>0</v>
      </c>
      <c r="K44" s="166"/>
      <c r="L44" s="138">
        <v>0</v>
      </c>
      <c r="M44" s="138">
        <v>0</v>
      </c>
      <c r="N44" s="138">
        <v>0</v>
      </c>
      <c r="O44" s="138">
        <v>0</v>
      </c>
      <c r="P44" s="138">
        <v>0</v>
      </c>
      <c r="Q44" s="138">
        <v>0</v>
      </c>
      <c r="R44" s="159">
        <f t="shared" si="10"/>
        <v>0</v>
      </c>
      <c r="S44" s="193">
        <f t="shared" si="7"/>
        <v>0</v>
      </c>
    </row>
    <row r="45" spans="1:19" s="43" customFormat="1" x14ac:dyDescent="0.2">
      <c r="A45" s="20" t="s">
        <v>75</v>
      </c>
      <c r="B45" s="108"/>
      <c r="C45" s="143">
        <f>SUM(C31:C44)</f>
        <v>0</v>
      </c>
      <c r="D45" s="143">
        <f t="shared" ref="D45:R45" si="11">SUM(D31:D44)</f>
        <v>375</v>
      </c>
      <c r="E45" s="143">
        <f t="shared" si="11"/>
        <v>194155.55555555556</v>
      </c>
      <c r="F45" s="143">
        <f t="shared" si="11"/>
        <v>4430.5555555555557</v>
      </c>
      <c r="G45" s="143">
        <f t="shared" si="11"/>
        <v>4430.5555555555557</v>
      </c>
      <c r="H45" s="143">
        <f t="shared" si="11"/>
        <v>4430.5555555555557</v>
      </c>
      <c r="I45" s="143">
        <f t="shared" si="11"/>
        <v>4430.5555555555557</v>
      </c>
      <c r="J45" s="143">
        <f t="shared" si="11"/>
        <v>212252.77777777778</v>
      </c>
      <c r="K45" s="168"/>
      <c r="L45" s="143">
        <f t="shared" si="11"/>
        <v>12680.555555555555</v>
      </c>
      <c r="M45" s="143">
        <f t="shared" si="11"/>
        <v>4430.5555555555557</v>
      </c>
      <c r="N45" s="143">
        <f t="shared" si="11"/>
        <v>4430.5555555555557</v>
      </c>
      <c r="O45" s="143">
        <f t="shared" si="11"/>
        <v>4430.5555555555557</v>
      </c>
      <c r="P45" s="143">
        <f t="shared" si="11"/>
        <v>3875</v>
      </c>
      <c r="Q45" s="143">
        <f t="shared" si="11"/>
        <v>375</v>
      </c>
      <c r="R45" s="143">
        <f t="shared" si="11"/>
        <v>30222.222222222223</v>
      </c>
      <c r="S45" s="193">
        <f t="shared" si="7"/>
        <v>242475.00000000003</v>
      </c>
    </row>
    <row r="46" spans="1:19" s="85" customFormat="1" x14ac:dyDescent="0.2">
      <c r="A46" s="61"/>
      <c r="B46" s="108"/>
      <c r="C46" s="142"/>
      <c r="D46" s="119"/>
      <c r="E46" s="61"/>
      <c r="F46" s="61"/>
      <c r="G46" s="61"/>
      <c r="H46" s="61"/>
      <c r="I46" s="61"/>
      <c r="J46" s="61"/>
      <c r="K46" s="141"/>
      <c r="L46" s="61"/>
      <c r="M46" s="61"/>
      <c r="N46" s="61"/>
      <c r="O46" s="61"/>
      <c r="P46" s="61"/>
      <c r="Q46" s="61"/>
      <c r="R46" s="10"/>
      <c r="S46" s="193">
        <f t="shared" si="7"/>
        <v>0</v>
      </c>
    </row>
    <row r="47" spans="1:19" x14ac:dyDescent="0.2">
      <c r="A47" s="15" t="s">
        <v>46</v>
      </c>
      <c r="B47" s="108"/>
      <c r="C47" s="144"/>
      <c r="D47" s="119"/>
      <c r="E47" s="61"/>
      <c r="F47" s="61"/>
      <c r="G47" s="61"/>
      <c r="H47" s="61"/>
      <c r="I47" s="61"/>
      <c r="J47" s="61"/>
      <c r="K47" s="141"/>
      <c r="L47" s="61"/>
      <c r="M47" s="61"/>
      <c r="N47" s="61"/>
      <c r="O47" s="61"/>
      <c r="P47" s="61"/>
      <c r="Q47" s="61"/>
      <c r="R47" s="10"/>
      <c r="S47" s="193">
        <f t="shared" si="7"/>
        <v>0</v>
      </c>
    </row>
    <row r="48" spans="1:19" x14ac:dyDescent="0.2">
      <c r="A48" s="7" t="s">
        <v>20</v>
      </c>
      <c r="B48" s="108"/>
      <c r="C48" s="138">
        <v>0</v>
      </c>
      <c r="D48" s="138">
        <v>0</v>
      </c>
      <c r="E48" s="138">
        <f>'YEAR 6'!B66</f>
        <v>5000</v>
      </c>
      <c r="F48" s="138">
        <v>0</v>
      </c>
      <c r="G48" s="138">
        <v>0</v>
      </c>
      <c r="H48" s="138">
        <v>0</v>
      </c>
      <c r="I48" s="138">
        <v>0</v>
      </c>
      <c r="J48" s="164">
        <f t="shared" ref="J48:J56" si="12">SUM(C48:I48)</f>
        <v>5000</v>
      </c>
      <c r="K48" s="166"/>
      <c r="L48" s="138">
        <v>0</v>
      </c>
      <c r="M48" s="138">
        <v>0</v>
      </c>
      <c r="N48" s="138">
        <v>0</v>
      </c>
      <c r="O48" s="138">
        <v>0</v>
      </c>
      <c r="P48" s="138">
        <v>0</v>
      </c>
      <c r="Q48" s="138">
        <v>0</v>
      </c>
      <c r="R48" s="159">
        <f t="shared" ref="R48:R56" si="13">SUM(L48:Q48)</f>
        <v>0</v>
      </c>
      <c r="S48" s="193">
        <f t="shared" si="7"/>
        <v>5000</v>
      </c>
    </row>
    <row r="49" spans="1:19" x14ac:dyDescent="0.2">
      <c r="A49" s="7" t="s">
        <v>21</v>
      </c>
      <c r="B49" s="108"/>
      <c r="C49" s="138">
        <v>0</v>
      </c>
      <c r="D49" s="138">
        <v>0</v>
      </c>
      <c r="E49" s="138">
        <f>'YEAR 6'!B67</f>
        <v>0</v>
      </c>
      <c r="F49" s="138">
        <v>0</v>
      </c>
      <c r="G49" s="138">
        <v>0</v>
      </c>
      <c r="H49" s="138">
        <v>0</v>
      </c>
      <c r="I49" s="138">
        <v>0</v>
      </c>
      <c r="J49" s="164">
        <f t="shared" si="12"/>
        <v>0</v>
      </c>
      <c r="K49" s="166"/>
      <c r="L49" s="138">
        <v>0</v>
      </c>
      <c r="M49" s="138">
        <v>0</v>
      </c>
      <c r="N49" s="138">
        <v>0</v>
      </c>
      <c r="O49" s="138">
        <v>0</v>
      </c>
      <c r="P49" s="138">
        <v>0</v>
      </c>
      <c r="Q49" s="138">
        <v>0</v>
      </c>
      <c r="R49" s="159">
        <f t="shared" si="13"/>
        <v>0</v>
      </c>
      <c r="S49" s="193">
        <f t="shared" si="7"/>
        <v>0</v>
      </c>
    </row>
    <row r="50" spans="1:19" x14ac:dyDescent="0.2">
      <c r="A50" s="14" t="s">
        <v>22</v>
      </c>
      <c r="B50" s="108"/>
      <c r="C50" s="138">
        <v>0</v>
      </c>
      <c r="D50" s="138">
        <v>0</v>
      </c>
      <c r="E50" s="138">
        <f>'YEAR 6'!B68</f>
        <v>0</v>
      </c>
      <c r="F50" s="138">
        <v>0</v>
      </c>
      <c r="G50" s="138">
        <v>0</v>
      </c>
      <c r="H50" s="138">
        <v>0</v>
      </c>
      <c r="I50" s="138">
        <v>0</v>
      </c>
      <c r="J50" s="164">
        <f t="shared" si="12"/>
        <v>0</v>
      </c>
      <c r="K50" s="166"/>
      <c r="L50" s="138">
        <v>0</v>
      </c>
      <c r="M50" s="138">
        <v>0</v>
      </c>
      <c r="N50" s="138">
        <v>0</v>
      </c>
      <c r="O50" s="138">
        <v>0</v>
      </c>
      <c r="P50" s="138">
        <v>0</v>
      </c>
      <c r="Q50" s="138">
        <v>0</v>
      </c>
      <c r="R50" s="159">
        <f t="shared" si="13"/>
        <v>0</v>
      </c>
      <c r="S50" s="193">
        <f t="shared" si="7"/>
        <v>0</v>
      </c>
    </row>
    <row r="51" spans="1:19" x14ac:dyDescent="0.2">
      <c r="A51" s="7" t="s">
        <v>23</v>
      </c>
      <c r="B51" s="108"/>
      <c r="C51" s="138">
        <v>0</v>
      </c>
      <c r="D51" s="138">
        <v>0</v>
      </c>
      <c r="E51" s="138">
        <f>'YEAR 6'!B69-L51</f>
        <v>5000</v>
      </c>
      <c r="F51" s="138">
        <v>0</v>
      </c>
      <c r="G51" s="138">
        <v>0</v>
      </c>
      <c r="H51" s="138">
        <v>0</v>
      </c>
      <c r="I51" s="138">
        <v>0</v>
      </c>
      <c r="J51" s="164">
        <f t="shared" si="12"/>
        <v>5000</v>
      </c>
      <c r="K51" s="166"/>
      <c r="L51" s="138">
        <v>5000</v>
      </c>
      <c r="M51" s="138">
        <v>0</v>
      </c>
      <c r="N51" s="138">
        <v>0</v>
      </c>
      <c r="O51" s="138">
        <v>0</v>
      </c>
      <c r="P51" s="138">
        <v>0</v>
      </c>
      <c r="Q51" s="138">
        <v>0</v>
      </c>
      <c r="R51" s="159">
        <f t="shared" si="13"/>
        <v>5000</v>
      </c>
      <c r="S51" s="193">
        <f t="shared" si="7"/>
        <v>10000</v>
      </c>
    </row>
    <row r="52" spans="1:19" x14ac:dyDescent="0.2">
      <c r="A52" s="7" t="str">
        <f>'YEAR 6'!A70</f>
        <v>Other (Uniform allocation)</v>
      </c>
      <c r="B52" s="108"/>
      <c r="C52" s="138">
        <v>0</v>
      </c>
      <c r="D52" s="138">
        <v>0</v>
      </c>
      <c r="E52" s="138">
        <f>'YEAR 6'!B70</f>
        <v>1000</v>
      </c>
      <c r="F52" s="138">
        <v>0</v>
      </c>
      <c r="G52" s="138">
        <v>0</v>
      </c>
      <c r="H52" s="138">
        <v>0</v>
      </c>
      <c r="I52" s="138">
        <v>0</v>
      </c>
      <c r="J52" s="164">
        <f t="shared" si="12"/>
        <v>1000</v>
      </c>
      <c r="K52" s="166"/>
      <c r="L52" s="138">
        <v>0</v>
      </c>
      <c r="M52" s="138">
        <v>0</v>
      </c>
      <c r="N52" s="138">
        <v>0</v>
      </c>
      <c r="O52" s="138">
        <v>0</v>
      </c>
      <c r="P52" s="138">
        <v>0</v>
      </c>
      <c r="Q52" s="138">
        <v>0</v>
      </c>
      <c r="R52" s="159">
        <f t="shared" si="13"/>
        <v>0</v>
      </c>
      <c r="S52" s="193">
        <f t="shared" si="7"/>
        <v>1000</v>
      </c>
    </row>
    <row r="53" spans="1:19" x14ac:dyDescent="0.2">
      <c r="A53" s="7" t="str">
        <f>'YEAR 6'!A71</f>
        <v>Other (copier)</v>
      </c>
      <c r="B53" s="108"/>
      <c r="C53" s="138">
        <v>0</v>
      </c>
      <c r="D53" s="138">
        <v>0</v>
      </c>
      <c r="E53" s="138">
        <f>'YEAR 6'!$B$71/10</f>
        <v>250</v>
      </c>
      <c r="F53" s="138">
        <f>'YEAR 6'!$B$71/10</f>
        <v>250</v>
      </c>
      <c r="G53" s="138">
        <f>'YEAR 6'!$B$71/10</f>
        <v>250</v>
      </c>
      <c r="H53" s="138">
        <f>'YEAR 6'!$B$71/10</f>
        <v>250</v>
      </c>
      <c r="I53" s="138">
        <f>'YEAR 6'!$B$71/10</f>
        <v>250</v>
      </c>
      <c r="J53" s="164">
        <f t="shared" si="12"/>
        <v>1250</v>
      </c>
      <c r="K53" s="166"/>
      <c r="L53" s="138">
        <f>'YEAR 6'!$B$71/10</f>
        <v>250</v>
      </c>
      <c r="M53" s="138">
        <f>'YEAR 6'!$B$71/10</f>
        <v>250</v>
      </c>
      <c r="N53" s="138">
        <f>'YEAR 6'!$B$71/10</f>
        <v>250</v>
      </c>
      <c r="O53" s="138">
        <f>'YEAR 6'!$B$71/10</f>
        <v>250</v>
      </c>
      <c r="P53" s="138">
        <f>'YEAR 6'!$B$71/10</f>
        <v>250</v>
      </c>
      <c r="Q53" s="138">
        <v>0</v>
      </c>
      <c r="R53" s="159">
        <f t="shared" si="13"/>
        <v>1250</v>
      </c>
      <c r="S53" s="193">
        <f t="shared" si="7"/>
        <v>2500</v>
      </c>
    </row>
    <row r="54" spans="1:19" x14ac:dyDescent="0.2">
      <c r="A54" s="7" t="str">
        <f>'YEAR 6'!A72</f>
        <v>Other (please describe)</v>
      </c>
      <c r="B54" s="108"/>
      <c r="C54" s="138">
        <v>0</v>
      </c>
      <c r="D54" s="138">
        <v>0</v>
      </c>
      <c r="E54" s="138">
        <f>'YEAR 6'!B72</f>
        <v>0</v>
      </c>
      <c r="F54" s="138">
        <v>0</v>
      </c>
      <c r="G54" s="138">
        <v>0</v>
      </c>
      <c r="H54" s="138">
        <v>0</v>
      </c>
      <c r="I54" s="138">
        <v>0</v>
      </c>
      <c r="J54" s="164">
        <f t="shared" si="12"/>
        <v>0</v>
      </c>
      <c r="K54" s="166"/>
      <c r="L54" s="138">
        <v>0</v>
      </c>
      <c r="M54" s="138">
        <v>0</v>
      </c>
      <c r="N54" s="138">
        <v>0</v>
      </c>
      <c r="O54" s="138">
        <v>0</v>
      </c>
      <c r="P54" s="138">
        <v>0</v>
      </c>
      <c r="Q54" s="138">
        <v>0</v>
      </c>
      <c r="R54" s="159">
        <f t="shared" si="13"/>
        <v>0</v>
      </c>
      <c r="S54" s="193">
        <f t="shared" si="7"/>
        <v>0</v>
      </c>
    </row>
    <row r="55" spans="1:19" x14ac:dyDescent="0.2">
      <c r="A55" s="7" t="str">
        <f>'YEAR 6'!A73</f>
        <v>Other (please describe)</v>
      </c>
      <c r="B55" s="108"/>
      <c r="C55" s="138">
        <v>0</v>
      </c>
      <c r="D55" s="138">
        <v>0</v>
      </c>
      <c r="E55" s="138">
        <v>0</v>
      </c>
      <c r="F55" s="138">
        <v>0</v>
      </c>
      <c r="G55" s="138">
        <v>0</v>
      </c>
      <c r="H55" s="138">
        <v>0</v>
      </c>
      <c r="I55" s="138">
        <v>0</v>
      </c>
      <c r="J55" s="164">
        <f t="shared" si="12"/>
        <v>0</v>
      </c>
      <c r="K55" s="166"/>
      <c r="L55" s="138">
        <v>0</v>
      </c>
      <c r="M55" s="138">
        <v>0</v>
      </c>
      <c r="N55" s="138">
        <v>0</v>
      </c>
      <c r="O55" s="138">
        <v>0</v>
      </c>
      <c r="P55" s="138">
        <v>0</v>
      </c>
      <c r="Q55" s="138">
        <v>0</v>
      </c>
      <c r="R55" s="159">
        <f t="shared" si="13"/>
        <v>0</v>
      </c>
      <c r="S55" s="193">
        <f t="shared" si="7"/>
        <v>0</v>
      </c>
    </row>
    <row r="56" spans="1:19" x14ac:dyDescent="0.2">
      <c r="A56" s="7" t="s">
        <v>48</v>
      </c>
      <c r="B56" s="108"/>
      <c r="C56" s="138">
        <v>0</v>
      </c>
      <c r="D56" s="138">
        <v>0</v>
      </c>
      <c r="E56" s="138">
        <v>0</v>
      </c>
      <c r="F56" s="138">
        <v>0</v>
      </c>
      <c r="G56" s="138">
        <v>0</v>
      </c>
      <c r="H56" s="138">
        <v>0</v>
      </c>
      <c r="I56" s="138">
        <v>0</v>
      </c>
      <c r="J56" s="164">
        <f t="shared" si="12"/>
        <v>0</v>
      </c>
      <c r="K56" s="166"/>
      <c r="L56" s="138">
        <v>0</v>
      </c>
      <c r="M56" s="138">
        <v>0</v>
      </c>
      <c r="N56" s="138">
        <v>0</v>
      </c>
      <c r="O56" s="138">
        <v>0</v>
      </c>
      <c r="P56" s="138">
        <v>0</v>
      </c>
      <c r="Q56" s="138">
        <v>0</v>
      </c>
      <c r="R56" s="159">
        <f t="shared" si="13"/>
        <v>0</v>
      </c>
      <c r="S56" s="193">
        <f t="shared" si="7"/>
        <v>0</v>
      </c>
    </row>
    <row r="57" spans="1:19" s="43" customFormat="1" x14ac:dyDescent="0.2">
      <c r="A57" s="20" t="s">
        <v>76</v>
      </c>
      <c r="B57" s="108"/>
      <c r="C57" s="143">
        <f>SUM(C48:C56)</f>
        <v>0</v>
      </c>
      <c r="D57" s="143">
        <f t="shared" ref="D57:R57" si="14">SUM(D48:D56)</f>
        <v>0</v>
      </c>
      <c r="E57" s="143">
        <f t="shared" si="14"/>
        <v>11250</v>
      </c>
      <c r="F57" s="143">
        <f t="shared" si="14"/>
        <v>250</v>
      </c>
      <c r="G57" s="143">
        <f t="shared" si="14"/>
        <v>250</v>
      </c>
      <c r="H57" s="143">
        <f t="shared" si="14"/>
        <v>250</v>
      </c>
      <c r="I57" s="143">
        <f t="shared" si="14"/>
        <v>250</v>
      </c>
      <c r="J57" s="143">
        <f t="shared" si="14"/>
        <v>12250</v>
      </c>
      <c r="K57" s="168"/>
      <c r="L57" s="143">
        <f t="shared" si="14"/>
        <v>5250</v>
      </c>
      <c r="M57" s="143">
        <f t="shared" si="14"/>
        <v>250</v>
      </c>
      <c r="N57" s="143">
        <f t="shared" si="14"/>
        <v>250</v>
      </c>
      <c r="O57" s="143">
        <f t="shared" si="14"/>
        <v>250</v>
      </c>
      <c r="P57" s="143">
        <f t="shared" si="14"/>
        <v>250</v>
      </c>
      <c r="Q57" s="143">
        <f t="shared" si="14"/>
        <v>0</v>
      </c>
      <c r="R57" s="143">
        <f t="shared" si="14"/>
        <v>6250</v>
      </c>
      <c r="S57" s="193">
        <f t="shared" si="7"/>
        <v>18500</v>
      </c>
    </row>
    <row r="58" spans="1:19" s="43" customFormat="1" x14ac:dyDescent="0.2">
      <c r="A58" s="20"/>
      <c r="B58" s="108"/>
      <c r="C58" s="142"/>
      <c r="D58" s="119"/>
      <c r="E58" s="61"/>
      <c r="F58" s="61"/>
      <c r="G58" s="61"/>
      <c r="H58" s="61"/>
      <c r="I58" s="61"/>
      <c r="J58" s="61"/>
      <c r="K58" s="141"/>
      <c r="L58" s="61"/>
      <c r="M58" s="61"/>
      <c r="N58" s="61"/>
      <c r="O58" s="61"/>
      <c r="P58" s="61"/>
      <c r="Q58" s="61"/>
      <c r="R58" s="10"/>
      <c r="S58" s="193">
        <f t="shared" si="7"/>
        <v>0</v>
      </c>
    </row>
    <row r="59" spans="1:19" x14ac:dyDescent="0.2">
      <c r="A59" s="15" t="s">
        <v>51</v>
      </c>
      <c r="B59" s="108"/>
      <c r="C59" s="144"/>
      <c r="D59" s="119"/>
      <c r="E59" s="61"/>
      <c r="F59" s="61"/>
      <c r="G59" s="61"/>
      <c r="H59" s="61"/>
      <c r="I59" s="61"/>
      <c r="J59" s="61"/>
      <c r="K59" s="141"/>
      <c r="L59" s="61"/>
      <c r="M59" s="61"/>
      <c r="N59" s="61"/>
      <c r="O59" s="61"/>
      <c r="P59" s="61"/>
      <c r="Q59" s="61"/>
      <c r="R59" s="10"/>
      <c r="S59" s="193">
        <f t="shared" si="7"/>
        <v>0</v>
      </c>
    </row>
    <row r="60" spans="1:19" ht="25.5" x14ac:dyDescent="0.2">
      <c r="A60" s="14" t="s">
        <v>52</v>
      </c>
      <c r="B60" s="108"/>
      <c r="C60" s="138">
        <v>0</v>
      </c>
      <c r="D60" s="138">
        <v>0</v>
      </c>
      <c r="E60" s="138">
        <v>0</v>
      </c>
      <c r="F60" s="138">
        <v>0</v>
      </c>
      <c r="G60" s="138">
        <v>0</v>
      </c>
      <c r="H60" s="138">
        <v>0</v>
      </c>
      <c r="I60" s="138">
        <v>0</v>
      </c>
      <c r="J60" s="164">
        <f t="shared" ref="J60:J67" si="15">SUM(C60:I60)</f>
        <v>0</v>
      </c>
      <c r="K60" s="166"/>
      <c r="L60" s="138">
        <v>0</v>
      </c>
      <c r="M60" s="138">
        <v>0</v>
      </c>
      <c r="N60" s="138">
        <v>0</v>
      </c>
      <c r="O60" s="138">
        <v>0</v>
      </c>
      <c r="P60" s="138">
        <v>0</v>
      </c>
      <c r="Q60" s="138">
        <v>0</v>
      </c>
      <c r="R60" s="159">
        <f t="shared" ref="R60:R67" si="16">SUM(L60:Q60)</f>
        <v>0</v>
      </c>
      <c r="S60" s="193">
        <f t="shared" si="7"/>
        <v>0</v>
      </c>
    </row>
    <row r="61" spans="1:19" x14ac:dyDescent="0.2">
      <c r="A61" s="14" t="s">
        <v>14</v>
      </c>
      <c r="B61" s="108"/>
      <c r="C61" s="138">
        <v>0</v>
      </c>
      <c r="D61" s="138">
        <v>0</v>
      </c>
      <c r="E61" s="138">
        <v>0</v>
      </c>
      <c r="F61" s="138">
        <v>0</v>
      </c>
      <c r="G61" s="138">
        <v>0</v>
      </c>
      <c r="H61" s="138">
        <v>0</v>
      </c>
      <c r="I61" s="138">
        <v>0</v>
      </c>
      <c r="J61" s="164">
        <f t="shared" si="15"/>
        <v>0</v>
      </c>
      <c r="K61" s="166"/>
      <c r="L61" s="138">
        <v>0</v>
      </c>
      <c r="M61" s="138">
        <v>0</v>
      </c>
      <c r="N61" s="138">
        <v>0</v>
      </c>
      <c r="O61" s="138">
        <v>0</v>
      </c>
      <c r="P61" s="138">
        <v>0</v>
      </c>
      <c r="Q61" s="138">
        <v>0</v>
      </c>
      <c r="R61" s="159">
        <f t="shared" si="16"/>
        <v>0</v>
      </c>
      <c r="S61" s="193">
        <f t="shared" si="7"/>
        <v>0</v>
      </c>
    </row>
    <row r="62" spans="1:19" x14ac:dyDescent="0.2">
      <c r="A62" s="14" t="s">
        <v>15</v>
      </c>
      <c r="B62" s="108"/>
      <c r="C62" s="138">
        <v>0</v>
      </c>
      <c r="D62" s="138">
        <v>0</v>
      </c>
      <c r="E62" s="138">
        <v>0</v>
      </c>
      <c r="F62" s="138">
        <v>0</v>
      </c>
      <c r="G62" s="138">
        <v>0</v>
      </c>
      <c r="H62" s="138">
        <v>0</v>
      </c>
      <c r="I62" s="138">
        <v>0</v>
      </c>
      <c r="J62" s="164">
        <f t="shared" si="15"/>
        <v>0</v>
      </c>
      <c r="K62" s="166"/>
      <c r="L62" s="138">
        <v>0</v>
      </c>
      <c r="M62" s="138">
        <v>0</v>
      </c>
      <c r="N62" s="138">
        <v>0</v>
      </c>
      <c r="O62" s="138">
        <v>0</v>
      </c>
      <c r="P62" s="138">
        <v>0</v>
      </c>
      <c r="Q62" s="138">
        <v>0</v>
      </c>
      <c r="R62" s="159">
        <f t="shared" si="16"/>
        <v>0</v>
      </c>
      <c r="S62" s="193">
        <f t="shared" si="7"/>
        <v>0</v>
      </c>
    </row>
    <row r="63" spans="1:19" x14ac:dyDescent="0.2">
      <c r="A63" s="7" t="s">
        <v>48</v>
      </c>
      <c r="B63" s="108"/>
      <c r="C63" s="138">
        <v>0</v>
      </c>
      <c r="D63" s="138">
        <v>0</v>
      </c>
      <c r="E63" s="138">
        <v>0</v>
      </c>
      <c r="F63" s="138">
        <v>0</v>
      </c>
      <c r="G63" s="138">
        <v>0</v>
      </c>
      <c r="H63" s="138">
        <v>0</v>
      </c>
      <c r="I63" s="138">
        <v>0</v>
      </c>
      <c r="J63" s="164">
        <f t="shared" si="15"/>
        <v>0</v>
      </c>
      <c r="K63" s="166"/>
      <c r="L63" s="138">
        <v>0</v>
      </c>
      <c r="M63" s="138">
        <v>0</v>
      </c>
      <c r="N63" s="138">
        <v>0</v>
      </c>
      <c r="O63" s="138">
        <v>0</v>
      </c>
      <c r="P63" s="138">
        <v>0</v>
      </c>
      <c r="Q63" s="138">
        <v>0</v>
      </c>
      <c r="R63" s="159">
        <f t="shared" si="16"/>
        <v>0</v>
      </c>
      <c r="S63" s="193">
        <f t="shared" si="7"/>
        <v>0</v>
      </c>
    </row>
    <row r="64" spans="1:19" x14ac:dyDescent="0.2">
      <c r="A64" s="7" t="s">
        <v>48</v>
      </c>
      <c r="B64" s="108"/>
      <c r="C64" s="138">
        <v>0</v>
      </c>
      <c r="D64" s="138">
        <v>0</v>
      </c>
      <c r="E64" s="138">
        <v>0</v>
      </c>
      <c r="F64" s="138">
        <v>0</v>
      </c>
      <c r="G64" s="138">
        <v>0</v>
      </c>
      <c r="H64" s="138">
        <v>0</v>
      </c>
      <c r="I64" s="138">
        <v>0</v>
      </c>
      <c r="J64" s="164">
        <f t="shared" si="15"/>
        <v>0</v>
      </c>
      <c r="K64" s="166"/>
      <c r="L64" s="138">
        <v>0</v>
      </c>
      <c r="M64" s="138">
        <v>0</v>
      </c>
      <c r="N64" s="138">
        <v>0</v>
      </c>
      <c r="O64" s="138">
        <v>0</v>
      </c>
      <c r="P64" s="138">
        <v>0</v>
      </c>
      <c r="Q64" s="138">
        <v>0</v>
      </c>
      <c r="R64" s="159">
        <f t="shared" si="16"/>
        <v>0</v>
      </c>
      <c r="S64" s="193">
        <f t="shared" si="7"/>
        <v>0</v>
      </c>
    </row>
    <row r="65" spans="1:19" x14ac:dyDescent="0.2">
      <c r="A65" s="7" t="s">
        <v>48</v>
      </c>
      <c r="B65" s="108"/>
      <c r="C65" s="138">
        <v>0</v>
      </c>
      <c r="D65" s="138">
        <v>0</v>
      </c>
      <c r="E65" s="138">
        <v>0</v>
      </c>
      <c r="F65" s="138">
        <v>0</v>
      </c>
      <c r="G65" s="138">
        <v>0</v>
      </c>
      <c r="H65" s="138">
        <v>0</v>
      </c>
      <c r="I65" s="138">
        <v>0</v>
      </c>
      <c r="J65" s="164">
        <f t="shared" si="15"/>
        <v>0</v>
      </c>
      <c r="K65" s="166"/>
      <c r="L65" s="138">
        <v>0</v>
      </c>
      <c r="M65" s="138">
        <v>0</v>
      </c>
      <c r="N65" s="138">
        <v>0</v>
      </c>
      <c r="O65" s="138">
        <v>0</v>
      </c>
      <c r="P65" s="138">
        <v>0</v>
      </c>
      <c r="Q65" s="138">
        <v>0</v>
      </c>
      <c r="R65" s="159">
        <f t="shared" si="16"/>
        <v>0</v>
      </c>
      <c r="S65" s="193">
        <f t="shared" si="7"/>
        <v>0</v>
      </c>
    </row>
    <row r="66" spans="1:19" x14ac:dyDescent="0.2">
      <c r="A66" s="7" t="s">
        <v>48</v>
      </c>
      <c r="B66" s="108"/>
      <c r="C66" s="138">
        <v>0</v>
      </c>
      <c r="D66" s="138">
        <v>0</v>
      </c>
      <c r="E66" s="138">
        <v>0</v>
      </c>
      <c r="F66" s="138">
        <v>0</v>
      </c>
      <c r="G66" s="138">
        <v>0</v>
      </c>
      <c r="H66" s="138">
        <v>0</v>
      </c>
      <c r="I66" s="138">
        <v>0</v>
      </c>
      <c r="J66" s="164">
        <f t="shared" si="15"/>
        <v>0</v>
      </c>
      <c r="K66" s="166"/>
      <c r="L66" s="138">
        <v>0</v>
      </c>
      <c r="M66" s="138">
        <v>0</v>
      </c>
      <c r="N66" s="138">
        <v>0</v>
      </c>
      <c r="O66" s="138">
        <v>0</v>
      </c>
      <c r="P66" s="138">
        <v>0</v>
      </c>
      <c r="Q66" s="138">
        <v>0</v>
      </c>
      <c r="R66" s="159">
        <f t="shared" si="16"/>
        <v>0</v>
      </c>
      <c r="S66" s="193">
        <f t="shared" si="7"/>
        <v>0</v>
      </c>
    </row>
    <row r="67" spans="1:19" x14ac:dyDescent="0.2">
      <c r="A67" s="7" t="s">
        <v>48</v>
      </c>
      <c r="B67" s="108"/>
      <c r="C67" s="138">
        <v>0</v>
      </c>
      <c r="D67" s="138">
        <v>0</v>
      </c>
      <c r="E67" s="138">
        <v>0</v>
      </c>
      <c r="F67" s="138">
        <v>0</v>
      </c>
      <c r="G67" s="138">
        <v>0</v>
      </c>
      <c r="H67" s="138">
        <v>0</v>
      </c>
      <c r="I67" s="138">
        <v>0</v>
      </c>
      <c r="J67" s="164">
        <f t="shared" si="15"/>
        <v>0</v>
      </c>
      <c r="K67" s="166"/>
      <c r="L67" s="138">
        <v>0</v>
      </c>
      <c r="M67" s="138">
        <v>0</v>
      </c>
      <c r="N67" s="138">
        <v>0</v>
      </c>
      <c r="O67" s="138">
        <v>0</v>
      </c>
      <c r="P67" s="138">
        <v>0</v>
      </c>
      <c r="Q67" s="138">
        <v>0</v>
      </c>
      <c r="R67" s="159">
        <f t="shared" si="16"/>
        <v>0</v>
      </c>
      <c r="S67" s="193">
        <f t="shared" si="7"/>
        <v>0</v>
      </c>
    </row>
    <row r="68" spans="1:19" s="43" customFormat="1" x14ac:dyDescent="0.2">
      <c r="A68" s="20" t="s">
        <v>77</v>
      </c>
      <c r="B68" s="108"/>
      <c r="C68" s="143">
        <f>SUM(C60:C67)</f>
        <v>0</v>
      </c>
      <c r="D68" s="143">
        <f t="shared" ref="D68:R68" si="17">SUM(D60:D67)</f>
        <v>0</v>
      </c>
      <c r="E68" s="143">
        <f t="shared" si="17"/>
        <v>0</v>
      </c>
      <c r="F68" s="143">
        <f t="shared" si="17"/>
        <v>0</v>
      </c>
      <c r="G68" s="143">
        <f t="shared" si="17"/>
        <v>0</v>
      </c>
      <c r="H68" s="143">
        <f t="shared" si="17"/>
        <v>0</v>
      </c>
      <c r="I68" s="143">
        <f t="shared" si="17"/>
        <v>0</v>
      </c>
      <c r="J68" s="143">
        <f t="shared" si="17"/>
        <v>0</v>
      </c>
      <c r="K68" s="168"/>
      <c r="L68" s="143">
        <f t="shared" si="17"/>
        <v>0</v>
      </c>
      <c r="M68" s="143">
        <f t="shared" si="17"/>
        <v>0</v>
      </c>
      <c r="N68" s="143">
        <f t="shared" si="17"/>
        <v>0</v>
      </c>
      <c r="O68" s="143">
        <f t="shared" si="17"/>
        <v>0</v>
      </c>
      <c r="P68" s="143">
        <f t="shared" si="17"/>
        <v>0</v>
      </c>
      <c r="Q68" s="143">
        <f t="shared" si="17"/>
        <v>0</v>
      </c>
      <c r="R68" s="143">
        <f t="shared" si="17"/>
        <v>0</v>
      </c>
      <c r="S68" s="193">
        <f t="shared" si="7"/>
        <v>0</v>
      </c>
    </row>
    <row r="69" spans="1:19" s="43" customFormat="1" x14ac:dyDescent="0.2">
      <c r="A69" s="20"/>
      <c r="B69" s="108"/>
      <c r="C69" s="142"/>
      <c r="D69" s="119"/>
      <c r="E69" s="61"/>
      <c r="F69" s="61"/>
      <c r="G69" s="61"/>
      <c r="H69" s="61"/>
      <c r="I69" s="61"/>
      <c r="J69" s="61"/>
      <c r="K69" s="141"/>
      <c r="L69" s="61"/>
      <c r="M69" s="61"/>
      <c r="N69" s="61"/>
      <c r="O69" s="61"/>
      <c r="P69" s="61"/>
      <c r="Q69" s="61"/>
      <c r="R69" s="10"/>
      <c r="S69" s="193">
        <f t="shared" si="7"/>
        <v>0</v>
      </c>
    </row>
    <row r="70" spans="1:19" x14ac:dyDescent="0.2">
      <c r="A70" s="15" t="s">
        <v>47</v>
      </c>
      <c r="B70" s="108"/>
      <c r="C70" s="144"/>
      <c r="D70" s="119"/>
      <c r="E70" s="61"/>
      <c r="F70" s="61"/>
      <c r="G70" s="61"/>
      <c r="H70" s="61"/>
      <c r="I70" s="61"/>
      <c r="J70" s="61"/>
      <c r="K70" s="141"/>
      <c r="L70" s="61"/>
      <c r="M70" s="61"/>
      <c r="N70" s="61"/>
      <c r="O70" s="61"/>
      <c r="P70" s="61"/>
      <c r="Q70" s="61"/>
      <c r="R70" s="10"/>
      <c r="S70" s="193">
        <f t="shared" si="7"/>
        <v>0</v>
      </c>
    </row>
    <row r="71" spans="1:19" x14ac:dyDescent="0.2">
      <c r="A71" s="14" t="s">
        <v>16</v>
      </c>
      <c r="B71" s="108"/>
      <c r="C71" s="138">
        <f>'YEAR 6'!$B$89/12</f>
        <v>1250</v>
      </c>
      <c r="D71" s="138">
        <f>'YEAR 6'!$B$89/12</f>
        <v>1250</v>
      </c>
      <c r="E71" s="138">
        <f>'YEAR 6'!$B$89/12</f>
        <v>1250</v>
      </c>
      <c r="F71" s="138">
        <f>'YEAR 6'!$B$89/12</f>
        <v>1250</v>
      </c>
      <c r="G71" s="138">
        <f>'YEAR 6'!$B$89/12</f>
        <v>1250</v>
      </c>
      <c r="H71" s="138">
        <f>'YEAR 6'!$B$89/12</f>
        <v>1250</v>
      </c>
      <c r="I71" s="138">
        <f>'YEAR 6'!$B$89/12</f>
        <v>1250</v>
      </c>
      <c r="J71" s="164">
        <f t="shared" ref="J71:J90" si="18">SUM(C71:I71)</f>
        <v>8750</v>
      </c>
      <c r="K71" s="166"/>
      <c r="L71" s="138">
        <f>'YEAR 6'!$B$89/12</f>
        <v>1250</v>
      </c>
      <c r="M71" s="138">
        <f>'YEAR 6'!$B$89/12</f>
        <v>1250</v>
      </c>
      <c r="N71" s="138">
        <f>'YEAR 6'!$B$89/12</f>
        <v>1250</v>
      </c>
      <c r="O71" s="138">
        <f>'YEAR 6'!$B$89/12</f>
        <v>1250</v>
      </c>
      <c r="P71" s="138">
        <f>'YEAR 6'!$B$89/12</f>
        <v>1250</v>
      </c>
      <c r="Q71" s="138">
        <f>'YEAR 6'!$B$89/12</f>
        <v>1250</v>
      </c>
      <c r="R71" s="159">
        <f t="shared" ref="R71:R90" si="19">SUM(L71:Q71)</f>
        <v>7500</v>
      </c>
      <c r="S71" s="193">
        <f t="shared" si="7"/>
        <v>15000</v>
      </c>
    </row>
    <row r="72" spans="1:19" x14ac:dyDescent="0.2">
      <c r="A72" s="23" t="s">
        <v>126</v>
      </c>
      <c r="B72" s="108"/>
      <c r="C72" s="138"/>
      <c r="D72" s="138"/>
      <c r="E72" s="138"/>
      <c r="F72" s="138"/>
      <c r="G72" s="138"/>
      <c r="H72" s="138"/>
      <c r="I72" s="138"/>
      <c r="J72" s="164">
        <f t="shared" si="18"/>
        <v>0</v>
      </c>
      <c r="K72" s="166"/>
      <c r="L72" s="138">
        <f>'YEAR 6'!$B$90</f>
        <v>20000</v>
      </c>
      <c r="M72" s="138">
        <v>0</v>
      </c>
      <c r="N72" s="138">
        <v>0</v>
      </c>
      <c r="O72" s="138">
        <v>0</v>
      </c>
      <c r="P72" s="138">
        <v>0</v>
      </c>
      <c r="Q72" s="138">
        <v>0</v>
      </c>
      <c r="R72" s="159">
        <f t="shared" si="19"/>
        <v>20000</v>
      </c>
      <c r="S72" s="193">
        <f t="shared" si="7"/>
        <v>20000</v>
      </c>
    </row>
    <row r="73" spans="1:19" x14ac:dyDescent="0.2">
      <c r="A73" s="14" t="s">
        <v>17</v>
      </c>
      <c r="B73" s="108"/>
      <c r="C73" s="138">
        <f>'YEAR 6'!$B$91/12</f>
        <v>150</v>
      </c>
      <c r="D73" s="138">
        <f>'YEAR 6'!$B$91/12</f>
        <v>150</v>
      </c>
      <c r="E73" s="138">
        <f>'YEAR 6'!$B$91/12</f>
        <v>150</v>
      </c>
      <c r="F73" s="138">
        <f>'YEAR 6'!$B$91/12</f>
        <v>150</v>
      </c>
      <c r="G73" s="138">
        <f>'YEAR 6'!$B$91/12</f>
        <v>150</v>
      </c>
      <c r="H73" s="138">
        <f>'YEAR 6'!$B$91/12</f>
        <v>150</v>
      </c>
      <c r="I73" s="138">
        <f>'YEAR 6'!$B$91/12</f>
        <v>150</v>
      </c>
      <c r="J73" s="164">
        <f t="shared" si="18"/>
        <v>1050</v>
      </c>
      <c r="K73" s="166"/>
      <c r="L73" s="138">
        <f>'YEAR 6'!$B$91/12</f>
        <v>150</v>
      </c>
      <c r="M73" s="138">
        <f>'YEAR 6'!$B$91/12</f>
        <v>150</v>
      </c>
      <c r="N73" s="138">
        <f>'YEAR 6'!$B$91/12</f>
        <v>150</v>
      </c>
      <c r="O73" s="138">
        <f>'YEAR 6'!$B$91/12</f>
        <v>150</v>
      </c>
      <c r="P73" s="138">
        <f>'YEAR 6'!$B$91/12</f>
        <v>150</v>
      </c>
      <c r="Q73" s="138">
        <f>'YEAR 6'!$B$91/12</f>
        <v>150</v>
      </c>
      <c r="R73" s="159">
        <f t="shared" si="19"/>
        <v>900</v>
      </c>
      <c r="S73" s="193">
        <f t="shared" si="7"/>
        <v>1800</v>
      </c>
    </row>
    <row r="74" spans="1:19" x14ac:dyDescent="0.2">
      <c r="A74" s="14" t="s">
        <v>18</v>
      </c>
      <c r="B74" s="115"/>
      <c r="C74" s="138">
        <f>'YEAR 6'!$B$92/12</f>
        <v>5333.333333333333</v>
      </c>
      <c r="D74" s="138">
        <f>'YEAR 6'!$B$92/12</f>
        <v>5333.333333333333</v>
      </c>
      <c r="E74" s="138">
        <f>'YEAR 6'!$B$92/12</f>
        <v>5333.333333333333</v>
      </c>
      <c r="F74" s="138">
        <f>'YEAR 6'!$B$92/12</f>
        <v>5333.333333333333</v>
      </c>
      <c r="G74" s="138">
        <f>'YEAR 6'!$B$92/12</f>
        <v>5333.333333333333</v>
      </c>
      <c r="H74" s="138">
        <f>'YEAR 6'!$B$92/12</f>
        <v>5333.333333333333</v>
      </c>
      <c r="I74" s="138">
        <f>'YEAR 6'!$B$92/12</f>
        <v>5333.333333333333</v>
      </c>
      <c r="J74" s="164">
        <f t="shared" si="18"/>
        <v>37333.333333333328</v>
      </c>
      <c r="K74" s="166"/>
      <c r="L74" s="138">
        <f>'YEAR 6'!$B$92/12</f>
        <v>5333.333333333333</v>
      </c>
      <c r="M74" s="138">
        <f>'YEAR 6'!$B$92/12</f>
        <v>5333.333333333333</v>
      </c>
      <c r="N74" s="138">
        <f>'YEAR 6'!$B$92/12</f>
        <v>5333.333333333333</v>
      </c>
      <c r="O74" s="138">
        <f>'YEAR 6'!$B$92/12</f>
        <v>5333.333333333333</v>
      </c>
      <c r="P74" s="138">
        <f>'YEAR 6'!$B$92/12</f>
        <v>5333.333333333333</v>
      </c>
      <c r="Q74" s="138">
        <f>'YEAR 6'!$B$92/12</f>
        <v>5333.333333333333</v>
      </c>
      <c r="R74" s="159">
        <f t="shared" si="19"/>
        <v>31999.999999999996</v>
      </c>
      <c r="S74" s="193">
        <f t="shared" si="7"/>
        <v>64000.000000000007</v>
      </c>
    </row>
    <row r="75" spans="1:19" x14ac:dyDescent="0.2">
      <c r="A75" s="14" t="s">
        <v>19</v>
      </c>
      <c r="B75" s="108"/>
      <c r="C75" s="138">
        <v>0</v>
      </c>
      <c r="D75" s="138">
        <f>'YEAR 6'!B93</f>
        <v>20000</v>
      </c>
      <c r="E75" s="138"/>
      <c r="F75" s="138">
        <v>0</v>
      </c>
      <c r="G75" s="138">
        <v>0</v>
      </c>
      <c r="H75" s="138">
        <v>0</v>
      </c>
      <c r="I75" s="138">
        <v>0</v>
      </c>
      <c r="J75" s="164">
        <f t="shared" si="18"/>
        <v>20000</v>
      </c>
      <c r="K75" s="166"/>
      <c r="L75" s="138">
        <v>0</v>
      </c>
      <c r="M75" s="138">
        <v>0</v>
      </c>
      <c r="N75" s="138">
        <v>0</v>
      </c>
      <c r="O75" s="138">
        <v>0</v>
      </c>
      <c r="P75" s="138">
        <v>0</v>
      </c>
      <c r="Q75" s="138">
        <v>0</v>
      </c>
      <c r="R75" s="159">
        <f t="shared" si="19"/>
        <v>0</v>
      </c>
      <c r="S75" s="193">
        <f t="shared" si="7"/>
        <v>20000</v>
      </c>
    </row>
    <row r="76" spans="1:19" x14ac:dyDescent="0.2">
      <c r="A76" s="7" t="s">
        <v>27</v>
      </c>
      <c r="B76" s="108"/>
      <c r="C76" s="138">
        <v>0</v>
      </c>
      <c r="D76" s="138">
        <v>0</v>
      </c>
      <c r="E76" s="138">
        <f>'YEAR 6'!B94</f>
        <v>0</v>
      </c>
      <c r="F76" s="138">
        <v>0</v>
      </c>
      <c r="G76" s="138">
        <v>0</v>
      </c>
      <c r="H76" s="138">
        <v>0</v>
      </c>
      <c r="I76" s="138">
        <v>0</v>
      </c>
      <c r="J76" s="164">
        <f t="shared" si="18"/>
        <v>0</v>
      </c>
      <c r="K76" s="166"/>
      <c r="L76" s="138">
        <v>0</v>
      </c>
      <c r="M76" s="138">
        <v>0</v>
      </c>
      <c r="N76" s="138">
        <v>0</v>
      </c>
      <c r="O76" s="138">
        <v>0</v>
      </c>
      <c r="P76" s="138">
        <v>0</v>
      </c>
      <c r="Q76" s="138">
        <v>0</v>
      </c>
      <c r="R76" s="159">
        <f t="shared" si="19"/>
        <v>0</v>
      </c>
      <c r="S76" s="193">
        <f t="shared" si="7"/>
        <v>0</v>
      </c>
    </row>
    <row r="77" spans="1:19" x14ac:dyDescent="0.2">
      <c r="A77" s="14" t="s">
        <v>24</v>
      </c>
      <c r="B77" s="108"/>
      <c r="C77" s="138">
        <f>'YEAR 6'!$B$95/12</f>
        <v>416.66666666666669</v>
      </c>
      <c r="D77" s="138">
        <f>'YEAR 6'!$B$95/12</f>
        <v>416.66666666666669</v>
      </c>
      <c r="E77" s="138">
        <f>'YEAR 6'!$B$95/12</f>
        <v>416.66666666666669</v>
      </c>
      <c r="F77" s="138">
        <f>'YEAR 6'!$B$95/12</f>
        <v>416.66666666666669</v>
      </c>
      <c r="G77" s="138">
        <f>'YEAR 6'!$B$95/12</f>
        <v>416.66666666666669</v>
      </c>
      <c r="H77" s="138">
        <f>'YEAR 6'!$B$95/12</f>
        <v>416.66666666666669</v>
      </c>
      <c r="I77" s="138">
        <f>'YEAR 6'!$B$95/12</f>
        <v>416.66666666666669</v>
      </c>
      <c r="J77" s="164">
        <f t="shared" si="18"/>
        <v>2916.6666666666665</v>
      </c>
      <c r="K77" s="166"/>
      <c r="L77" s="138">
        <f>'YEAR 6'!$B$95/12</f>
        <v>416.66666666666669</v>
      </c>
      <c r="M77" s="138">
        <f>'YEAR 6'!$B$95/12</f>
        <v>416.66666666666669</v>
      </c>
      <c r="N77" s="138">
        <f>'YEAR 6'!$B$95/12</f>
        <v>416.66666666666669</v>
      </c>
      <c r="O77" s="138">
        <f>'YEAR 6'!$B$95/12</f>
        <v>416.66666666666669</v>
      </c>
      <c r="P77" s="138">
        <f>'YEAR 6'!$B$95/12</f>
        <v>416.66666666666669</v>
      </c>
      <c r="Q77" s="138">
        <f>'YEAR 6'!$B$95/12</f>
        <v>416.66666666666669</v>
      </c>
      <c r="R77" s="159">
        <f t="shared" si="19"/>
        <v>2500</v>
      </c>
      <c r="S77" s="193">
        <f t="shared" si="7"/>
        <v>5000</v>
      </c>
    </row>
    <row r="78" spans="1:19" x14ac:dyDescent="0.2">
      <c r="A78" s="14" t="s">
        <v>25</v>
      </c>
      <c r="B78" s="108"/>
      <c r="C78" s="138">
        <f>'YEAR 6'!$B$96/12</f>
        <v>500</v>
      </c>
      <c r="D78" s="138">
        <f>'YEAR 6'!$B$96/12</f>
        <v>500</v>
      </c>
      <c r="E78" s="138">
        <f>'YEAR 6'!$B$96/12</f>
        <v>500</v>
      </c>
      <c r="F78" s="138">
        <f>'YEAR 6'!$B$96/12</f>
        <v>500</v>
      </c>
      <c r="G78" s="138">
        <f>'YEAR 6'!$B$96/12</f>
        <v>500</v>
      </c>
      <c r="H78" s="138">
        <f>'YEAR 6'!$B$96/12</f>
        <v>500</v>
      </c>
      <c r="I78" s="138">
        <f>'YEAR 6'!$B$96/12</f>
        <v>500</v>
      </c>
      <c r="J78" s="164">
        <f t="shared" si="18"/>
        <v>3500</v>
      </c>
      <c r="K78" s="166"/>
      <c r="L78" s="138">
        <f>'YEAR 6'!$B$96/12</f>
        <v>500</v>
      </c>
      <c r="M78" s="138">
        <f>'YEAR 6'!$B$96/12</f>
        <v>500</v>
      </c>
      <c r="N78" s="138">
        <f>'YEAR 6'!$B$96/12</f>
        <v>500</v>
      </c>
      <c r="O78" s="138">
        <f>'YEAR 6'!$B$96/12</f>
        <v>500</v>
      </c>
      <c r="P78" s="138">
        <f>'YEAR 6'!$B$96/12</f>
        <v>500</v>
      </c>
      <c r="Q78" s="138">
        <f>'YEAR 6'!$B$96/12</f>
        <v>500</v>
      </c>
      <c r="R78" s="159">
        <f t="shared" si="19"/>
        <v>3000</v>
      </c>
      <c r="S78" s="193">
        <f t="shared" si="7"/>
        <v>6000</v>
      </c>
    </row>
    <row r="79" spans="1:19" ht="25.5" x14ac:dyDescent="0.2">
      <c r="A79" s="23" t="s">
        <v>101</v>
      </c>
      <c r="B79" s="108"/>
      <c r="C79" s="138">
        <v>0</v>
      </c>
      <c r="D79" s="138">
        <v>0</v>
      </c>
      <c r="E79" s="138">
        <f>'YEAR 6'!$B$97/10</f>
        <v>3000</v>
      </c>
      <c r="F79" s="138">
        <f>'YEAR 6'!$B$97/10</f>
        <v>3000</v>
      </c>
      <c r="G79" s="138">
        <f>'YEAR 6'!$B$97/10</f>
        <v>3000</v>
      </c>
      <c r="H79" s="138">
        <f>'YEAR 6'!$B$97/10</f>
        <v>3000</v>
      </c>
      <c r="I79" s="138">
        <f>'YEAR 6'!$B$97/10</f>
        <v>3000</v>
      </c>
      <c r="J79" s="164">
        <f t="shared" si="18"/>
        <v>15000</v>
      </c>
      <c r="K79" s="166"/>
      <c r="L79" s="138">
        <f>'YEAR 6'!$B$97/10</f>
        <v>3000</v>
      </c>
      <c r="M79" s="138">
        <f>'YEAR 6'!$B$97/10</f>
        <v>3000</v>
      </c>
      <c r="N79" s="138">
        <f>'YEAR 6'!$B$97/10</f>
        <v>3000</v>
      </c>
      <c r="O79" s="138">
        <f>'YEAR 6'!$B$97/10</f>
        <v>3000</v>
      </c>
      <c r="P79" s="138">
        <f>'YEAR 6'!$B$97/10</f>
        <v>3000</v>
      </c>
      <c r="Q79" s="138">
        <v>0</v>
      </c>
      <c r="R79" s="159">
        <f t="shared" si="19"/>
        <v>15000</v>
      </c>
      <c r="S79" s="193">
        <f t="shared" si="7"/>
        <v>30000</v>
      </c>
    </row>
    <row r="80" spans="1:19" x14ac:dyDescent="0.2">
      <c r="A80" s="7" t="s">
        <v>31</v>
      </c>
      <c r="B80" s="108"/>
      <c r="C80" s="138">
        <v>0</v>
      </c>
      <c r="D80" s="138">
        <v>0</v>
      </c>
      <c r="E80" s="138">
        <f>'YEAR 6'!$B$98/10</f>
        <v>500</v>
      </c>
      <c r="F80" s="138">
        <f>'YEAR 6'!$B$98/10</f>
        <v>500</v>
      </c>
      <c r="G80" s="138">
        <f>'YEAR 6'!$B$98/10</f>
        <v>500</v>
      </c>
      <c r="H80" s="138">
        <f>'YEAR 6'!$B$98/10</f>
        <v>500</v>
      </c>
      <c r="I80" s="138">
        <f>'YEAR 6'!$B$98/10</f>
        <v>500</v>
      </c>
      <c r="J80" s="164">
        <f t="shared" si="18"/>
        <v>2500</v>
      </c>
      <c r="K80" s="166"/>
      <c r="L80" s="138">
        <f>'YEAR 6'!$B$98/10</f>
        <v>500</v>
      </c>
      <c r="M80" s="138">
        <f>'YEAR 6'!$B$98/10</f>
        <v>500</v>
      </c>
      <c r="N80" s="138">
        <f>'YEAR 6'!$B$98/10</f>
        <v>500</v>
      </c>
      <c r="O80" s="138">
        <f>'YEAR 6'!$B$98/10</f>
        <v>500</v>
      </c>
      <c r="P80" s="138">
        <f>'YEAR 6'!$B$98/10</f>
        <v>500</v>
      </c>
      <c r="Q80" s="138">
        <v>0</v>
      </c>
      <c r="R80" s="159">
        <f t="shared" si="19"/>
        <v>2500</v>
      </c>
      <c r="S80" s="193">
        <f t="shared" si="7"/>
        <v>5000</v>
      </c>
    </row>
    <row r="81" spans="1:19" x14ac:dyDescent="0.2">
      <c r="A81" s="7" t="s">
        <v>32</v>
      </c>
      <c r="B81" s="108"/>
      <c r="C81" s="138">
        <v>0</v>
      </c>
      <c r="D81" s="138">
        <v>0</v>
      </c>
      <c r="E81" s="138">
        <f>'YEAR 6'!B99-L81</f>
        <v>500</v>
      </c>
      <c r="F81" s="138">
        <f>'YEAR 6'!C99</f>
        <v>0</v>
      </c>
      <c r="G81" s="138">
        <f>'YEAR 6'!D99</f>
        <v>0</v>
      </c>
      <c r="H81" s="138">
        <f>'YEAR 6'!E99</f>
        <v>0</v>
      </c>
      <c r="I81" s="138">
        <f>'YEAR 6'!F99</f>
        <v>0</v>
      </c>
      <c r="J81" s="164">
        <f t="shared" si="18"/>
        <v>500</v>
      </c>
      <c r="K81" s="166"/>
      <c r="L81" s="138">
        <v>500</v>
      </c>
      <c r="M81" s="138">
        <f>'YEAR 6'!J99</f>
        <v>0</v>
      </c>
      <c r="N81" s="138">
        <f>'YEAR 6'!K99</f>
        <v>0</v>
      </c>
      <c r="O81" s="138">
        <f>'YEAR 6'!L99</f>
        <v>0</v>
      </c>
      <c r="P81" s="138">
        <f>'YEAR 6'!M99</f>
        <v>0</v>
      </c>
      <c r="Q81" s="138">
        <v>0</v>
      </c>
      <c r="R81" s="159">
        <f t="shared" si="19"/>
        <v>500</v>
      </c>
      <c r="S81" s="193">
        <f t="shared" si="7"/>
        <v>1000</v>
      </c>
    </row>
    <row r="82" spans="1:19" x14ac:dyDescent="0.2">
      <c r="A82" s="49" t="s">
        <v>97</v>
      </c>
      <c r="B82" s="108"/>
      <c r="C82" s="138">
        <v>0</v>
      </c>
      <c r="D82" s="138">
        <v>0</v>
      </c>
      <c r="E82" s="138">
        <f>'YEAR 6'!$B$100/10</f>
        <v>2315.9</v>
      </c>
      <c r="F82" s="138">
        <f>'YEAR 6'!$B$100/10</f>
        <v>2315.9</v>
      </c>
      <c r="G82" s="138">
        <f>'YEAR 6'!$B$100/10</f>
        <v>2315.9</v>
      </c>
      <c r="H82" s="138">
        <f>'YEAR 6'!$B$100/10</f>
        <v>2315.9</v>
      </c>
      <c r="I82" s="138">
        <f>'YEAR 6'!$B$100/10</f>
        <v>2315.9</v>
      </c>
      <c r="J82" s="164">
        <f t="shared" si="18"/>
        <v>11579.5</v>
      </c>
      <c r="K82" s="166"/>
      <c r="L82" s="138">
        <f>'YEAR 6'!$B$100/10</f>
        <v>2315.9</v>
      </c>
      <c r="M82" s="138">
        <f>'YEAR 6'!$B$100/10</f>
        <v>2315.9</v>
      </c>
      <c r="N82" s="138">
        <f>'YEAR 6'!$B$100/10</f>
        <v>2315.9</v>
      </c>
      <c r="O82" s="138">
        <f>'YEAR 6'!$B$100/10</f>
        <v>2315.9</v>
      </c>
      <c r="P82" s="138">
        <f>'YEAR 6'!$B$100/10</f>
        <v>2315.9</v>
      </c>
      <c r="Q82" s="138">
        <v>0</v>
      </c>
      <c r="R82" s="159">
        <f t="shared" si="19"/>
        <v>11579.5</v>
      </c>
      <c r="S82" s="193">
        <f t="shared" si="7"/>
        <v>23159.000000000004</v>
      </c>
    </row>
    <row r="83" spans="1:19" x14ac:dyDescent="0.2">
      <c r="A83" s="49" t="s">
        <v>49</v>
      </c>
      <c r="B83" s="108"/>
      <c r="C83" s="138">
        <v>0</v>
      </c>
      <c r="D83" s="138">
        <v>0</v>
      </c>
      <c r="E83" s="138"/>
      <c r="F83" s="138"/>
      <c r="G83" s="138"/>
      <c r="H83" s="138"/>
      <c r="I83" s="138"/>
      <c r="J83" s="164">
        <f t="shared" si="18"/>
        <v>0</v>
      </c>
      <c r="K83" s="166"/>
      <c r="L83" s="138"/>
      <c r="M83" s="138"/>
      <c r="N83" s="138"/>
      <c r="O83" s="138"/>
      <c r="P83" s="138"/>
      <c r="Q83" s="138">
        <v>0</v>
      </c>
      <c r="R83" s="159">
        <f t="shared" si="19"/>
        <v>0</v>
      </c>
      <c r="S83" s="193">
        <f t="shared" si="7"/>
        <v>0</v>
      </c>
    </row>
    <row r="84" spans="1:19" x14ac:dyDescent="0.2">
      <c r="A84" s="49" t="s">
        <v>28</v>
      </c>
      <c r="B84" s="108"/>
      <c r="C84" s="138">
        <v>0</v>
      </c>
      <c r="D84" s="138">
        <v>0</v>
      </c>
      <c r="E84" s="138">
        <f>'YEAR 6'!$B$102/10</f>
        <v>11600</v>
      </c>
      <c r="F84" s="138">
        <f>'YEAR 6'!$B$102/10</f>
        <v>11600</v>
      </c>
      <c r="G84" s="138">
        <f>'YEAR 6'!$B$102/10</f>
        <v>11600</v>
      </c>
      <c r="H84" s="138">
        <f>'YEAR 6'!$B$102/10</f>
        <v>11600</v>
      </c>
      <c r="I84" s="138">
        <f>'YEAR 6'!$B$102/10</f>
        <v>11600</v>
      </c>
      <c r="J84" s="164">
        <f t="shared" si="18"/>
        <v>58000</v>
      </c>
      <c r="K84" s="166"/>
      <c r="L84" s="138">
        <f>'YEAR 6'!$B$102/10</f>
        <v>11600</v>
      </c>
      <c r="M84" s="138">
        <f>'YEAR 6'!$B$102/10</f>
        <v>11600</v>
      </c>
      <c r="N84" s="138">
        <f>'YEAR 6'!$B$102/10</f>
        <v>11600</v>
      </c>
      <c r="O84" s="138">
        <f>'YEAR 6'!$B$102/10</f>
        <v>11600</v>
      </c>
      <c r="P84" s="138">
        <f>'YEAR 6'!$B$102/10</f>
        <v>11600</v>
      </c>
      <c r="Q84" s="138">
        <v>0</v>
      </c>
      <c r="R84" s="159">
        <f t="shared" si="19"/>
        <v>58000</v>
      </c>
      <c r="S84" s="193">
        <f t="shared" si="7"/>
        <v>116000</v>
      </c>
    </row>
    <row r="85" spans="1:19" x14ac:dyDescent="0.2">
      <c r="A85" s="49" t="s">
        <v>29</v>
      </c>
      <c r="B85" s="108"/>
      <c r="C85" s="138">
        <v>0</v>
      </c>
      <c r="D85" s="138">
        <v>0</v>
      </c>
      <c r="E85" s="138">
        <f>'YEAR 6'!$B$103/10</f>
        <v>4500</v>
      </c>
      <c r="F85" s="138">
        <f>'YEAR 6'!$B$103/10</f>
        <v>4500</v>
      </c>
      <c r="G85" s="138">
        <f>'YEAR 6'!$B$103/10</f>
        <v>4500</v>
      </c>
      <c r="H85" s="138">
        <f>'YEAR 6'!$B$103/10</f>
        <v>4500</v>
      </c>
      <c r="I85" s="138">
        <f>'YEAR 6'!$B$103/10</f>
        <v>4500</v>
      </c>
      <c r="J85" s="164">
        <f t="shared" si="18"/>
        <v>22500</v>
      </c>
      <c r="K85" s="166"/>
      <c r="L85" s="138">
        <f>'YEAR 6'!$B$103/10</f>
        <v>4500</v>
      </c>
      <c r="M85" s="138">
        <f>'YEAR 6'!$B$103/10</f>
        <v>4500</v>
      </c>
      <c r="N85" s="138">
        <f>'YEAR 6'!$B$103/10</f>
        <v>4500</v>
      </c>
      <c r="O85" s="138">
        <f>'YEAR 6'!$B$103/10</f>
        <v>4500</v>
      </c>
      <c r="P85" s="138">
        <f>'YEAR 6'!$B$103/10</f>
        <v>4500</v>
      </c>
      <c r="Q85" s="138">
        <v>0</v>
      </c>
      <c r="R85" s="159">
        <f t="shared" si="19"/>
        <v>22500</v>
      </c>
      <c r="S85" s="193">
        <f t="shared" ref="S85:S142" si="20">SUM(L85:Q85,D85:I85)</f>
        <v>45000</v>
      </c>
    </row>
    <row r="86" spans="1:19" x14ac:dyDescent="0.2">
      <c r="A86" s="49" t="s">
        <v>131</v>
      </c>
      <c r="B86" s="108"/>
      <c r="C86" s="138">
        <v>0</v>
      </c>
      <c r="D86" s="138">
        <v>0</v>
      </c>
      <c r="E86" s="138">
        <f>'YEAR 6'!B104</f>
        <v>0</v>
      </c>
      <c r="F86" s="138">
        <v>0</v>
      </c>
      <c r="G86" s="138">
        <v>0</v>
      </c>
      <c r="H86" s="138">
        <v>0</v>
      </c>
      <c r="I86" s="138">
        <v>0</v>
      </c>
      <c r="J86" s="164">
        <f t="shared" si="18"/>
        <v>0</v>
      </c>
      <c r="K86" s="166"/>
      <c r="L86" s="138">
        <v>0</v>
      </c>
      <c r="M86" s="138">
        <v>0</v>
      </c>
      <c r="N86" s="138">
        <v>0</v>
      </c>
      <c r="O86" s="138">
        <v>0</v>
      </c>
      <c r="P86" s="138">
        <v>0</v>
      </c>
      <c r="Q86" s="138">
        <v>0</v>
      </c>
      <c r="R86" s="159">
        <f t="shared" si="19"/>
        <v>0</v>
      </c>
      <c r="S86" s="193">
        <f t="shared" si="20"/>
        <v>0</v>
      </c>
    </row>
    <row r="87" spans="1:19" x14ac:dyDescent="0.2">
      <c r="A87" s="49" t="str">
        <f>'YEAR 6'!A105</f>
        <v>Other (Summer School)</v>
      </c>
      <c r="B87" s="108"/>
      <c r="C87" s="138">
        <v>0</v>
      </c>
      <c r="D87" s="138">
        <f>'YEAR 6'!$B$105</f>
        <v>20000</v>
      </c>
      <c r="E87" s="138"/>
      <c r="F87" s="138">
        <v>0</v>
      </c>
      <c r="G87" s="138">
        <v>0</v>
      </c>
      <c r="H87" s="138">
        <v>0</v>
      </c>
      <c r="I87" s="138">
        <v>0</v>
      </c>
      <c r="J87" s="164">
        <f t="shared" si="18"/>
        <v>20000</v>
      </c>
      <c r="K87" s="166"/>
      <c r="L87" s="138">
        <v>0</v>
      </c>
      <c r="M87" s="138">
        <v>0</v>
      </c>
      <c r="N87" s="138">
        <v>0</v>
      </c>
      <c r="O87" s="138">
        <v>0</v>
      </c>
      <c r="P87" s="138">
        <v>0</v>
      </c>
      <c r="Q87" s="138">
        <v>0</v>
      </c>
      <c r="R87" s="159">
        <f t="shared" si="19"/>
        <v>0</v>
      </c>
      <c r="S87" s="193">
        <f t="shared" si="20"/>
        <v>20000</v>
      </c>
    </row>
    <row r="88" spans="1:19" x14ac:dyDescent="0.2">
      <c r="A88" s="49" t="s">
        <v>48</v>
      </c>
      <c r="B88" s="108"/>
      <c r="C88" s="138">
        <v>0</v>
      </c>
      <c r="D88" s="138">
        <v>0</v>
      </c>
      <c r="E88" s="138">
        <f>'YEAR 6'!B106</f>
        <v>0</v>
      </c>
      <c r="F88" s="138">
        <v>0</v>
      </c>
      <c r="G88" s="138">
        <v>0</v>
      </c>
      <c r="H88" s="138">
        <v>0</v>
      </c>
      <c r="I88" s="138">
        <v>0</v>
      </c>
      <c r="J88" s="164">
        <f t="shared" si="18"/>
        <v>0</v>
      </c>
      <c r="K88" s="166"/>
      <c r="L88" s="138">
        <v>0</v>
      </c>
      <c r="M88" s="138">
        <v>0</v>
      </c>
      <c r="N88" s="138">
        <v>0</v>
      </c>
      <c r="O88" s="138">
        <v>0</v>
      </c>
      <c r="P88" s="138">
        <v>0</v>
      </c>
      <c r="Q88" s="138">
        <v>0</v>
      </c>
      <c r="R88" s="159">
        <f t="shared" si="19"/>
        <v>0</v>
      </c>
      <c r="S88" s="193">
        <f t="shared" si="20"/>
        <v>0</v>
      </c>
    </row>
    <row r="89" spans="1:19" x14ac:dyDescent="0.2">
      <c r="A89" s="49" t="s">
        <v>48</v>
      </c>
      <c r="B89" s="108"/>
      <c r="C89" s="138">
        <v>0</v>
      </c>
      <c r="D89" s="138">
        <v>0</v>
      </c>
      <c r="E89" s="138">
        <v>0</v>
      </c>
      <c r="F89" s="138">
        <v>0</v>
      </c>
      <c r="G89" s="138">
        <v>0</v>
      </c>
      <c r="H89" s="138">
        <v>0</v>
      </c>
      <c r="I89" s="138">
        <v>0</v>
      </c>
      <c r="J89" s="164">
        <f t="shared" si="18"/>
        <v>0</v>
      </c>
      <c r="K89" s="166"/>
      <c r="L89" s="138">
        <v>0</v>
      </c>
      <c r="M89" s="138">
        <v>0</v>
      </c>
      <c r="N89" s="138">
        <v>0</v>
      </c>
      <c r="O89" s="138">
        <v>0</v>
      </c>
      <c r="P89" s="138">
        <v>0</v>
      </c>
      <c r="Q89" s="138">
        <v>0</v>
      </c>
      <c r="R89" s="159">
        <f t="shared" si="19"/>
        <v>0</v>
      </c>
      <c r="S89" s="193">
        <f t="shared" si="20"/>
        <v>0</v>
      </c>
    </row>
    <row r="90" spans="1:19" x14ac:dyDescent="0.2">
      <c r="A90" s="49" t="s">
        <v>48</v>
      </c>
      <c r="B90" s="108"/>
      <c r="C90" s="138">
        <v>0</v>
      </c>
      <c r="D90" s="138">
        <v>0</v>
      </c>
      <c r="E90" s="138">
        <v>0</v>
      </c>
      <c r="F90" s="138">
        <v>0</v>
      </c>
      <c r="G90" s="138">
        <v>0</v>
      </c>
      <c r="H90" s="138">
        <v>0</v>
      </c>
      <c r="I90" s="138">
        <v>0</v>
      </c>
      <c r="J90" s="164">
        <f t="shared" si="18"/>
        <v>0</v>
      </c>
      <c r="K90" s="166"/>
      <c r="L90" s="138">
        <v>0</v>
      </c>
      <c r="M90" s="138">
        <v>0</v>
      </c>
      <c r="N90" s="138">
        <v>0</v>
      </c>
      <c r="O90" s="138">
        <v>0</v>
      </c>
      <c r="P90" s="138">
        <v>0</v>
      </c>
      <c r="Q90" s="138">
        <v>0</v>
      </c>
      <c r="R90" s="159">
        <f t="shared" si="19"/>
        <v>0</v>
      </c>
      <c r="S90" s="193">
        <f t="shared" si="20"/>
        <v>0</v>
      </c>
    </row>
    <row r="91" spans="1:19" s="43" customFormat="1" x14ac:dyDescent="0.2">
      <c r="A91" s="20" t="s">
        <v>78</v>
      </c>
      <c r="B91" s="108"/>
      <c r="C91" s="143">
        <f>SUM(C71:C90)</f>
        <v>7650</v>
      </c>
      <c r="D91" s="143">
        <f t="shared" ref="D91:R91" si="21">SUM(D71:D90)</f>
        <v>47650</v>
      </c>
      <c r="E91" s="143">
        <f t="shared" si="21"/>
        <v>30065.9</v>
      </c>
      <c r="F91" s="143">
        <f t="shared" si="21"/>
        <v>29565.9</v>
      </c>
      <c r="G91" s="143">
        <f t="shared" si="21"/>
        <v>29565.9</v>
      </c>
      <c r="H91" s="143">
        <f t="shared" si="21"/>
        <v>29565.9</v>
      </c>
      <c r="I91" s="143">
        <f t="shared" si="21"/>
        <v>29565.9</v>
      </c>
      <c r="J91" s="143">
        <f t="shared" si="21"/>
        <v>203629.5</v>
      </c>
      <c r="K91" s="168"/>
      <c r="L91" s="143">
        <f t="shared" si="21"/>
        <v>50065.9</v>
      </c>
      <c r="M91" s="143">
        <f t="shared" si="21"/>
        <v>29565.9</v>
      </c>
      <c r="N91" s="143">
        <f t="shared" si="21"/>
        <v>29565.9</v>
      </c>
      <c r="O91" s="143">
        <f t="shared" si="21"/>
        <v>29565.9</v>
      </c>
      <c r="P91" s="143">
        <f t="shared" si="21"/>
        <v>29565.9</v>
      </c>
      <c r="Q91" s="143">
        <f t="shared" si="21"/>
        <v>7650</v>
      </c>
      <c r="R91" s="143">
        <f t="shared" si="21"/>
        <v>175979.5</v>
      </c>
      <c r="S91" s="193">
        <f t="shared" si="20"/>
        <v>371959.00000000006</v>
      </c>
    </row>
    <row r="92" spans="1:19" s="45" customFormat="1" x14ac:dyDescent="0.2">
      <c r="A92" s="63"/>
      <c r="B92" s="108"/>
      <c r="C92" s="142"/>
      <c r="D92" s="119"/>
      <c r="E92" s="61"/>
      <c r="F92" s="61"/>
      <c r="G92" s="61"/>
      <c r="H92" s="61"/>
      <c r="I92" s="61"/>
      <c r="J92" s="61"/>
      <c r="K92" s="141"/>
      <c r="L92" s="61"/>
      <c r="M92" s="61"/>
      <c r="N92" s="61"/>
      <c r="O92" s="61"/>
      <c r="P92" s="61"/>
      <c r="Q92" s="61"/>
      <c r="R92" s="10"/>
      <c r="S92" s="193">
        <f t="shared" si="20"/>
        <v>0</v>
      </c>
    </row>
    <row r="93" spans="1:19" x14ac:dyDescent="0.2">
      <c r="A93" s="63" t="s">
        <v>33</v>
      </c>
      <c r="B93" s="108"/>
      <c r="C93" s="142"/>
      <c r="D93" s="119"/>
      <c r="E93" s="61"/>
      <c r="F93" s="61"/>
      <c r="G93" s="61"/>
      <c r="H93" s="61"/>
      <c r="I93" s="61"/>
      <c r="J93" s="61"/>
      <c r="K93" s="141"/>
      <c r="L93" s="61"/>
      <c r="M93" s="61"/>
      <c r="N93" s="61"/>
      <c r="O93" s="61"/>
      <c r="P93" s="61"/>
      <c r="Q93" s="61"/>
      <c r="R93" s="10"/>
      <c r="S93" s="193">
        <f t="shared" si="20"/>
        <v>0</v>
      </c>
    </row>
    <row r="94" spans="1:19" x14ac:dyDescent="0.2">
      <c r="A94" s="49" t="s">
        <v>34</v>
      </c>
      <c r="B94" s="108"/>
      <c r="C94" s="138"/>
      <c r="D94" s="138">
        <f>'YEAR 6'!$B$112/12</f>
        <v>24166.666666666668</v>
      </c>
      <c r="E94" s="138">
        <f>'YEAR 6'!$B$112/12</f>
        <v>24166.666666666668</v>
      </c>
      <c r="F94" s="138">
        <f>'YEAR 6'!$B$112/12</f>
        <v>24166.666666666668</v>
      </c>
      <c r="G94" s="138">
        <f>'YEAR 6'!$B$112/12</f>
        <v>24166.666666666668</v>
      </c>
      <c r="H94" s="138">
        <f>'YEAR 6'!$B$112/12</f>
        <v>24166.666666666668</v>
      </c>
      <c r="I94" s="138">
        <f>'YEAR 6'!$B$112/12</f>
        <v>24166.666666666668</v>
      </c>
      <c r="J94" s="164">
        <f t="shared" ref="J94:J106" si="22">SUM(C94:I94)</f>
        <v>145000</v>
      </c>
      <c r="K94" s="166"/>
      <c r="L94" s="138">
        <f>'YEAR 6'!$B$112/12</f>
        <v>24166.666666666668</v>
      </c>
      <c r="M94" s="138">
        <f>'YEAR 6'!$B$112/12</f>
        <v>24166.666666666668</v>
      </c>
      <c r="N94" s="138">
        <f>'YEAR 6'!$B$112/12</f>
        <v>24166.666666666668</v>
      </c>
      <c r="O94" s="138">
        <f>'YEAR 6'!$B$112/12</f>
        <v>24166.666666666668</v>
      </c>
      <c r="P94" s="138">
        <f>'YEAR 6'!$B$112/12</f>
        <v>24166.666666666668</v>
      </c>
      <c r="Q94" s="138">
        <f>'YEAR 6'!$B$112/12</f>
        <v>24166.666666666668</v>
      </c>
      <c r="R94" s="159">
        <f t="shared" ref="R94:R106" si="23">SUM(L94:Q94)</f>
        <v>145000</v>
      </c>
      <c r="S94" s="193">
        <f t="shared" si="20"/>
        <v>290000</v>
      </c>
    </row>
    <row r="95" spans="1:19" x14ac:dyDescent="0.2">
      <c r="A95" s="141" t="s">
        <v>132</v>
      </c>
      <c r="B95" s="108"/>
      <c r="C95" s="138">
        <v>0</v>
      </c>
      <c r="D95" s="138">
        <f>'YEAR 6'!$B$113/6</f>
        <v>6225.333333333333</v>
      </c>
      <c r="E95" s="138">
        <f>'YEAR 6'!$B$113/6</f>
        <v>6225.333333333333</v>
      </c>
      <c r="F95" s="138">
        <f>'YEAR 6'!$B$113/6</f>
        <v>6225.333333333333</v>
      </c>
      <c r="G95" s="138">
        <f>'YEAR 6'!$B$113/6</f>
        <v>6225.333333333333</v>
      </c>
      <c r="H95" s="138">
        <f>'YEAR 6'!$B$113/6</f>
        <v>6225.333333333333</v>
      </c>
      <c r="I95" s="138">
        <f>'YEAR 6'!$B$113/6</f>
        <v>6225.333333333333</v>
      </c>
      <c r="J95" s="164">
        <f t="shared" si="22"/>
        <v>37352</v>
      </c>
      <c r="K95" s="166"/>
      <c r="L95" s="138">
        <v>0</v>
      </c>
      <c r="M95" s="138">
        <v>0</v>
      </c>
      <c r="N95" s="138">
        <v>0</v>
      </c>
      <c r="O95" s="138">
        <v>0</v>
      </c>
      <c r="P95" s="138">
        <v>0</v>
      </c>
      <c r="Q95" s="138">
        <v>0</v>
      </c>
      <c r="R95" s="159">
        <f t="shared" si="23"/>
        <v>0</v>
      </c>
      <c r="S95" s="193">
        <f t="shared" si="20"/>
        <v>37352</v>
      </c>
    </row>
    <row r="96" spans="1:19" x14ac:dyDescent="0.2">
      <c r="A96" s="89" t="s">
        <v>35</v>
      </c>
      <c r="B96" s="108"/>
      <c r="C96" s="138">
        <f>'YEAR 6'!$B$114/12</f>
        <v>2916.6666666666665</v>
      </c>
      <c r="D96" s="138">
        <f>'YEAR 6'!$B$114/12</f>
        <v>2916.6666666666665</v>
      </c>
      <c r="E96" s="138">
        <f>'YEAR 6'!$B$114/12</f>
        <v>2916.6666666666665</v>
      </c>
      <c r="F96" s="138">
        <f>'YEAR 6'!$B$114/12</f>
        <v>2916.6666666666665</v>
      </c>
      <c r="G96" s="138">
        <f>'YEAR 6'!$B$114/12</f>
        <v>2916.6666666666665</v>
      </c>
      <c r="H96" s="138">
        <f>'YEAR 6'!$B$114/12</f>
        <v>2916.6666666666665</v>
      </c>
      <c r="I96" s="138">
        <f>'YEAR 6'!$B$114/12</f>
        <v>2916.6666666666665</v>
      </c>
      <c r="J96" s="164">
        <f t="shared" si="22"/>
        <v>20416.666666666668</v>
      </c>
      <c r="K96" s="166"/>
      <c r="L96" s="138">
        <f>'YEAR 6'!$B$114/12</f>
        <v>2916.6666666666665</v>
      </c>
      <c r="M96" s="138">
        <f>'YEAR 6'!$B$114/12</f>
        <v>2916.6666666666665</v>
      </c>
      <c r="N96" s="138">
        <f>'YEAR 6'!$B$114/12</f>
        <v>2916.6666666666665</v>
      </c>
      <c r="O96" s="138">
        <f>'YEAR 6'!$B$114/12</f>
        <v>2916.6666666666665</v>
      </c>
      <c r="P96" s="138">
        <f>'YEAR 6'!$B$114/12</f>
        <v>2916.6666666666665</v>
      </c>
      <c r="Q96" s="138">
        <f>'YEAR 6'!$B$114/12</f>
        <v>2916.6666666666665</v>
      </c>
      <c r="R96" s="159">
        <f t="shared" si="23"/>
        <v>17500</v>
      </c>
      <c r="S96" s="193">
        <f t="shared" si="20"/>
        <v>35000.000000000007</v>
      </c>
    </row>
    <row r="97" spans="1:19" x14ac:dyDescent="0.2">
      <c r="A97" s="49" t="s">
        <v>98</v>
      </c>
      <c r="B97" s="108"/>
      <c r="C97" s="138">
        <f>'YEAR 6'!$B$115/12</f>
        <v>241.66666666666666</v>
      </c>
      <c r="D97" s="138">
        <f>'YEAR 6'!$B$115/12</f>
        <v>241.66666666666666</v>
      </c>
      <c r="E97" s="138">
        <f>'YEAR 6'!$B$115/12</f>
        <v>241.66666666666666</v>
      </c>
      <c r="F97" s="138">
        <f>'YEAR 6'!$B$115/12</f>
        <v>241.66666666666666</v>
      </c>
      <c r="G97" s="138">
        <f>'YEAR 6'!$B$115/12</f>
        <v>241.66666666666666</v>
      </c>
      <c r="H97" s="138">
        <f>'YEAR 6'!$B$115/12</f>
        <v>241.66666666666666</v>
      </c>
      <c r="I97" s="138">
        <f>'YEAR 6'!$B$115/12</f>
        <v>241.66666666666666</v>
      </c>
      <c r="J97" s="164">
        <f t="shared" si="22"/>
        <v>1691.6666666666667</v>
      </c>
      <c r="K97" s="166"/>
      <c r="L97" s="138">
        <f>'YEAR 6'!$B$115/12</f>
        <v>241.66666666666666</v>
      </c>
      <c r="M97" s="138">
        <f>'YEAR 6'!$B$115/12</f>
        <v>241.66666666666666</v>
      </c>
      <c r="N97" s="138">
        <f>'YEAR 6'!$B$115/12</f>
        <v>241.66666666666666</v>
      </c>
      <c r="O97" s="138">
        <f>'YEAR 6'!$B$115/12</f>
        <v>241.66666666666666</v>
      </c>
      <c r="P97" s="138">
        <f>'YEAR 6'!$B$115/12</f>
        <v>241.66666666666666</v>
      </c>
      <c r="Q97" s="138">
        <f>'YEAR 6'!$B$115/12</f>
        <v>241.66666666666666</v>
      </c>
      <c r="R97" s="159">
        <f t="shared" si="23"/>
        <v>1450</v>
      </c>
      <c r="S97" s="193">
        <f t="shared" si="20"/>
        <v>2899.9999999999995</v>
      </c>
    </row>
    <row r="98" spans="1:19" x14ac:dyDescent="0.2">
      <c r="A98" s="52" t="s">
        <v>36</v>
      </c>
      <c r="B98" s="108"/>
      <c r="C98" s="138">
        <f>'YEAR 6'!$B$116/12</f>
        <v>1666.6666666666667</v>
      </c>
      <c r="D98" s="138">
        <f>'YEAR 6'!$B$116/12</f>
        <v>1666.6666666666667</v>
      </c>
      <c r="E98" s="138">
        <f>'YEAR 6'!$B$116/12</f>
        <v>1666.6666666666667</v>
      </c>
      <c r="F98" s="138">
        <f>'YEAR 6'!$B$116/12</f>
        <v>1666.6666666666667</v>
      </c>
      <c r="G98" s="138">
        <f>'YEAR 6'!$B$116/12</f>
        <v>1666.6666666666667</v>
      </c>
      <c r="H98" s="138">
        <f>'YEAR 6'!$B$116/12</f>
        <v>1666.6666666666667</v>
      </c>
      <c r="I98" s="138">
        <f>'YEAR 6'!$B$116/12</f>
        <v>1666.6666666666667</v>
      </c>
      <c r="J98" s="164">
        <f t="shared" si="22"/>
        <v>11666.666666666666</v>
      </c>
      <c r="K98" s="166"/>
      <c r="L98" s="138">
        <f>'YEAR 6'!$B$116/12</f>
        <v>1666.6666666666667</v>
      </c>
      <c r="M98" s="138">
        <f>'YEAR 6'!$B$116/12</f>
        <v>1666.6666666666667</v>
      </c>
      <c r="N98" s="138">
        <f>'YEAR 6'!$B$116/12</f>
        <v>1666.6666666666667</v>
      </c>
      <c r="O98" s="138">
        <f>'YEAR 6'!$B$116/12</f>
        <v>1666.6666666666667</v>
      </c>
      <c r="P98" s="138">
        <f>'YEAR 6'!$B$116/12</f>
        <v>1666.6666666666667</v>
      </c>
      <c r="Q98" s="138">
        <f>'YEAR 6'!$B$116/12</f>
        <v>1666.6666666666667</v>
      </c>
      <c r="R98" s="159">
        <f t="shared" si="23"/>
        <v>10000</v>
      </c>
      <c r="S98" s="193">
        <f t="shared" si="20"/>
        <v>20000</v>
      </c>
    </row>
    <row r="99" spans="1:19" x14ac:dyDescent="0.2">
      <c r="A99" s="52" t="s">
        <v>37</v>
      </c>
      <c r="B99" s="108"/>
      <c r="C99" s="138">
        <f>'YEAR 6'!$B$117/12</f>
        <v>1666.6666666666667</v>
      </c>
      <c r="D99" s="138">
        <f>'YEAR 6'!$B$117/12</f>
        <v>1666.6666666666667</v>
      </c>
      <c r="E99" s="138">
        <f>'YEAR 6'!$B$117/12</f>
        <v>1666.6666666666667</v>
      </c>
      <c r="F99" s="138">
        <f>'YEAR 6'!$B$117/12</f>
        <v>1666.6666666666667</v>
      </c>
      <c r="G99" s="138">
        <f>'YEAR 6'!$B$117/12</f>
        <v>1666.6666666666667</v>
      </c>
      <c r="H99" s="138">
        <f>'YEAR 6'!$B$117/12</f>
        <v>1666.6666666666667</v>
      </c>
      <c r="I99" s="138">
        <f>'YEAR 6'!$B$117/12</f>
        <v>1666.6666666666667</v>
      </c>
      <c r="J99" s="164">
        <f t="shared" si="22"/>
        <v>11666.666666666666</v>
      </c>
      <c r="K99" s="166"/>
      <c r="L99" s="138">
        <f>'YEAR 6'!$B$117/12</f>
        <v>1666.6666666666667</v>
      </c>
      <c r="M99" s="138">
        <f>'YEAR 6'!$B$117/12</f>
        <v>1666.6666666666667</v>
      </c>
      <c r="N99" s="138">
        <f>'YEAR 6'!$B$117/12</f>
        <v>1666.6666666666667</v>
      </c>
      <c r="O99" s="138">
        <f>'YEAR 6'!$B$117/12</f>
        <v>1666.6666666666667</v>
      </c>
      <c r="P99" s="138">
        <f>'YEAR 6'!$B$117/12</f>
        <v>1666.6666666666667</v>
      </c>
      <c r="Q99" s="138">
        <f>'YEAR 6'!$B$117/12</f>
        <v>1666.6666666666667</v>
      </c>
      <c r="R99" s="159">
        <f t="shared" si="23"/>
        <v>10000</v>
      </c>
      <c r="S99" s="193">
        <f t="shared" si="20"/>
        <v>20000</v>
      </c>
    </row>
    <row r="100" spans="1:19" x14ac:dyDescent="0.2">
      <c r="A100" s="49" t="s">
        <v>26</v>
      </c>
      <c r="B100" s="108"/>
      <c r="C100" s="138">
        <f>'YEAR 6'!$B$118/12</f>
        <v>2916.6666666666665</v>
      </c>
      <c r="D100" s="138">
        <f>'YEAR 6'!$B$118/12</f>
        <v>2916.6666666666665</v>
      </c>
      <c r="E100" s="138">
        <f>'YEAR 6'!$B$118/12</f>
        <v>2916.6666666666665</v>
      </c>
      <c r="F100" s="138">
        <f>'YEAR 6'!$B$118/12</f>
        <v>2916.6666666666665</v>
      </c>
      <c r="G100" s="138">
        <f>'YEAR 6'!$B$118/12</f>
        <v>2916.6666666666665</v>
      </c>
      <c r="H100" s="138">
        <f>'YEAR 6'!$B$118/12</f>
        <v>2916.6666666666665</v>
      </c>
      <c r="I100" s="138">
        <f>'YEAR 6'!$B$118/12</f>
        <v>2916.6666666666665</v>
      </c>
      <c r="J100" s="164">
        <f t="shared" si="22"/>
        <v>20416.666666666668</v>
      </c>
      <c r="K100" s="166"/>
      <c r="L100" s="138">
        <f>'YEAR 6'!$B$118/12</f>
        <v>2916.6666666666665</v>
      </c>
      <c r="M100" s="138">
        <f>'YEAR 6'!$B$118/12</f>
        <v>2916.6666666666665</v>
      </c>
      <c r="N100" s="138">
        <f>'YEAR 6'!$B$118/12</f>
        <v>2916.6666666666665</v>
      </c>
      <c r="O100" s="138">
        <f>'YEAR 6'!$B$118/12</f>
        <v>2916.6666666666665</v>
      </c>
      <c r="P100" s="138">
        <f>'YEAR 6'!$B$118/12</f>
        <v>2916.6666666666665</v>
      </c>
      <c r="Q100" s="138">
        <f>'YEAR 6'!$B$118/12</f>
        <v>2916.6666666666665</v>
      </c>
      <c r="R100" s="159">
        <f t="shared" si="23"/>
        <v>17500</v>
      </c>
      <c r="S100" s="193">
        <f t="shared" si="20"/>
        <v>35000.000000000007</v>
      </c>
    </row>
    <row r="101" spans="1:19" x14ac:dyDescent="0.2">
      <c r="A101" s="49" t="s">
        <v>30</v>
      </c>
      <c r="B101" s="108"/>
      <c r="C101" s="138">
        <f>'YEAR 6'!$B$119/12</f>
        <v>125</v>
      </c>
      <c r="D101" s="138">
        <f>'YEAR 6'!$B$119/12</f>
        <v>125</v>
      </c>
      <c r="E101" s="138">
        <f>'YEAR 6'!$B$119/12</f>
        <v>125</v>
      </c>
      <c r="F101" s="138">
        <f>'YEAR 6'!$B$119/12</f>
        <v>125</v>
      </c>
      <c r="G101" s="138">
        <f>'YEAR 6'!$B$119/12</f>
        <v>125</v>
      </c>
      <c r="H101" s="138">
        <f>'YEAR 6'!$B$119/12</f>
        <v>125</v>
      </c>
      <c r="I101" s="138">
        <f>'YEAR 6'!$B$119/12</f>
        <v>125</v>
      </c>
      <c r="J101" s="164">
        <f t="shared" si="22"/>
        <v>875</v>
      </c>
      <c r="K101" s="166"/>
      <c r="L101" s="138">
        <f>'YEAR 6'!$B$119/12</f>
        <v>125</v>
      </c>
      <c r="M101" s="138">
        <f>'YEAR 6'!$B$119/12</f>
        <v>125</v>
      </c>
      <c r="N101" s="138">
        <f>'YEAR 6'!$B$119/12</f>
        <v>125</v>
      </c>
      <c r="O101" s="138">
        <f>'YEAR 6'!$B$119/12</f>
        <v>125</v>
      </c>
      <c r="P101" s="138">
        <f>'YEAR 6'!$B$119/12</f>
        <v>125</v>
      </c>
      <c r="Q101" s="138">
        <f>'YEAR 6'!$B$119/12</f>
        <v>125</v>
      </c>
      <c r="R101" s="159">
        <f t="shared" si="23"/>
        <v>750</v>
      </c>
      <c r="S101" s="193">
        <f t="shared" si="20"/>
        <v>1500</v>
      </c>
    </row>
    <row r="102" spans="1:19" x14ac:dyDescent="0.2">
      <c r="A102" s="93" t="s">
        <v>133</v>
      </c>
      <c r="B102" s="108"/>
      <c r="C102" s="138"/>
      <c r="D102" s="138"/>
      <c r="E102" s="138"/>
      <c r="F102" s="138"/>
      <c r="G102" s="138"/>
      <c r="H102" s="138"/>
      <c r="I102" s="138"/>
      <c r="J102" s="164">
        <f t="shared" si="22"/>
        <v>0</v>
      </c>
      <c r="K102" s="166"/>
      <c r="L102" s="138"/>
      <c r="M102" s="138"/>
      <c r="N102" s="138"/>
      <c r="O102" s="138"/>
      <c r="P102" s="138"/>
      <c r="Q102" s="138"/>
      <c r="R102" s="159">
        <f t="shared" si="23"/>
        <v>0</v>
      </c>
      <c r="S102" s="193">
        <f t="shared" si="20"/>
        <v>0</v>
      </c>
    </row>
    <row r="103" spans="1:19" x14ac:dyDescent="0.2">
      <c r="A103" s="49" t="str">
        <f>'YEAR 6'!A121</f>
        <v>Other (Supplies)</v>
      </c>
      <c r="B103" s="108"/>
      <c r="C103" s="138">
        <f>'YEAR 6'!$B$121/12</f>
        <v>791.66666666666663</v>
      </c>
      <c r="D103" s="138">
        <f>'YEAR 6'!$B$121/12</f>
        <v>791.66666666666663</v>
      </c>
      <c r="E103" s="138">
        <f>'YEAR 6'!$B$121/12</f>
        <v>791.66666666666663</v>
      </c>
      <c r="F103" s="138">
        <f>'YEAR 6'!$B$121/12</f>
        <v>791.66666666666663</v>
      </c>
      <c r="G103" s="138">
        <f>'YEAR 6'!$B$121/12</f>
        <v>791.66666666666663</v>
      </c>
      <c r="H103" s="138">
        <f>'YEAR 6'!$B$121/12</f>
        <v>791.66666666666663</v>
      </c>
      <c r="I103" s="138">
        <f>'YEAR 6'!$B$121/12</f>
        <v>791.66666666666663</v>
      </c>
      <c r="J103" s="164">
        <f t="shared" si="22"/>
        <v>5541.666666666667</v>
      </c>
      <c r="K103" s="166"/>
      <c r="L103" s="138">
        <f>'YEAR 6'!$B$121/12</f>
        <v>791.66666666666663</v>
      </c>
      <c r="M103" s="138">
        <f>'YEAR 6'!$B$121/12</f>
        <v>791.66666666666663</v>
      </c>
      <c r="N103" s="138">
        <f>'YEAR 6'!$B$121/12</f>
        <v>791.66666666666663</v>
      </c>
      <c r="O103" s="138">
        <f>'YEAR 6'!$B$121/12</f>
        <v>791.66666666666663</v>
      </c>
      <c r="P103" s="138">
        <f>'YEAR 6'!$B$121/12</f>
        <v>791.66666666666663</v>
      </c>
      <c r="Q103" s="138">
        <f>'YEAR 6'!$B$121/12</f>
        <v>791.66666666666663</v>
      </c>
      <c r="R103" s="159">
        <f t="shared" si="23"/>
        <v>4750</v>
      </c>
      <c r="S103" s="193">
        <f t="shared" si="20"/>
        <v>9500</v>
      </c>
    </row>
    <row r="104" spans="1:19" x14ac:dyDescent="0.2">
      <c r="A104" s="49" t="str">
        <f>'YEAR 6'!A122</f>
        <v>Other (security/alarm)</v>
      </c>
      <c r="B104" s="108"/>
      <c r="C104" s="138">
        <f>'YEAR 6'!$B$122/12</f>
        <v>583.33333333333337</v>
      </c>
      <c r="D104" s="138">
        <f>'YEAR 6'!$B$122/12</f>
        <v>583.33333333333337</v>
      </c>
      <c r="E104" s="138">
        <f>'YEAR 6'!$B$122/12</f>
        <v>583.33333333333337</v>
      </c>
      <c r="F104" s="138">
        <f>'YEAR 6'!$B$122/12</f>
        <v>583.33333333333337</v>
      </c>
      <c r="G104" s="138">
        <f>'YEAR 6'!$B$122/12</f>
        <v>583.33333333333337</v>
      </c>
      <c r="H104" s="138">
        <f>'YEAR 6'!$B$122/12</f>
        <v>583.33333333333337</v>
      </c>
      <c r="I104" s="138">
        <f>'YEAR 6'!$B$122/12</f>
        <v>583.33333333333337</v>
      </c>
      <c r="J104" s="164">
        <f t="shared" si="22"/>
        <v>4083.3333333333339</v>
      </c>
      <c r="K104" s="166"/>
      <c r="L104" s="138">
        <f>'YEAR 6'!$B$122/12</f>
        <v>583.33333333333337</v>
      </c>
      <c r="M104" s="138">
        <f>'YEAR 6'!$B$122/12</f>
        <v>583.33333333333337</v>
      </c>
      <c r="N104" s="138">
        <f>'YEAR 6'!$B$122/12</f>
        <v>583.33333333333337</v>
      </c>
      <c r="O104" s="138">
        <f>'YEAR 6'!$B$122/12</f>
        <v>583.33333333333337</v>
      </c>
      <c r="P104" s="138">
        <f>'YEAR 6'!$B$122/12</f>
        <v>583.33333333333337</v>
      </c>
      <c r="Q104" s="138">
        <f>'YEAR 6'!$B$122/12</f>
        <v>583.33333333333337</v>
      </c>
      <c r="R104" s="159">
        <f t="shared" si="23"/>
        <v>3500.0000000000005</v>
      </c>
      <c r="S104" s="193">
        <f t="shared" si="20"/>
        <v>6999.9999999999991</v>
      </c>
    </row>
    <row r="105" spans="1:19" x14ac:dyDescent="0.2">
      <c r="A105" s="49" t="str">
        <f>'YEAR 6'!A123</f>
        <v xml:space="preserve">Other </v>
      </c>
      <c r="B105" s="108"/>
      <c r="C105" s="138"/>
      <c r="D105" s="138"/>
      <c r="E105" s="138"/>
      <c r="F105" s="138"/>
      <c r="G105" s="138"/>
      <c r="H105" s="138"/>
      <c r="I105" s="138"/>
      <c r="J105" s="164">
        <f t="shared" si="22"/>
        <v>0</v>
      </c>
      <c r="K105" s="166"/>
      <c r="L105" s="138"/>
      <c r="M105" s="138"/>
      <c r="N105" s="138"/>
      <c r="O105" s="138"/>
      <c r="P105" s="138"/>
      <c r="Q105" s="138"/>
      <c r="R105" s="159">
        <f t="shared" si="23"/>
        <v>0</v>
      </c>
      <c r="S105" s="193">
        <f t="shared" si="20"/>
        <v>0</v>
      </c>
    </row>
    <row r="106" spans="1:19" x14ac:dyDescent="0.2">
      <c r="A106" s="49" t="str">
        <f>'YEAR 6'!A124</f>
        <v>Other (pest control)</v>
      </c>
      <c r="B106" s="108"/>
      <c r="C106" s="138">
        <f>'YEAR 6'!$B$124/12</f>
        <v>100</v>
      </c>
      <c r="D106" s="138">
        <f>'YEAR 6'!$B$124/12</f>
        <v>100</v>
      </c>
      <c r="E106" s="138">
        <f>'YEAR 6'!$B$124/12</f>
        <v>100</v>
      </c>
      <c r="F106" s="138">
        <f>'YEAR 6'!$B$124/12</f>
        <v>100</v>
      </c>
      <c r="G106" s="138">
        <f>'YEAR 6'!$B$124/12</f>
        <v>100</v>
      </c>
      <c r="H106" s="138">
        <f>'YEAR 6'!$B$124/12</f>
        <v>100</v>
      </c>
      <c r="I106" s="138">
        <f>'YEAR 6'!$B$124/12</f>
        <v>100</v>
      </c>
      <c r="J106" s="164">
        <f t="shared" si="22"/>
        <v>700</v>
      </c>
      <c r="K106" s="166"/>
      <c r="L106" s="138">
        <f>'YEAR 6'!$B$124/12</f>
        <v>100</v>
      </c>
      <c r="M106" s="138">
        <f>'YEAR 6'!$B$124/12</f>
        <v>100</v>
      </c>
      <c r="N106" s="138">
        <f>'YEAR 6'!$B$124/12</f>
        <v>100</v>
      </c>
      <c r="O106" s="138">
        <f>'YEAR 6'!$B$124/12</f>
        <v>100</v>
      </c>
      <c r="P106" s="138">
        <f>'YEAR 6'!$B$124/12</f>
        <v>100</v>
      </c>
      <c r="Q106" s="138">
        <f>'YEAR 6'!$B$124/12</f>
        <v>100</v>
      </c>
      <c r="R106" s="159">
        <f t="shared" si="23"/>
        <v>600</v>
      </c>
      <c r="S106" s="193">
        <f t="shared" si="20"/>
        <v>1200</v>
      </c>
    </row>
    <row r="107" spans="1:19" x14ac:dyDescent="0.2">
      <c r="A107" s="20" t="s">
        <v>38</v>
      </c>
      <c r="B107" s="108"/>
      <c r="C107" s="143">
        <f>SUM(C94:C106)</f>
        <v>11008.333333333334</v>
      </c>
      <c r="D107" s="143">
        <f t="shared" ref="D107:R107" si="24">SUM(D94:D106)</f>
        <v>41400.333333333321</v>
      </c>
      <c r="E107" s="143">
        <f t="shared" si="24"/>
        <v>41400.333333333321</v>
      </c>
      <c r="F107" s="143">
        <f t="shared" si="24"/>
        <v>41400.333333333321</v>
      </c>
      <c r="G107" s="143">
        <f t="shared" si="24"/>
        <v>41400.333333333321</v>
      </c>
      <c r="H107" s="143">
        <f t="shared" si="24"/>
        <v>41400.333333333321</v>
      </c>
      <c r="I107" s="143">
        <f t="shared" si="24"/>
        <v>41400.333333333321</v>
      </c>
      <c r="J107" s="143">
        <f t="shared" si="24"/>
        <v>259410.33333333328</v>
      </c>
      <c r="K107" s="168"/>
      <c r="L107" s="143">
        <f t="shared" si="24"/>
        <v>35175.000000000007</v>
      </c>
      <c r="M107" s="143">
        <f t="shared" si="24"/>
        <v>35175.000000000007</v>
      </c>
      <c r="N107" s="143">
        <f t="shared" si="24"/>
        <v>35175.000000000007</v>
      </c>
      <c r="O107" s="143">
        <f t="shared" si="24"/>
        <v>35175.000000000007</v>
      </c>
      <c r="P107" s="143">
        <f t="shared" si="24"/>
        <v>35175.000000000007</v>
      </c>
      <c r="Q107" s="143">
        <f t="shared" si="24"/>
        <v>35175.000000000007</v>
      </c>
      <c r="R107" s="143">
        <f t="shared" si="24"/>
        <v>211050</v>
      </c>
      <c r="S107" s="193">
        <f t="shared" si="20"/>
        <v>459451.99999999994</v>
      </c>
    </row>
    <row r="108" spans="1:19" s="45" customFormat="1" x14ac:dyDescent="0.2">
      <c r="A108" s="61"/>
      <c r="B108" s="108"/>
      <c r="C108" s="142"/>
      <c r="D108" s="119"/>
      <c r="E108" s="61"/>
      <c r="F108" s="61"/>
      <c r="G108" s="61"/>
      <c r="H108" s="61"/>
      <c r="I108" s="61"/>
      <c r="J108" s="61"/>
      <c r="K108" s="141"/>
      <c r="L108" s="61"/>
      <c r="M108" s="61"/>
      <c r="N108" s="61"/>
      <c r="O108" s="61"/>
      <c r="P108" s="61"/>
      <c r="Q108" s="61"/>
      <c r="R108" s="10"/>
      <c r="S108" s="193">
        <f t="shared" si="20"/>
        <v>0</v>
      </c>
    </row>
    <row r="109" spans="1:19" x14ac:dyDescent="0.2">
      <c r="A109" s="17" t="s">
        <v>79</v>
      </c>
      <c r="B109" s="115"/>
      <c r="C109" s="142"/>
      <c r="D109" s="119"/>
      <c r="E109" s="61"/>
      <c r="F109" s="61"/>
      <c r="G109" s="61"/>
      <c r="H109" s="61"/>
      <c r="I109" s="61"/>
      <c r="J109" s="61"/>
      <c r="K109" s="141"/>
      <c r="L109" s="61"/>
      <c r="M109" s="61"/>
      <c r="N109" s="61"/>
      <c r="O109" s="61"/>
      <c r="P109" s="61"/>
      <c r="Q109" s="61"/>
      <c r="R109" s="10"/>
      <c r="S109" s="193">
        <f t="shared" si="20"/>
        <v>0</v>
      </c>
    </row>
    <row r="110" spans="1:19" s="45" customFormat="1" x14ac:dyDescent="0.2">
      <c r="A110" s="93" t="s">
        <v>81</v>
      </c>
      <c r="B110" s="115"/>
      <c r="C110" s="138">
        <v>0</v>
      </c>
      <c r="D110" s="138">
        <v>0</v>
      </c>
      <c r="E110" s="138">
        <v>0</v>
      </c>
      <c r="F110" s="138">
        <v>0</v>
      </c>
      <c r="G110" s="138">
        <v>0</v>
      </c>
      <c r="H110" s="138">
        <v>0</v>
      </c>
      <c r="I110" s="138">
        <v>0</v>
      </c>
      <c r="J110" s="164">
        <f t="shared" ref="J110:J116" si="25">SUM(C110:I110)</f>
        <v>0</v>
      </c>
      <c r="K110" s="166"/>
      <c r="L110" s="138">
        <v>0</v>
      </c>
      <c r="M110" s="138">
        <v>0</v>
      </c>
      <c r="N110" s="138">
        <v>0</v>
      </c>
      <c r="O110" s="138">
        <v>0</v>
      </c>
      <c r="P110" s="138">
        <v>0</v>
      </c>
      <c r="Q110" s="138">
        <v>0</v>
      </c>
      <c r="R110" s="159">
        <f t="shared" ref="R110:R116" si="26">SUM(L110:Q110)</f>
        <v>0</v>
      </c>
      <c r="S110" s="193">
        <f t="shared" si="20"/>
        <v>0</v>
      </c>
    </row>
    <row r="111" spans="1:19" s="45" customFormat="1" x14ac:dyDescent="0.2">
      <c r="A111" s="93" t="s">
        <v>102</v>
      </c>
      <c r="B111" s="115"/>
      <c r="C111" s="138">
        <v>800</v>
      </c>
      <c r="D111" s="138">
        <f>'YEAR 6'!$B$129/12</f>
        <v>5524.0445549999995</v>
      </c>
      <c r="E111" s="138">
        <f>'YEAR 6'!$B$129/12</f>
        <v>5524.0445549999995</v>
      </c>
      <c r="F111" s="138">
        <f>'YEAR 6'!$B$129/12</f>
        <v>5524.0445549999995</v>
      </c>
      <c r="G111" s="138">
        <f>'YEAR 6'!$B$129/12</f>
        <v>5524.0445549999995</v>
      </c>
      <c r="H111" s="138">
        <f>'YEAR 6'!$B$129/12</f>
        <v>5524.0445549999995</v>
      </c>
      <c r="I111" s="138">
        <f>'YEAR 6'!$B$129/12</f>
        <v>5524.0445549999995</v>
      </c>
      <c r="J111" s="164">
        <f t="shared" si="25"/>
        <v>33944.267329999995</v>
      </c>
      <c r="K111" s="166"/>
      <c r="L111" s="138">
        <f>'YEAR 6'!$B$129/12</f>
        <v>5524.0445549999995</v>
      </c>
      <c r="M111" s="138">
        <f>'YEAR 6'!$B$129/12</f>
        <v>5524.0445549999995</v>
      </c>
      <c r="N111" s="138">
        <f>'YEAR 6'!$B$129/12</f>
        <v>5524.0445549999995</v>
      </c>
      <c r="O111" s="138">
        <f>'YEAR 6'!$B$129/12</f>
        <v>5524.0445549999995</v>
      </c>
      <c r="P111" s="138">
        <f>'YEAR 6'!$B$129/12</f>
        <v>5524.0445549999995</v>
      </c>
      <c r="Q111" s="138">
        <f>'YEAR 6'!$B$129/12</f>
        <v>5524.0445549999995</v>
      </c>
      <c r="R111" s="159">
        <f t="shared" si="26"/>
        <v>33144.267329999995</v>
      </c>
      <c r="S111" s="193">
        <f t="shared" si="20"/>
        <v>66288.53465999999</v>
      </c>
    </row>
    <row r="112" spans="1:19" s="45" customFormat="1" x14ac:dyDescent="0.2">
      <c r="A112" s="93" t="s">
        <v>80</v>
      </c>
      <c r="B112" s="115"/>
      <c r="C112" s="138">
        <v>0</v>
      </c>
      <c r="D112" s="138"/>
      <c r="E112" s="138"/>
      <c r="F112" s="138"/>
      <c r="G112" s="138"/>
      <c r="H112" s="138"/>
      <c r="I112" s="138"/>
      <c r="J112" s="164">
        <f t="shared" si="25"/>
        <v>0</v>
      </c>
      <c r="K112" s="166"/>
      <c r="L112" s="138"/>
      <c r="M112" s="138"/>
      <c r="N112" s="138"/>
      <c r="O112" s="138"/>
      <c r="P112" s="138"/>
      <c r="Q112" s="138"/>
      <c r="R112" s="159">
        <f t="shared" si="26"/>
        <v>0</v>
      </c>
      <c r="S112" s="193">
        <f t="shared" si="20"/>
        <v>0</v>
      </c>
    </row>
    <row r="113" spans="1:19" s="45" customFormat="1" x14ac:dyDescent="0.2">
      <c r="A113" s="49" t="s">
        <v>48</v>
      </c>
      <c r="B113" s="115"/>
      <c r="C113" s="138">
        <v>0</v>
      </c>
      <c r="D113" s="138"/>
      <c r="E113" s="138"/>
      <c r="F113" s="138"/>
      <c r="G113" s="138"/>
      <c r="H113" s="138"/>
      <c r="I113" s="138"/>
      <c r="J113" s="164">
        <f t="shared" si="25"/>
        <v>0</v>
      </c>
      <c r="K113" s="166"/>
      <c r="L113" s="138"/>
      <c r="M113" s="138"/>
      <c r="N113" s="138"/>
      <c r="O113" s="138"/>
      <c r="P113" s="138"/>
      <c r="Q113" s="138"/>
      <c r="R113" s="159">
        <f t="shared" si="26"/>
        <v>0</v>
      </c>
      <c r="S113" s="193">
        <f t="shared" si="20"/>
        <v>0</v>
      </c>
    </row>
    <row r="114" spans="1:19" s="56" customFormat="1" x14ac:dyDescent="0.2">
      <c r="A114" s="49" t="str">
        <f>'YEAR 6'!A132</f>
        <v>Escrow account for dissillusionment / closure</v>
      </c>
      <c r="B114" s="108"/>
      <c r="C114" s="138">
        <v>0</v>
      </c>
      <c r="D114" s="138">
        <f>'YEAR 6'!$B$132/12</f>
        <v>2500</v>
      </c>
      <c r="E114" s="138">
        <f>'YEAR 6'!$B$132/12</f>
        <v>2500</v>
      </c>
      <c r="F114" s="138">
        <f>'YEAR 6'!$B$132/12</f>
        <v>2500</v>
      </c>
      <c r="G114" s="138">
        <f>'YEAR 6'!$B$132/12</f>
        <v>2500</v>
      </c>
      <c r="H114" s="138">
        <f>'YEAR 6'!$B$132/12</f>
        <v>2500</v>
      </c>
      <c r="I114" s="138">
        <f>'YEAR 6'!$B$132/12</f>
        <v>2500</v>
      </c>
      <c r="J114" s="164">
        <f t="shared" si="25"/>
        <v>15000</v>
      </c>
      <c r="K114" s="166"/>
      <c r="L114" s="138">
        <f>'YEAR 6'!$B$132/12</f>
        <v>2500</v>
      </c>
      <c r="M114" s="138">
        <f>'YEAR 6'!$B$132/12</f>
        <v>2500</v>
      </c>
      <c r="N114" s="138">
        <f>'YEAR 6'!$B$132/12</f>
        <v>2500</v>
      </c>
      <c r="O114" s="138">
        <f>'YEAR 6'!$B$132/12</f>
        <v>2500</v>
      </c>
      <c r="P114" s="138">
        <f>'YEAR 6'!$B$132/12</f>
        <v>2500</v>
      </c>
      <c r="Q114" s="138">
        <f>'YEAR 6'!$B$132/12</f>
        <v>2500</v>
      </c>
      <c r="R114" s="159">
        <f t="shared" si="26"/>
        <v>15000</v>
      </c>
      <c r="S114" s="193">
        <f t="shared" si="20"/>
        <v>30000</v>
      </c>
    </row>
    <row r="115" spans="1:19" x14ac:dyDescent="0.2">
      <c r="A115" s="49" t="str">
        <f>'YEAR 6'!A133</f>
        <v>Other (CSLF deduction)</v>
      </c>
      <c r="B115" s="108"/>
      <c r="C115" s="138">
        <v>0</v>
      </c>
      <c r="D115" s="138">
        <f>'YEAR 6'!$B$133/12</f>
        <v>11171</v>
      </c>
      <c r="E115" s="138">
        <f>'YEAR 6'!$B$133/12</f>
        <v>11171</v>
      </c>
      <c r="F115" s="138">
        <f>'YEAR 6'!$B$133/12</f>
        <v>11171</v>
      </c>
      <c r="G115" s="138">
        <f>'YEAR 6'!$B$133/12</f>
        <v>11171</v>
      </c>
      <c r="H115" s="138">
        <f>'YEAR 6'!$B$133/12</f>
        <v>11171</v>
      </c>
      <c r="I115" s="138">
        <f>'YEAR 6'!$B$133/12</f>
        <v>11171</v>
      </c>
      <c r="J115" s="164">
        <f t="shared" si="25"/>
        <v>67026</v>
      </c>
      <c r="K115" s="166"/>
      <c r="L115" s="138">
        <f>'YEAR 6'!$B$133/12</f>
        <v>11171</v>
      </c>
      <c r="M115" s="138">
        <f>'YEAR 6'!$B$133/12</f>
        <v>11171</v>
      </c>
      <c r="N115" s="138">
        <f>'YEAR 6'!$B$133/12</f>
        <v>11171</v>
      </c>
      <c r="O115" s="138">
        <f>'YEAR 6'!$B$133/12</f>
        <v>11171</v>
      </c>
      <c r="P115" s="138">
        <f>'YEAR 6'!$B$133/12</f>
        <v>11171</v>
      </c>
      <c r="Q115" s="138">
        <f>'YEAR 6'!$B$133/12</f>
        <v>11171</v>
      </c>
      <c r="R115" s="159">
        <f t="shared" si="26"/>
        <v>67026</v>
      </c>
      <c r="S115" s="193">
        <f t="shared" si="20"/>
        <v>134052</v>
      </c>
    </row>
    <row r="116" spans="1:19" x14ac:dyDescent="0.2">
      <c r="A116" s="49" t="str">
        <f>'YEAR 6'!A134</f>
        <v>Other (Challenge debt)</v>
      </c>
      <c r="B116" s="108"/>
      <c r="C116" s="138">
        <v>0</v>
      </c>
      <c r="D116" s="138">
        <f>'YEAR 6'!$B$134/12</f>
        <v>5796.028752319492</v>
      </c>
      <c r="E116" s="138">
        <f>'YEAR 6'!$B$134/12</f>
        <v>5796.028752319492</v>
      </c>
      <c r="F116" s="138">
        <f>'YEAR 6'!$B$134/12</f>
        <v>5796.028752319492</v>
      </c>
      <c r="G116" s="138">
        <f>'YEAR 6'!$B$134/12</f>
        <v>5796.028752319492</v>
      </c>
      <c r="H116" s="138">
        <f>'YEAR 6'!$B$134/12</f>
        <v>5796.028752319492</v>
      </c>
      <c r="I116" s="138">
        <f>'YEAR 6'!$B$134/12</f>
        <v>5796.028752319492</v>
      </c>
      <c r="J116" s="164">
        <f t="shared" si="25"/>
        <v>34776.17251391695</v>
      </c>
      <c r="K116" s="166"/>
      <c r="L116" s="138">
        <f>'YEAR 6'!$B$134/12</f>
        <v>5796.028752319492</v>
      </c>
      <c r="M116" s="138">
        <f>'YEAR 6'!$B$134/12</f>
        <v>5796.028752319492</v>
      </c>
      <c r="N116" s="138">
        <f>'YEAR 6'!$B$134/12</f>
        <v>5796.028752319492</v>
      </c>
      <c r="O116" s="138">
        <f>'YEAR 6'!$B$134/12</f>
        <v>5796.028752319492</v>
      </c>
      <c r="P116" s="138">
        <f>'YEAR 6'!$B$134/12</f>
        <v>5796.028752319492</v>
      </c>
      <c r="Q116" s="138">
        <f>'YEAR 6'!$B$134/12</f>
        <v>5796.028752319492</v>
      </c>
      <c r="R116" s="159">
        <f t="shared" si="26"/>
        <v>34776.17251391695</v>
      </c>
      <c r="S116" s="193">
        <f t="shared" si="20"/>
        <v>69552.345027833901</v>
      </c>
    </row>
    <row r="117" spans="1:19" x14ac:dyDescent="0.2">
      <c r="A117" s="20" t="s">
        <v>39</v>
      </c>
      <c r="B117" s="108"/>
      <c r="C117" s="139">
        <f>SUM(C110:C116)</f>
        <v>800</v>
      </c>
      <c r="D117" s="139">
        <f t="shared" ref="D117:R117" si="27">SUM(D110:D116)</f>
        <v>24991.073307319493</v>
      </c>
      <c r="E117" s="139">
        <f t="shared" si="27"/>
        <v>24991.073307319493</v>
      </c>
      <c r="F117" s="139">
        <f t="shared" si="27"/>
        <v>24991.073307319493</v>
      </c>
      <c r="G117" s="139">
        <f t="shared" si="27"/>
        <v>24991.073307319493</v>
      </c>
      <c r="H117" s="139">
        <f t="shared" si="27"/>
        <v>24991.073307319493</v>
      </c>
      <c r="I117" s="139">
        <f t="shared" si="27"/>
        <v>24991.073307319493</v>
      </c>
      <c r="J117" s="139">
        <f>SUM(J110:J116)</f>
        <v>150746.43984391695</v>
      </c>
      <c r="K117" s="167"/>
      <c r="L117" s="139">
        <f t="shared" si="27"/>
        <v>24991.073307319493</v>
      </c>
      <c r="M117" s="139">
        <f t="shared" si="27"/>
        <v>24991.073307319493</v>
      </c>
      <c r="N117" s="139">
        <f t="shared" si="27"/>
        <v>24991.073307319493</v>
      </c>
      <c r="O117" s="139">
        <f t="shared" si="27"/>
        <v>24991.073307319493</v>
      </c>
      <c r="P117" s="139">
        <f t="shared" si="27"/>
        <v>24991.073307319493</v>
      </c>
      <c r="Q117" s="139">
        <f t="shared" si="27"/>
        <v>24991.073307319493</v>
      </c>
      <c r="R117" s="139">
        <f t="shared" si="27"/>
        <v>149946.43984391695</v>
      </c>
      <c r="S117" s="193">
        <f t="shared" si="20"/>
        <v>299892.87968783389</v>
      </c>
    </row>
    <row r="118" spans="1:19" x14ac:dyDescent="0.2">
      <c r="A118" s="20"/>
      <c r="B118" s="108"/>
      <c r="C118" s="142"/>
      <c r="D118" s="119"/>
      <c r="E118" s="61"/>
      <c r="F118" s="61"/>
      <c r="G118" s="61"/>
      <c r="H118" s="61"/>
      <c r="I118" s="61"/>
      <c r="J118" s="61"/>
      <c r="K118" s="141"/>
      <c r="L118" s="61"/>
      <c r="M118" s="61"/>
      <c r="N118" s="61"/>
      <c r="O118" s="61"/>
      <c r="P118" s="61"/>
      <c r="Q118" s="61"/>
      <c r="R118" s="10"/>
      <c r="S118" s="193">
        <f t="shared" si="20"/>
        <v>0</v>
      </c>
    </row>
    <row r="119" spans="1:19" x14ac:dyDescent="0.2">
      <c r="A119" s="20" t="s">
        <v>40</v>
      </c>
      <c r="B119" s="108"/>
      <c r="C119" s="107">
        <f t="shared" ref="C119:R119" si="28">C117+C107+C91+C68+C57+C45+C28</f>
        <v>88625</v>
      </c>
      <c r="D119" s="107">
        <f t="shared" si="28"/>
        <v>226526.4066406528</v>
      </c>
      <c r="E119" s="107">
        <f t="shared" si="28"/>
        <v>393367.30664065282</v>
      </c>
      <c r="F119" s="107">
        <f t="shared" si="28"/>
        <v>193142.30664065282</v>
      </c>
      <c r="G119" s="107">
        <f t="shared" si="28"/>
        <v>192142.30664065282</v>
      </c>
      <c r="H119" s="107">
        <f t="shared" si="28"/>
        <v>193142.30664065282</v>
      </c>
      <c r="I119" s="107">
        <f t="shared" si="28"/>
        <v>192142.30664065282</v>
      </c>
      <c r="J119" s="107">
        <f t="shared" si="28"/>
        <v>1479087.9398439168</v>
      </c>
      <c r="K119" s="108"/>
      <c r="L119" s="107">
        <f t="shared" si="28"/>
        <v>220666.97330731951</v>
      </c>
      <c r="M119" s="107">
        <f t="shared" si="28"/>
        <v>185916.97330731951</v>
      </c>
      <c r="N119" s="107">
        <f t="shared" si="28"/>
        <v>186916.97330731951</v>
      </c>
      <c r="O119" s="107">
        <f t="shared" si="28"/>
        <v>185916.97330731951</v>
      </c>
      <c r="P119" s="107">
        <f t="shared" si="28"/>
        <v>185916.97330731951</v>
      </c>
      <c r="Q119" s="107">
        <f t="shared" si="28"/>
        <v>159251.07330731949</v>
      </c>
      <c r="R119" s="107">
        <f t="shared" si="28"/>
        <v>1124585.9398439168</v>
      </c>
      <c r="S119" s="193">
        <f t="shared" si="20"/>
        <v>2515048.8796878345</v>
      </c>
    </row>
    <row r="120" spans="1:19" x14ac:dyDescent="0.2">
      <c r="A120" s="20"/>
      <c r="B120" s="108"/>
      <c r="C120" s="107"/>
      <c r="D120" s="107"/>
      <c r="E120" s="107"/>
      <c r="F120" s="107"/>
      <c r="G120" s="107"/>
      <c r="H120" s="107"/>
      <c r="I120" s="107"/>
      <c r="J120" s="107"/>
      <c r="K120" s="108"/>
      <c r="L120" s="107"/>
      <c r="M120" s="107"/>
      <c r="N120" s="107"/>
      <c r="O120" s="107"/>
      <c r="P120" s="107"/>
      <c r="Q120" s="107"/>
      <c r="R120" s="10"/>
      <c r="S120" s="193">
        <f t="shared" si="20"/>
        <v>0</v>
      </c>
    </row>
    <row r="121" spans="1:19" x14ac:dyDescent="0.2">
      <c r="A121" s="20" t="s">
        <v>117</v>
      </c>
      <c r="B121" s="108"/>
      <c r="C121" s="107">
        <f>C17-C119</f>
        <v>1375</v>
      </c>
      <c r="D121" s="107">
        <f t="shared" ref="D121:R121" si="29">D17-D119</f>
        <v>-51915.802890652849</v>
      </c>
      <c r="E121" s="107">
        <f t="shared" si="29"/>
        <v>-218756.70289065287</v>
      </c>
      <c r="F121" s="107">
        <f t="shared" si="29"/>
        <v>72528.297109347128</v>
      </c>
      <c r="G121" s="107">
        <f t="shared" si="29"/>
        <v>31410.519331569347</v>
      </c>
      <c r="H121" s="107">
        <f t="shared" si="29"/>
        <v>55983.163581569388</v>
      </c>
      <c r="I121" s="107">
        <f t="shared" si="29"/>
        <v>44983.163581569388</v>
      </c>
      <c r="J121" s="107">
        <f t="shared" si="29"/>
        <v>-64392.362177250208</v>
      </c>
      <c r="K121" s="108"/>
      <c r="L121" s="107">
        <f t="shared" si="29"/>
        <v>-2589.9325850973255</v>
      </c>
      <c r="M121" s="107">
        <f t="shared" si="29"/>
        <v>104660.06741490267</v>
      </c>
      <c r="N121" s="107">
        <f t="shared" si="29"/>
        <v>31160.067414902674</v>
      </c>
      <c r="O121" s="107">
        <f t="shared" si="29"/>
        <v>32160.067414902674</v>
      </c>
      <c r="P121" s="107">
        <f t="shared" si="29"/>
        <v>32160.067414902674</v>
      </c>
      <c r="Q121" s="107">
        <f t="shared" si="29"/>
        <v>58825.967414902698</v>
      </c>
      <c r="R121" s="107">
        <f t="shared" si="29"/>
        <v>256376.3044894163</v>
      </c>
      <c r="S121" s="193">
        <f t="shared" si="20"/>
        <v>190608.9423121656</v>
      </c>
    </row>
    <row r="122" spans="1:19" x14ac:dyDescent="0.2">
      <c r="A122" s="20"/>
      <c r="B122" s="108"/>
      <c r="C122" s="107"/>
      <c r="D122" s="107"/>
      <c r="E122" s="107"/>
      <c r="F122" s="107"/>
      <c r="G122" s="107"/>
      <c r="H122" s="107"/>
      <c r="I122" s="107"/>
      <c r="J122" s="107"/>
      <c r="K122" s="108"/>
      <c r="L122" s="107"/>
      <c r="M122" s="107"/>
      <c r="N122" s="107"/>
      <c r="O122" s="107"/>
      <c r="P122" s="107"/>
      <c r="Q122" s="107"/>
      <c r="R122" s="10"/>
      <c r="S122" s="193">
        <f t="shared" si="20"/>
        <v>0</v>
      </c>
    </row>
    <row r="123" spans="1:19" x14ac:dyDescent="0.2">
      <c r="A123" s="16" t="s">
        <v>103</v>
      </c>
      <c r="B123" s="108"/>
      <c r="C123" s="95"/>
      <c r="D123" s="80"/>
      <c r="E123" s="54"/>
      <c r="F123" s="54"/>
      <c r="G123" s="54"/>
      <c r="H123" s="54"/>
      <c r="I123" s="54"/>
      <c r="J123" s="61"/>
      <c r="K123" s="141"/>
      <c r="L123" s="54"/>
      <c r="M123" s="54"/>
      <c r="N123" s="54"/>
      <c r="O123" s="54"/>
      <c r="P123" s="54"/>
      <c r="Q123" s="54"/>
      <c r="R123" s="61"/>
      <c r="S123" s="193">
        <f t="shared" si="20"/>
        <v>0</v>
      </c>
    </row>
    <row r="124" spans="1:19" s="45" customFormat="1" x14ac:dyDescent="0.2">
      <c r="A124" s="150" t="s">
        <v>104</v>
      </c>
      <c r="B124" s="146"/>
      <c r="C124" s="140"/>
      <c r="D124" s="77"/>
      <c r="E124" s="141"/>
      <c r="F124" s="141"/>
      <c r="G124" s="141"/>
      <c r="H124" s="141"/>
      <c r="I124" s="141"/>
      <c r="J124" s="61"/>
      <c r="K124" s="141"/>
      <c r="L124" s="141"/>
      <c r="M124" s="141"/>
      <c r="N124" s="141"/>
      <c r="O124" s="141"/>
      <c r="P124" s="141"/>
      <c r="Q124" s="141"/>
      <c r="R124" s="61"/>
      <c r="S124" s="193">
        <f t="shared" si="20"/>
        <v>0</v>
      </c>
    </row>
    <row r="125" spans="1:19" x14ac:dyDescent="0.2">
      <c r="A125" s="155" t="s">
        <v>105</v>
      </c>
      <c r="B125" s="108"/>
      <c r="C125" s="156">
        <v>5000</v>
      </c>
      <c r="D125" s="156">
        <v>5000</v>
      </c>
      <c r="E125" s="156">
        <v>5000</v>
      </c>
      <c r="F125" s="156">
        <v>5000</v>
      </c>
      <c r="G125" s="156">
        <v>5000</v>
      </c>
      <c r="H125" s="156">
        <v>5000</v>
      </c>
      <c r="I125" s="156">
        <v>5000</v>
      </c>
      <c r="J125" s="61"/>
      <c r="K125" s="141"/>
      <c r="L125" s="156">
        <v>5000</v>
      </c>
      <c r="M125" s="156">
        <v>5000</v>
      </c>
      <c r="N125" s="156">
        <v>5000</v>
      </c>
      <c r="O125" s="156">
        <v>5000</v>
      </c>
      <c r="P125" s="156">
        <v>5000</v>
      </c>
      <c r="Q125" s="156">
        <v>5000</v>
      </c>
      <c r="R125" s="159">
        <f>SUM(L125:Q125)</f>
        <v>30000</v>
      </c>
      <c r="S125" s="193">
        <f t="shared" si="20"/>
        <v>60000</v>
      </c>
    </row>
    <row r="126" spans="1:19" x14ac:dyDescent="0.2">
      <c r="A126" s="155" t="s">
        <v>79</v>
      </c>
      <c r="B126" s="108"/>
      <c r="C126" s="156">
        <v>0</v>
      </c>
      <c r="D126" s="156">
        <v>0</v>
      </c>
      <c r="E126" s="156">
        <v>0</v>
      </c>
      <c r="F126" s="156">
        <v>0</v>
      </c>
      <c r="G126" s="156">
        <v>0</v>
      </c>
      <c r="H126" s="156">
        <v>0</v>
      </c>
      <c r="I126" s="156">
        <v>0</v>
      </c>
      <c r="J126" s="61"/>
      <c r="K126" s="141"/>
      <c r="L126" s="156">
        <v>0</v>
      </c>
      <c r="M126" s="156">
        <v>0</v>
      </c>
      <c r="N126" s="156">
        <v>0</v>
      </c>
      <c r="O126" s="156">
        <v>0</v>
      </c>
      <c r="P126" s="156">
        <v>0</v>
      </c>
      <c r="Q126" s="156">
        <v>0</v>
      </c>
      <c r="R126" s="159">
        <f>SUM(L126:Q126)</f>
        <v>0</v>
      </c>
      <c r="S126" s="193">
        <f t="shared" si="20"/>
        <v>0</v>
      </c>
    </row>
    <row r="127" spans="1:19" x14ac:dyDescent="0.2">
      <c r="A127" s="158" t="s">
        <v>106</v>
      </c>
      <c r="B127" s="108"/>
      <c r="C127" s="159">
        <f>SUM(C125:C126)</f>
        <v>5000</v>
      </c>
      <c r="D127" s="159">
        <f t="shared" ref="D127:R127" si="30">SUM(D125:D126)</f>
        <v>5000</v>
      </c>
      <c r="E127" s="159">
        <f t="shared" si="30"/>
        <v>5000</v>
      </c>
      <c r="F127" s="159">
        <f t="shared" si="30"/>
        <v>5000</v>
      </c>
      <c r="G127" s="159">
        <f t="shared" si="30"/>
        <v>5000</v>
      </c>
      <c r="H127" s="159">
        <f t="shared" si="30"/>
        <v>5000</v>
      </c>
      <c r="I127" s="159">
        <f t="shared" si="30"/>
        <v>5000</v>
      </c>
      <c r="J127" s="159">
        <f t="shared" si="30"/>
        <v>0</v>
      </c>
      <c r="K127" s="169"/>
      <c r="L127" s="159">
        <f t="shared" si="30"/>
        <v>5000</v>
      </c>
      <c r="M127" s="159">
        <f t="shared" si="30"/>
        <v>5000</v>
      </c>
      <c r="N127" s="159">
        <f t="shared" si="30"/>
        <v>5000</v>
      </c>
      <c r="O127" s="159">
        <f t="shared" si="30"/>
        <v>5000</v>
      </c>
      <c r="P127" s="159">
        <f t="shared" si="30"/>
        <v>5000</v>
      </c>
      <c r="Q127" s="159">
        <f t="shared" si="30"/>
        <v>5000</v>
      </c>
      <c r="R127" s="159">
        <f t="shared" si="30"/>
        <v>30000</v>
      </c>
      <c r="S127" s="193">
        <f t="shared" si="20"/>
        <v>60000</v>
      </c>
    </row>
    <row r="128" spans="1:19" x14ac:dyDescent="0.2">
      <c r="A128" s="151" t="s">
        <v>107</v>
      </c>
      <c r="B128" s="106"/>
      <c r="C128" s="54"/>
      <c r="D128" s="80"/>
      <c r="E128" s="54"/>
      <c r="F128" s="54"/>
      <c r="G128" s="54"/>
      <c r="H128" s="54"/>
      <c r="I128" s="54"/>
      <c r="J128" s="61"/>
      <c r="K128" s="141"/>
      <c r="L128" s="54"/>
      <c r="M128" s="54"/>
      <c r="N128" s="54"/>
      <c r="O128" s="54"/>
      <c r="P128" s="54"/>
      <c r="Q128" s="54"/>
      <c r="R128" s="61"/>
      <c r="S128" s="193">
        <f t="shared" si="20"/>
        <v>0</v>
      </c>
    </row>
    <row r="129" spans="1:21" ht="24" x14ac:dyDescent="0.2">
      <c r="A129" s="157" t="s">
        <v>115</v>
      </c>
      <c r="B129" s="108"/>
      <c r="C129" s="156">
        <v>0</v>
      </c>
      <c r="D129" s="156">
        <v>0</v>
      </c>
      <c r="E129" s="156">
        <v>0</v>
      </c>
      <c r="F129" s="156">
        <v>0</v>
      </c>
      <c r="G129" s="156">
        <v>0</v>
      </c>
      <c r="H129" s="156">
        <v>0</v>
      </c>
      <c r="I129" s="156">
        <v>0</v>
      </c>
      <c r="J129" s="154">
        <v>0</v>
      </c>
      <c r="K129" s="156"/>
      <c r="L129" s="156">
        <v>0</v>
      </c>
      <c r="M129" s="156">
        <v>0</v>
      </c>
      <c r="N129" s="156">
        <v>0</v>
      </c>
      <c r="O129" s="156">
        <v>0</v>
      </c>
      <c r="P129" s="156">
        <v>0</v>
      </c>
      <c r="Q129" s="156">
        <v>0</v>
      </c>
      <c r="R129" s="159">
        <f>SUM(L129:Q129)</f>
        <v>0</v>
      </c>
      <c r="S129" s="193">
        <f t="shared" si="20"/>
        <v>0</v>
      </c>
      <c r="T129" s="45"/>
    </row>
    <row r="130" spans="1:21" x14ac:dyDescent="0.2">
      <c r="A130" s="155" t="s">
        <v>79</v>
      </c>
      <c r="B130" s="108"/>
      <c r="C130" s="156">
        <v>0</v>
      </c>
      <c r="D130" s="156">
        <v>0</v>
      </c>
      <c r="E130" s="156">
        <v>0</v>
      </c>
      <c r="F130" s="156">
        <v>0</v>
      </c>
      <c r="G130" s="156">
        <v>0</v>
      </c>
      <c r="H130" s="156">
        <v>0</v>
      </c>
      <c r="I130" s="156">
        <v>0</v>
      </c>
      <c r="J130" s="154">
        <v>0</v>
      </c>
      <c r="K130" s="156"/>
      <c r="L130" s="156">
        <v>0</v>
      </c>
      <c r="M130" s="156">
        <v>0</v>
      </c>
      <c r="N130" s="156">
        <v>0</v>
      </c>
      <c r="O130" s="156">
        <v>0</v>
      </c>
      <c r="P130" s="156">
        <v>0</v>
      </c>
      <c r="Q130" s="156">
        <v>0</v>
      </c>
      <c r="R130" s="159">
        <f>SUM(L130:Q130)</f>
        <v>0</v>
      </c>
      <c r="S130" s="193">
        <f t="shared" si="20"/>
        <v>0</v>
      </c>
      <c r="T130" s="45"/>
    </row>
    <row r="131" spans="1:21" x14ac:dyDescent="0.2">
      <c r="A131" s="158" t="s">
        <v>108</v>
      </c>
      <c r="B131" s="108"/>
      <c r="C131" s="159">
        <f>SUM(C129:C130)</f>
        <v>0</v>
      </c>
      <c r="D131" s="159">
        <f t="shared" ref="D131:R131" si="31">SUM(D129:D130)</f>
        <v>0</v>
      </c>
      <c r="E131" s="159">
        <f t="shared" si="31"/>
        <v>0</v>
      </c>
      <c r="F131" s="159">
        <f t="shared" si="31"/>
        <v>0</v>
      </c>
      <c r="G131" s="159">
        <f t="shared" si="31"/>
        <v>0</v>
      </c>
      <c r="H131" s="159">
        <f t="shared" si="31"/>
        <v>0</v>
      </c>
      <c r="I131" s="159">
        <f t="shared" si="31"/>
        <v>0</v>
      </c>
      <c r="J131" s="159">
        <f t="shared" si="31"/>
        <v>0</v>
      </c>
      <c r="K131" s="169"/>
      <c r="L131" s="159">
        <f t="shared" si="31"/>
        <v>0</v>
      </c>
      <c r="M131" s="159">
        <f t="shared" si="31"/>
        <v>0</v>
      </c>
      <c r="N131" s="159">
        <f t="shared" si="31"/>
        <v>0</v>
      </c>
      <c r="O131" s="159">
        <f t="shared" si="31"/>
        <v>0</v>
      </c>
      <c r="P131" s="159">
        <f t="shared" si="31"/>
        <v>0</v>
      </c>
      <c r="Q131" s="159">
        <f t="shared" si="31"/>
        <v>0</v>
      </c>
      <c r="R131" s="159">
        <f t="shared" si="31"/>
        <v>0</v>
      </c>
      <c r="S131" s="193">
        <f t="shared" si="20"/>
        <v>0</v>
      </c>
    </row>
    <row r="132" spans="1:21" x14ac:dyDescent="0.2">
      <c r="A132" s="151" t="s">
        <v>109</v>
      </c>
      <c r="B132" s="106"/>
      <c r="C132" s="54"/>
      <c r="D132" s="80"/>
      <c r="E132" s="54"/>
      <c r="F132" s="54"/>
      <c r="G132" s="54"/>
      <c r="H132" s="54"/>
      <c r="I132" s="54"/>
      <c r="J132" s="61"/>
      <c r="K132" s="141"/>
      <c r="L132" s="54"/>
      <c r="M132" s="54"/>
      <c r="N132" s="54"/>
      <c r="O132" s="54"/>
      <c r="P132" s="54"/>
      <c r="Q132" s="54"/>
      <c r="R132" s="61"/>
      <c r="S132" s="193">
        <f t="shared" si="20"/>
        <v>0</v>
      </c>
    </row>
    <row r="133" spans="1:21" ht="24" x14ac:dyDescent="0.2">
      <c r="A133" s="157" t="s">
        <v>116</v>
      </c>
      <c r="B133" s="108"/>
      <c r="C133" s="156">
        <v>0</v>
      </c>
      <c r="D133" s="156"/>
      <c r="E133" s="156">
        <v>235000</v>
      </c>
      <c r="F133" s="156">
        <v>0</v>
      </c>
      <c r="G133" s="156">
        <v>0</v>
      </c>
      <c r="H133" s="156">
        <f>-D133*1.03</f>
        <v>0</v>
      </c>
      <c r="I133" s="156">
        <f>-E133*1.03</f>
        <v>-242050</v>
      </c>
      <c r="J133" s="154">
        <v>0</v>
      </c>
      <c r="K133" s="156"/>
      <c r="L133" s="156">
        <v>0</v>
      </c>
      <c r="M133" s="156">
        <v>0</v>
      </c>
      <c r="N133" s="156">
        <v>0</v>
      </c>
      <c r="O133" s="156">
        <v>0</v>
      </c>
      <c r="P133" s="156">
        <v>0</v>
      </c>
      <c r="Q133" s="156">
        <v>0</v>
      </c>
      <c r="R133" s="159">
        <f>SUM(L133:Q133)</f>
        <v>0</v>
      </c>
      <c r="S133" s="193">
        <f t="shared" si="20"/>
        <v>-7050</v>
      </c>
      <c r="T133" s="45"/>
      <c r="U133" s="45"/>
    </row>
    <row r="134" spans="1:21" x14ac:dyDescent="0.2">
      <c r="A134" s="155" t="s">
        <v>79</v>
      </c>
      <c r="B134" s="108"/>
      <c r="C134" s="156">
        <v>0</v>
      </c>
      <c r="D134" s="156">
        <v>0</v>
      </c>
      <c r="E134" s="156">
        <v>0</v>
      </c>
      <c r="F134" s="156">
        <v>0</v>
      </c>
      <c r="G134" s="156">
        <v>0</v>
      </c>
      <c r="H134" s="156">
        <v>0</v>
      </c>
      <c r="I134" s="156">
        <v>0</v>
      </c>
      <c r="J134" s="154">
        <v>0</v>
      </c>
      <c r="K134" s="156"/>
      <c r="L134" s="156">
        <v>0</v>
      </c>
      <c r="M134" s="156">
        <v>0</v>
      </c>
      <c r="N134" s="156">
        <v>0</v>
      </c>
      <c r="O134" s="156">
        <v>0</v>
      </c>
      <c r="P134" s="156">
        <v>0</v>
      </c>
      <c r="Q134" s="156">
        <v>0</v>
      </c>
      <c r="R134" s="159">
        <f>SUM(L134:Q134)</f>
        <v>0</v>
      </c>
      <c r="S134" s="193">
        <f t="shared" si="20"/>
        <v>0</v>
      </c>
      <c r="T134" s="45"/>
      <c r="U134" s="45"/>
    </row>
    <row r="135" spans="1:21" x14ac:dyDescent="0.2">
      <c r="A135" s="158" t="s">
        <v>110</v>
      </c>
      <c r="B135" s="108"/>
      <c r="C135" s="159">
        <f t="shared" ref="C135:R135" si="32">SUM(C133:C134)</f>
        <v>0</v>
      </c>
      <c r="D135" s="159">
        <f t="shared" si="32"/>
        <v>0</v>
      </c>
      <c r="E135" s="159">
        <f t="shared" si="32"/>
        <v>235000</v>
      </c>
      <c r="F135" s="159">
        <f t="shared" si="32"/>
        <v>0</v>
      </c>
      <c r="G135" s="159">
        <f t="shared" si="32"/>
        <v>0</v>
      </c>
      <c r="H135" s="159">
        <f t="shared" si="32"/>
        <v>0</v>
      </c>
      <c r="I135" s="159">
        <f t="shared" si="32"/>
        <v>-242050</v>
      </c>
      <c r="J135" s="159">
        <f t="shared" si="32"/>
        <v>0</v>
      </c>
      <c r="K135" s="169"/>
      <c r="L135" s="159">
        <f t="shared" si="32"/>
        <v>0</v>
      </c>
      <c r="M135" s="159">
        <f t="shared" si="32"/>
        <v>0</v>
      </c>
      <c r="N135" s="159">
        <f t="shared" si="32"/>
        <v>0</v>
      </c>
      <c r="O135" s="159">
        <f t="shared" si="32"/>
        <v>0</v>
      </c>
      <c r="P135" s="159">
        <f t="shared" si="32"/>
        <v>0</v>
      </c>
      <c r="Q135" s="159">
        <f t="shared" si="32"/>
        <v>0</v>
      </c>
      <c r="R135" s="159">
        <f t="shared" si="32"/>
        <v>0</v>
      </c>
      <c r="S135" s="193">
        <f t="shared" si="20"/>
        <v>-7050</v>
      </c>
    </row>
    <row r="136" spans="1:21" x14ac:dyDescent="0.2">
      <c r="A136" s="152"/>
      <c r="B136" s="146"/>
      <c r="C136" s="54"/>
      <c r="D136" s="80"/>
      <c r="E136" s="54"/>
      <c r="F136" s="54"/>
      <c r="G136" s="54"/>
      <c r="H136" s="54"/>
      <c r="I136" s="54"/>
      <c r="J136" s="61"/>
      <c r="K136" s="141"/>
      <c r="L136" s="54"/>
      <c r="M136" s="54"/>
      <c r="N136" s="54"/>
      <c r="O136" s="54"/>
      <c r="P136" s="54"/>
      <c r="Q136" s="54"/>
      <c r="R136" s="61"/>
      <c r="S136" s="193">
        <f t="shared" si="20"/>
        <v>0</v>
      </c>
    </row>
    <row r="137" spans="1:21" x14ac:dyDescent="0.2">
      <c r="A137" s="160" t="s">
        <v>111</v>
      </c>
      <c r="B137" s="147"/>
      <c r="C137" s="159">
        <f>C127+C131+C135</f>
        <v>5000</v>
      </c>
      <c r="D137" s="159">
        <f t="shared" ref="D137:R137" si="33">D127+D131+D135</f>
        <v>5000</v>
      </c>
      <c r="E137" s="159">
        <f t="shared" si="33"/>
        <v>240000</v>
      </c>
      <c r="F137" s="159">
        <f t="shared" si="33"/>
        <v>5000</v>
      </c>
      <c r="G137" s="159">
        <f t="shared" si="33"/>
        <v>5000</v>
      </c>
      <c r="H137" s="159">
        <f t="shared" si="33"/>
        <v>5000</v>
      </c>
      <c r="I137" s="159">
        <f t="shared" si="33"/>
        <v>-237050</v>
      </c>
      <c r="J137" s="159">
        <f t="shared" si="33"/>
        <v>0</v>
      </c>
      <c r="K137" s="169"/>
      <c r="L137" s="159">
        <f t="shared" si="33"/>
        <v>5000</v>
      </c>
      <c r="M137" s="159">
        <f t="shared" si="33"/>
        <v>5000</v>
      </c>
      <c r="N137" s="159">
        <f t="shared" si="33"/>
        <v>5000</v>
      </c>
      <c r="O137" s="159">
        <f t="shared" si="33"/>
        <v>5000</v>
      </c>
      <c r="P137" s="159">
        <f t="shared" si="33"/>
        <v>5000</v>
      </c>
      <c r="Q137" s="159">
        <f t="shared" si="33"/>
        <v>5000</v>
      </c>
      <c r="R137" s="159">
        <f t="shared" si="33"/>
        <v>30000</v>
      </c>
      <c r="S137" s="193">
        <f t="shared" si="20"/>
        <v>52950</v>
      </c>
    </row>
    <row r="138" spans="1:21" x14ac:dyDescent="0.2">
      <c r="A138" s="152"/>
      <c r="B138" s="146"/>
      <c r="C138" s="54"/>
      <c r="D138" s="80"/>
      <c r="E138" s="54"/>
      <c r="F138" s="54"/>
      <c r="G138" s="54"/>
      <c r="H138" s="54"/>
      <c r="I138" s="54"/>
      <c r="J138" s="61"/>
      <c r="K138" s="141"/>
      <c r="L138" s="54"/>
      <c r="M138" s="54"/>
      <c r="N138" s="54"/>
      <c r="O138" s="54"/>
      <c r="P138" s="54"/>
      <c r="Q138" s="54"/>
      <c r="R138" s="61"/>
      <c r="S138" s="193">
        <f t="shared" si="20"/>
        <v>0</v>
      </c>
    </row>
    <row r="139" spans="1:21" x14ac:dyDescent="0.2">
      <c r="A139" s="160" t="s">
        <v>112</v>
      </c>
      <c r="B139" s="147"/>
      <c r="C139" s="163">
        <f>C121+C137</f>
        <v>6375</v>
      </c>
      <c r="D139" s="163">
        <f t="shared" ref="D139:R139" si="34">D121+D137</f>
        <v>-46915.802890652849</v>
      </c>
      <c r="E139" s="163">
        <f t="shared" si="34"/>
        <v>21243.297109347128</v>
      </c>
      <c r="F139" s="163">
        <f t="shared" si="34"/>
        <v>77528.297109347128</v>
      </c>
      <c r="G139" s="163">
        <f t="shared" si="34"/>
        <v>36410.519331569347</v>
      </c>
      <c r="H139" s="163">
        <f t="shared" si="34"/>
        <v>60983.163581569388</v>
      </c>
      <c r="I139" s="163">
        <f t="shared" si="34"/>
        <v>-192066.83641843061</v>
      </c>
      <c r="J139" s="163">
        <f t="shared" si="34"/>
        <v>-64392.362177250208</v>
      </c>
      <c r="K139" s="170"/>
      <c r="L139" s="163">
        <f t="shared" si="34"/>
        <v>2410.0674149026745</v>
      </c>
      <c r="M139" s="163">
        <f t="shared" si="34"/>
        <v>109660.06741490267</v>
      </c>
      <c r="N139" s="163">
        <f t="shared" si="34"/>
        <v>36160.067414902674</v>
      </c>
      <c r="O139" s="163">
        <f t="shared" si="34"/>
        <v>37160.067414902674</v>
      </c>
      <c r="P139" s="163">
        <f t="shared" si="34"/>
        <v>37160.067414902674</v>
      </c>
      <c r="Q139" s="163">
        <f t="shared" si="34"/>
        <v>63825.967414902698</v>
      </c>
      <c r="R139" s="163">
        <f t="shared" si="34"/>
        <v>286376.3044894163</v>
      </c>
      <c r="S139" s="193">
        <f t="shared" si="20"/>
        <v>243558.94231216563</v>
      </c>
    </row>
    <row r="140" spans="1:21" x14ac:dyDescent="0.2">
      <c r="A140" s="152"/>
      <c r="B140" s="146"/>
      <c r="C140" s="54"/>
      <c r="D140" s="80"/>
      <c r="E140" s="54"/>
      <c r="F140" s="54"/>
      <c r="G140" s="54"/>
      <c r="H140" s="54"/>
      <c r="I140" s="54"/>
      <c r="J140" s="61"/>
      <c r="K140" s="141"/>
      <c r="L140" s="54"/>
      <c r="M140" s="54"/>
      <c r="N140" s="54"/>
      <c r="O140" s="54"/>
      <c r="P140" s="54"/>
      <c r="Q140" s="54"/>
      <c r="R140" s="61"/>
      <c r="S140" s="193">
        <f t="shared" si="20"/>
        <v>0</v>
      </c>
    </row>
    <row r="141" spans="1:21" x14ac:dyDescent="0.2">
      <c r="A141" s="153" t="s">
        <v>113</v>
      </c>
      <c r="B141" s="148"/>
      <c r="C141" s="161">
        <v>50000</v>
      </c>
      <c r="D141" s="161">
        <f>C143</f>
        <v>56375</v>
      </c>
      <c r="E141" s="161">
        <f t="shared" ref="E141:I141" si="35">D143</f>
        <v>9459.1971093471511</v>
      </c>
      <c r="F141" s="161">
        <f t="shared" si="35"/>
        <v>30702.494218694279</v>
      </c>
      <c r="G141" s="161">
        <f t="shared" si="35"/>
        <v>108230.79132804141</v>
      </c>
      <c r="H141" s="161">
        <f t="shared" si="35"/>
        <v>144641.31065961075</v>
      </c>
      <c r="I141" s="161">
        <f t="shared" si="35"/>
        <v>205624.47424118014</v>
      </c>
      <c r="J141" s="154">
        <v>0</v>
      </c>
      <c r="K141" s="156"/>
      <c r="L141" s="161">
        <f>I143</f>
        <v>13557.63782274953</v>
      </c>
      <c r="M141" s="161">
        <f>L143</f>
        <v>15967.705237652204</v>
      </c>
      <c r="N141" s="161">
        <f t="shared" ref="N141:Q141" si="36">M143</f>
        <v>125627.77265255488</v>
      </c>
      <c r="O141" s="161">
        <f t="shared" si="36"/>
        <v>161787.84006745755</v>
      </c>
      <c r="P141" s="161">
        <f t="shared" si="36"/>
        <v>198947.90748236023</v>
      </c>
      <c r="Q141" s="161">
        <f t="shared" si="36"/>
        <v>236107.9748972629</v>
      </c>
      <c r="R141" s="159">
        <f>SUM(L141:Q141)</f>
        <v>751996.8381600373</v>
      </c>
      <c r="S141" s="193"/>
    </row>
    <row r="142" spans="1:21" x14ac:dyDescent="0.2">
      <c r="A142" s="146"/>
      <c r="B142" s="146"/>
      <c r="C142" s="54"/>
      <c r="D142" s="80"/>
      <c r="E142" s="54"/>
      <c r="F142" s="54"/>
      <c r="G142" s="54"/>
      <c r="H142" s="54"/>
      <c r="I142" s="54"/>
      <c r="J142" s="61"/>
      <c r="K142" s="141"/>
      <c r="L142" s="54"/>
      <c r="M142" s="54"/>
      <c r="N142" s="54"/>
      <c r="O142" s="54"/>
      <c r="P142" s="54"/>
      <c r="Q142" s="54"/>
      <c r="R142" s="61"/>
      <c r="S142" s="193">
        <f t="shared" si="20"/>
        <v>0</v>
      </c>
    </row>
    <row r="143" spans="1:21" x14ac:dyDescent="0.2">
      <c r="A143" s="160" t="s">
        <v>114</v>
      </c>
      <c r="B143" s="149"/>
      <c r="C143" s="162">
        <f>C139+C141</f>
        <v>56375</v>
      </c>
      <c r="D143" s="162">
        <f t="shared" ref="D143:R143" si="37">D139+D141</f>
        <v>9459.1971093471511</v>
      </c>
      <c r="E143" s="162">
        <f t="shared" si="37"/>
        <v>30702.494218694279</v>
      </c>
      <c r="F143" s="162">
        <f t="shared" si="37"/>
        <v>108230.79132804141</v>
      </c>
      <c r="G143" s="162">
        <f t="shared" si="37"/>
        <v>144641.31065961075</v>
      </c>
      <c r="H143" s="162">
        <f t="shared" si="37"/>
        <v>205624.47424118014</v>
      </c>
      <c r="I143" s="162">
        <f t="shared" si="37"/>
        <v>13557.63782274953</v>
      </c>
      <c r="J143" s="162">
        <f t="shared" si="37"/>
        <v>-64392.362177250208</v>
      </c>
      <c r="K143" s="171"/>
      <c r="L143" s="162">
        <f t="shared" si="37"/>
        <v>15967.705237652204</v>
      </c>
      <c r="M143" s="162">
        <f t="shared" si="37"/>
        <v>125627.77265255488</v>
      </c>
      <c r="N143" s="162">
        <f t="shared" si="37"/>
        <v>161787.84006745755</v>
      </c>
      <c r="O143" s="162">
        <f t="shared" si="37"/>
        <v>198947.90748236023</v>
      </c>
      <c r="P143" s="162">
        <f t="shared" si="37"/>
        <v>236107.9748972629</v>
      </c>
      <c r="Q143" s="162">
        <f t="shared" si="37"/>
        <v>299933.94231216563</v>
      </c>
      <c r="R143" s="162">
        <f t="shared" si="37"/>
        <v>1038373.1426494536</v>
      </c>
      <c r="S143" s="193"/>
    </row>
  </sheetData>
  <mergeCells count="1">
    <mergeCell ref="A3:R3"/>
  </mergeCells>
  <phoneticPr fontId="27" type="noConversion"/>
  <pageMargins left="0.7" right="0.7" top="0.75" bottom="0.75" header="0.3" footer="0.3"/>
  <pageSetup scale="52" fitToHeight="0" orientation="landscape" r:id="rId1"/>
  <colBreaks count="1" manualBreakCount="1">
    <brk id="11" max="1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38"/>
  <sheetViews>
    <sheetView topLeftCell="A6" workbookViewId="0">
      <selection activeCell="B18" sqref="B18"/>
    </sheetView>
  </sheetViews>
  <sheetFormatPr defaultColWidth="15.7109375" defaultRowHeight="12.75" x14ac:dyDescent="0.2"/>
  <cols>
    <col min="1" max="1" width="33.140625" style="46" customWidth="1"/>
    <col min="2" max="2" width="14.42578125" style="46" customWidth="1"/>
    <col min="3" max="5" width="15.7109375" style="46" customWidth="1"/>
    <col min="6" max="28" width="15.7109375" style="43" customWidth="1"/>
    <col min="29" max="30" width="15.7109375" style="43"/>
    <col min="31" max="16384" width="15.7109375" style="46"/>
  </cols>
  <sheetData>
    <row r="1" spans="1:30" ht="18" customHeight="1" x14ac:dyDescent="0.2">
      <c r="A1" s="202" t="s">
        <v>156</v>
      </c>
      <c r="B1" s="202"/>
      <c r="C1" s="202"/>
      <c r="D1" s="202"/>
      <c r="E1" s="202"/>
      <c r="F1" s="202"/>
    </row>
    <row r="2" spans="1:30" s="4" customFormat="1" ht="41.25" customHeight="1" x14ac:dyDescent="0.2">
      <c r="A2" s="203" t="s">
        <v>130</v>
      </c>
      <c r="B2" s="203"/>
      <c r="C2" s="203"/>
      <c r="D2" s="203"/>
      <c r="E2" s="203"/>
      <c r="F2" s="203"/>
      <c r="G2" s="3"/>
      <c r="H2" s="3"/>
      <c r="I2" s="3"/>
      <c r="J2" s="3"/>
      <c r="K2" s="3"/>
      <c r="L2" s="3"/>
      <c r="M2" s="3"/>
      <c r="N2" s="3"/>
      <c r="O2" s="3"/>
      <c r="P2" s="3"/>
      <c r="Q2" s="3"/>
      <c r="R2" s="3"/>
      <c r="S2" s="3"/>
      <c r="T2" s="3"/>
      <c r="U2" s="3"/>
      <c r="V2" s="3"/>
      <c r="W2" s="3"/>
      <c r="X2" s="3"/>
      <c r="Y2" s="3"/>
      <c r="Z2" s="3"/>
      <c r="AA2" s="3"/>
      <c r="AB2" s="3"/>
      <c r="AC2" s="3"/>
      <c r="AD2" s="3"/>
    </row>
    <row r="3" spans="1:30" s="6" customFormat="1" ht="13.5" thickBot="1" x14ac:dyDescent="0.25">
      <c r="A3" s="5"/>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s="6" customFormat="1" ht="18.75" customHeight="1" thickBot="1" x14ac:dyDescent="0.25">
      <c r="A4" s="204" t="s">
        <v>54</v>
      </c>
      <c r="B4" s="205"/>
      <c r="C4" s="205"/>
      <c r="D4" s="205"/>
      <c r="E4" s="205"/>
      <c r="F4" s="206"/>
      <c r="G4" s="3"/>
      <c r="H4" s="3"/>
      <c r="I4" s="3"/>
      <c r="J4" s="3"/>
      <c r="K4" s="3"/>
      <c r="L4" s="3"/>
      <c r="M4" s="3"/>
      <c r="N4" s="3"/>
      <c r="O4" s="3"/>
      <c r="P4" s="3"/>
      <c r="Q4" s="3"/>
      <c r="R4" s="3"/>
      <c r="S4" s="3"/>
      <c r="T4" s="3"/>
      <c r="U4" s="3"/>
      <c r="V4" s="3"/>
      <c r="W4" s="3"/>
      <c r="X4" s="3"/>
      <c r="Y4" s="3"/>
      <c r="Z4" s="3"/>
      <c r="AA4" s="3"/>
      <c r="AB4" s="3"/>
      <c r="AC4" s="3"/>
      <c r="AD4" s="3"/>
    </row>
    <row r="5" spans="1:30" s="6" customFormat="1" ht="50.25" customHeight="1" thickBot="1" x14ac:dyDescent="0.25">
      <c r="A5" s="204" t="s">
        <v>206</v>
      </c>
      <c r="B5" s="205"/>
      <c r="C5" s="205"/>
      <c r="D5" s="205"/>
      <c r="E5" s="205"/>
      <c r="F5" s="206"/>
      <c r="G5" s="3"/>
      <c r="H5" s="3"/>
      <c r="I5" s="3"/>
      <c r="J5" s="3"/>
      <c r="K5" s="3"/>
      <c r="L5" s="3"/>
      <c r="M5" s="3"/>
      <c r="N5" s="3"/>
      <c r="O5" s="3"/>
      <c r="P5" s="3"/>
      <c r="Q5" s="3"/>
      <c r="R5" s="3"/>
      <c r="S5" s="3"/>
      <c r="T5" s="3"/>
      <c r="U5" s="3"/>
      <c r="V5" s="3"/>
      <c r="W5" s="3"/>
      <c r="X5" s="3"/>
      <c r="Y5" s="3"/>
      <c r="Z5" s="3"/>
      <c r="AA5" s="3"/>
      <c r="AB5" s="3"/>
      <c r="AC5" s="3"/>
      <c r="AD5" s="3"/>
    </row>
    <row r="6" spans="1:30" s="3" customFormat="1" ht="27" customHeight="1" thickBot="1" x14ac:dyDescent="0.25">
      <c r="A6" s="21" t="s">
        <v>64</v>
      </c>
      <c r="B6" s="21" t="s">
        <v>67</v>
      </c>
      <c r="C6" s="21" t="s">
        <v>68</v>
      </c>
      <c r="D6" s="188" t="s">
        <v>65</v>
      </c>
      <c r="E6" s="21" t="s">
        <v>63</v>
      </c>
      <c r="F6" s="21" t="s">
        <v>66</v>
      </c>
    </row>
    <row r="7" spans="1:30" s="6" customFormat="1" x14ac:dyDescent="0.2">
      <c r="A7" s="9" t="s">
        <v>207</v>
      </c>
      <c r="B7" s="9">
        <v>1</v>
      </c>
      <c r="C7" s="66">
        <v>80000</v>
      </c>
      <c r="D7" s="67">
        <f>B7*C7</f>
        <v>80000</v>
      </c>
      <c r="E7" s="67">
        <f>D7*0.33</f>
        <v>26400</v>
      </c>
      <c r="F7" s="68">
        <f>D7+E7</f>
        <v>106400</v>
      </c>
      <c r="G7" s="3"/>
      <c r="H7" s="3"/>
      <c r="I7" s="3"/>
      <c r="J7" s="3"/>
      <c r="K7" s="3"/>
      <c r="L7" s="3"/>
      <c r="M7" s="3"/>
      <c r="N7" s="3"/>
      <c r="O7" s="3"/>
      <c r="P7" s="3"/>
      <c r="Q7" s="3"/>
      <c r="R7" s="3"/>
      <c r="S7" s="3"/>
      <c r="T7" s="3"/>
      <c r="U7" s="3"/>
      <c r="V7" s="3"/>
      <c r="W7" s="3"/>
      <c r="X7" s="3"/>
      <c r="Y7" s="3"/>
      <c r="Z7" s="3"/>
      <c r="AA7" s="3"/>
      <c r="AB7" s="3"/>
      <c r="AC7" s="3"/>
      <c r="AD7" s="3"/>
    </row>
    <row r="8" spans="1:30" s="6" customFormat="1" x14ac:dyDescent="0.2">
      <c r="A8" s="7" t="s">
        <v>208</v>
      </c>
      <c r="B8" s="7">
        <v>6</v>
      </c>
      <c r="C8" s="69">
        <v>50000</v>
      </c>
      <c r="D8" s="67">
        <f t="shared" ref="D8:D24" si="0">B8*C8</f>
        <v>300000</v>
      </c>
      <c r="E8" s="67">
        <f t="shared" ref="E8:E24" si="1">D8*0.33</f>
        <v>99000</v>
      </c>
      <c r="F8" s="68">
        <f t="shared" ref="F8:F24" si="2">D8+E8</f>
        <v>399000</v>
      </c>
      <c r="G8" s="3"/>
      <c r="H8" s="3"/>
      <c r="I8" s="3"/>
      <c r="J8" s="3"/>
      <c r="K8" s="3"/>
      <c r="L8" s="3"/>
      <c r="M8" s="3"/>
      <c r="N8" s="3"/>
      <c r="O8" s="3"/>
      <c r="P8" s="3"/>
      <c r="Q8" s="3"/>
      <c r="R8" s="3"/>
      <c r="S8" s="3"/>
      <c r="T8" s="3"/>
      <c r="U8" s="3"/>
      <c r="V8" s="3"/>
      <c r="W8" s="3"/>
      <c r="X8" s="3"/>
      <c r="Y8" s="3"/>
      <c r="Z8" s="3"/>
      <c r="AA8" s="3"/>
      <c r="AB8" s="3"/>
      <c r="AC8" s="3"/>
      <c r="AD8" s="3"/>
    </row>
    <row r="9" spans="1:30" s="6" customFormat="1" x14ac:dyDescent="0.2">
      <c r="A9" s="7" t="s">
        <v>209</v>
      </c>
      <c r="B9" s="7">
        <v>3</v>
      </c>
      <c r="C9" s="94">
        <v>30000</v>
      </c>
      <c r="D9" s="67">
        <f t="shared" si="0"/>
        <v>90000</v>
      </c>
      <c r="E9" s="67">
        <f t="shared" si="1"/>
        <v>29700</v>
      </c>
      <c r="F9" s="68">
        <f t="shared" si="2"/>
        <v>119700</v>
      </c>
      <c r="G9" s="3"/>
      <c r="H9" s="3"/>
      <c r="I9" s="3"/>
      <c r="J9" s="3"/>
      <c r="K9" s="3"/>
      <c r="L9" s="3"/>
      <c r="M9" s="3"/>
      <c r="N9" s="3"/>
      <c r="O9" s="3"/>
      <c r="P9" s="3"/>
      <c r="Q9" s="3"/>
      <c r="R9" s="3"/>
      <c r="S9" s="3"/>
      <c r="T9" s="3"/>
      <c r="U9" s="3"/>
      <c r="V9" s="3"/>
      <c r="W9" s="3"/>
      <c r="X9" s="3"/>
      <c r="Y9" s="3"/>
      <c r="Z9" s="3"/>
      <c r="AA9" s="3"/>
      <c r="AB9" s="3"/>
      <c r="AC9" s="3"/>
      <c r="AD9" s="3"/>
    </row>
    <row r="10" spans="1:30" x14ac:dyDescent="0.2">
      <c r="A10" s="95" t="s">
        <v>210</v>
      </c>
      <c r="B10" s="120">
        <v>2</v>
      </c>
      <c r="C10" s="94">
        <v>33000</v>
      </c>
      <c r="D10" s="67">
        <f t="shared" si="0"/>
        <v>66000</v>
      </c>
      <c r="E10" s="67">
        <f t="shared" si="1"/>
        <v>21780</v>
      </c>
      <c r="F10" s="68">
        <f t="shared" si="2"/>
        <v>87780</v>
      </c>
    </row>
    <row r="11" spans="1:30" x14ac:dyDescent="0.2">
      <c r="A11" s="54" t="s">
        <v>211</v>
      </c>
      <c r="B11" s="54">
        <v>0.5</v>
      </c>
      <c r="C11" s="94">
        <v>61000</v>
      </c>
      <c r="D11" s="67">
        <f t="shared" si="0"/>
        <v>30500</v>
      </c>
      <c r="E11" s="67">
        <f t="shared" si="1"/>
        <v>10065</v>
      </c>
      <c r="F11" s="68">
        <f t="shared" si="2"/>
        <v>40565</v>
      </c>
    </row>
    <row r="12" spans="1:30" x14ac:dyDescent="0.2">
      <c r="A12" s="54" t="s">
        <v>212</v>
      </c>
      <c r="B12" s="54">
        <v>1</v>
      </c>
      <c r="C12" s="94">
        <v>35000</v>
      </c>
      <c r="D12" s="67">
        <f t="shared" si="0"/>
        <v>35000</v>
      </c>
      <c r="E12" s="67">
        <f t="shared" si="1"/>
        <v>11550</v>
      </c>
      <c r="F12" s="68">
        <f t="shared" si="2"/>
        <v>46550</v>
      </c>
    </row>
    <row r="13" spans="1:30" x14ac:dyDescent="0.2">
      <c r="A13" s="54" t="s">
        <v>213</v>
      </c>
      <c r="B13" s="54">
        <v>0.5</v>
      </c>
      <c r="C13" s="94">
        <v>50000</v>
      </c>
      <c r="D13" s="67">
        <f t="shared" si="0"/>
        <v>25000</v>
      </c>
      <c r="E13" s="67">
        <f t="shared" si="1"/>
        <v>8250</v>
      </c>
      <c r="F13" s="68">
        <f t="shared" si="2"/>
        <v>33250</v>
      </c>
    </row>
    <row r="14" spans="1:30" x14ac:dyDescent="0.2">
      <c r="A14" s="54" t="s">
        <v>214</v>
      </c>
      <c r="B14" s="54"/>
      <c r="C14" s="94">
        <v>35000</v>
      </c>
      <c r="D14" s="67">
        <f t="shared" si="0"/>
        <v>0</v>
      </c>
      <c r="E14" s="67">
        <f t="shared" si="1"/>
        <v>0</v>
      </c>
      <c r="F14" s="68">
        <f t="shared" si="2"/>
        <v>0</v>
      </c>
    </row>
    <row r="15" spans="1:30" s="6" customFormat="1" x14ac:dyDescent="0.2">
      <c r="A15" s="7" t="s">
        <v>215</v>
      </c>
      <c r="B15" s="7">
        <v>1</v>
      </c>
      <c r="C15" s="94">
        <v>65000</v>
      </c>
      <c r="D15" s="67">
        <f t="shared" si="0"/>
        <v>65000</v>
      </c>
      <c r="E15" s="67">
        <f t="shared" si="1"/>
        <v>21450</v>
      </c>
      <c r="F15" s="68">
        <f t="shared" si="2"/>
        <v>86450</v>
      </c>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
      <c r="A16" s="95" t="s">
        <v>216</v>
      </c>
      <c r="B16" s="120">
        <v>2</v>
      </c>
      <c r="C16" s="94">
        <v>30000</v>
      </c>
      <c r="D16" s="67">
        <f t="shared" si="0"/>
        <v>60000</v>
      </c>
      <c r="E16" s="67">
        <f t="shared" si="1"/>
        <v>19800</v>
      </c>
      <c r="F16" s="68">
        <f t="shared" si="2"/>
        <v>79800</v>
      </c>
    </row>
    <row r="17" spans="1:30" x14ac:dyDescent="0.2">
      <c r="A17" s="54" t="s">
        <v>218</v>
      </c>
      <c r="B17" s="54">
        <v>0.5</v>
      </c>
      <c r="C17" s="94">
        <v>65000</v>
      </c>
      <c r="D17" s="67">
        <f t="shared" si="0"/>
        <v>32500</v>
      </c>
      <c r="E17" s="67">
        <f t="shared" si="1"/>
        <v>10725</v>
      </c>
      <c r="F17" s="68">
        <f t="shared" si="2"/>
        <v>43225</v>
      </c>
    </row>
    <row r="18" spans="1:30" x14ac:dyDescent="0.2">
      <c r="A18" s="54"/>
      <c r="B18" s="54"/>
      <c r="C18" s="94"/>
      <c r="D18" s="67">
        <f t="shared" si="0"/>
        <v>0</v>
      </c>
      <c r="E18" s="67">
        <f t="shared" si="1"/>
        <v>0</v>
      </c>
      <c r="F18" s="68">
        <f t="shared" si="2"/>
        <v>0</v>
      </c>
    </row>
    <row r="19" spans="1:30" x14ac:dyDescent="0.2">
      <c r="A19" s="54"/>
      <c r="B19" s="54"/>
      <c r="C19" s="94"/>
      <c r="D19" s="67">
        <f t="shared" si="0"/>
        <v>0</v>
      </c>
      <c r="E19" s="67">
        <f t="shared" si="1"/>
        <v>0</v>
      </c>
      <c r="F19" s="68">
        <f t="shared" si="2"/>
        <v>0</v>
      </c>
    </row>
    <row r="20" spans="1:30" x14ac:dyDescent="0.2">
      <c r="A20" s="54"/>
      <c r="B20" s="54"/>
      <c r="C20" s="94"/>
      <c r="D20" s="67">
        <f t="shared" si="0"/>
        <v>0</v>
      </c>
      <c r="E20" s="67">
        <f t="shared" si="1"/>
        <v>0</v>
      </c>
      <c r="F20" s="68">
        <f t="shared" si="2"/>
        <v>0</v>
      </c>
    </row>
    <row r="21" spans="1:30" x14ac:dyDescent="0.2">
      <c r="A21" s="54"/>
      <c r="B21" s="54"/>
      <c r="C21" s="94"/>
      <c r="D21" s="67">
        <f t="shared" si="0"/>
        <v>0</v>
      </c>
      <c r="E21" s="67">
        <f t="shared" si="1"/>
        <v>0</v>
      </c>
      <c r="F21" s="68">
        <f t="shared" si="2"/>
        <v>0</v>
      </c>
    </row>
    <row r="22" spans="1:30" x14ac:dyDescent="0.2">
      <c r="A22" s="54"/>
      <c r="B22" s="54"/>
      <c r="C22" s="94"/>
      <c r="D22" s="67">
        <f t="shared" si="0"/>
        <v>0</v>
      </c>
      <c r="E22" s="67">
        <f t="shared" si="1"/>
        <v>0</v>
      </c>
      <c r="F22" s="68">
        <f t="shared" si="2"/>
        <v>0</v>
      </c>
    </row>
    <row r="23" spans="1:30" s="6" customFormat="1" x14ac:dyDescent="0.2">
      <c r="A23" s="7"/>
      <c r="B23" s="7"/>
      <c r="C23" s="94"/>
      <c r="D23" s="67">
        <f t="shared" si="0"/>
        <v>0</v>
      </c>
      <c r="E23" s="67">
        <f t="shared" si="1"/>
        <v>0</v>
      </c>
      <c r="F23" s="68">
        <f t="shared" si="2"/>
        <v>0</v>
      </c>
      <c r="G23" s="3"/>
      <c r="H23" s="3"/>
      <c r="I23" s="3"/>
      <c r="J23" s="3"/>
      <c r="K23" s="3"/>
      <c r="L23" s="3"/>
      <c r="M23" s="3"/>
      <c r="N23" s="3"/>
      <c r="O23" s="3"/>
      <c r="P23" s="3"/>
      <c r="Q23" s="3"/>
      <c r="R23" s="3"/>
      <c r="S23" s="3"/>
      <c r="T23" s="3"/>
      <c r="U23" s="3"/>
      <c r="V23" s="3"/>
      <c r="W23" s="3"/>
      <c r="X23" s="3"/>
      <c r="Y23" s="3"/>
      <c r="Z23" s="3"/>
      <c r="AA23" s="3"/>
      <c r="AB23" s="3"/>
      <c r="AC23" s="3"/>
      <c r="AD23" s="3"/>
    </row>
    <row r="24" spans="1:30" ht="13.5" thickBot="1" x14ac:dyDescent="0.25">
      <c r="A24" s="95"/>
      <c r="B24" s="95"/>
      <c r="C24" s="94"/>
      <c r="D24" s="67">
        <f t="shared" si="0"/>
        <v>0</v>
      </c>
      <c r="E24" s="67">
        <f t="shared" si="1"/>
        <v>0</v>
      </c>
      <c r="F24" s="68">
        <f t="shared" si="2"/>
        <v>0</v>
      </c>
    </row>
    <row r="25" spans="1:30" ht="13.5" thickBot="1" x14ac:dyDescent="0.25">
      <c r="A25" s="8" t="s">
        <v>41</v>
      </c>
      <c r="B25" s="101">
        <f>SUM(B7:B24)</f>
        <v>17.5</v>
      </c>
      <c r="C25" s="101"/>
      <c r="D25" s="101">
        <f>SUM(D7:D24)</f>
        <v>784000</v>
      </c>
      <c r="E25" s="101">
        <f>SUM(E7:E24)</f>
        <v>258720</v>
      </c>
      <c r="F25" s="102">
        <f>SUM(F7:F24)</f>
        <v>1042720</v>
      </c>
    </row>
    <row r="38" spans="6:28" x14ac:dyDescent="0.2">
      <c r="F38" s="46"/>
      <c r="G38" s="46"/>
      <c r="H38" s="46"/>
      <c r="I38" s="46"/>
      <c r="J38" s="46"/>
      <c r="K38" s="46"/>
      <c r="L38" s="46"/>
      <c r="M38" s="46"/>
      <c r="N38" s="46"/>
      <c r="O38" s="46"/>
      <c r="P38" s="46"/>
      <c r="Q38" s="46"/>
      <c r="R38" s="46"/>
      <c r="S38" s="46"/>
      <c r="T38" s="46"/>
      <c r="U38" s="46"/>
      <c r="V38" s="46"/>
      <c r="W38" s="46"/>
      <c r="X38" s="46"/>
      <c r="Y38" s="46"/>
      <c r="Z38" s="46"/>
      <c r="AA38" s="46"/>
      <c r="AB38" s="46"/>
    </row>
  </sheetData>
  <mergeCells count="4">
    <mergeCell ref="A1:F1"/>
    <mergeCell ref="A2:F2"/>
    <mergeCell ref="A4:F4"/>
    <mergeCell ref="A5:F5"/>
  </mergeCells>
  <phoneticPr fontId="27" type="noConversion"/>
  <pageMargins left="0.7" right="0.7" top="0.75" bottom="0.7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E141"/>
  <sheetViews>
    <sheetView tabSelected="1" topLeftCell="A101" zoomScaleNormal="100" workbookViewId="0">
      <selection activeCell="C112" sqref="C112"/>
    </sheetView>
  </sheetViews>
  <sheetFormatPr defaultRowHeight="12.75" x14ac:dyDescent="0.2"/>
  <cols>
    <col min="1" max="1" width="45.28515625" style="46" bestFit="1" customWidth="1"/>
    <col min="2" max="2" width="9.85546875" style="117" bestFit="1" customWidth="1"/>
    <col min="3" max="3" width="49.140625" style="91" customWidth="1"/>
    <col min="4" max="4" width="8.140625" style="46" bestFit="1" customWidth="1"/>
    <col min="5" max="5" width="32.85546875" style="47" bestFit="1" customWidth="1"/>
    <col min="6" max="16384" width="9.140625" style="46"/>
  </cols>
  <sheetData>
    <row r="1" spans="1:5" x14ac:dyDescent="0.2">
      <c r="A1" s="118"/>
    </row>
    <row r="2" spans="1:5" ht="13.5" thickBot="1" x14ac:dyDescent="0.25"/>
    <row r="3" spans="1:5" x14ac:dyDescent="0.2">
      <c r="A3" s="207" t="s">
        <v>157</v>
      </c>
      <c r="B3" s="208"/>
      <c r="C3" s="209"/>
    </row>
    <row r="4" spans="1:5" s="11" customFormat="1" x14ac:dyDescent="0.2">
      <c r="A4" s="10" t="s">
        <v>0</v>
      </c>
      <c r="B4" s="103" t="s">
        <v>1</v>
      </c>
      <c r="C4" s="10" t="s">
        <v>84</v>
      </c>
      <c r="D4" s="22"/>
      <c r="E4" s="37"/>
    </row>
    <row r="5" spans="1:5" s="11" customFormat="1" x14ac:dyDescent="0.2">
      <c r="A5" s="12" t="s">
        <v>85</v>
      </c>
      <c r="B5" s="104"/>
      <c r="C5" s="42"/>
      <c r="E5" s="38"/>
    </row>
    <row r="6" spans="1:5" s="43" customFormat="1" ht="38.25" x14ac:dyDescent="0.2">
      <c r="A6" s="24" t="s">
        <v>88</v>
      </c>
      <c r="B6" s="105">
        <f>5088*'School Enrollment Projection'!O7+'School Enrollment Projection'!O7*'School Enrollment Projection'!B25*0.3762+1200*('School Enrollment Projection'!O7)</f>
        <v>2209617.8219999997</v>
      </c>
      <c r="C6" s="183" t="s">
        <v>217</v>
      </c>
      <c r="E6" s="44"/>
    </row>
    <row r="7" spans="1:5" x14ac:dyDescent="0.2">
      <c r="A7" s="23" t="s">
        <v>89</v>
      </c>
      <c r="B7" s="106">
        <v>0</v>
      </c>
      <c r="C7" s="39" t="s">
        <v>6</v>
      </c>
      <c r="D7" s="48"/>
    </row>
    <row r="8" spans="1:5" x14ac:dyDescent="0.2">
      <c r="A8" s="23" t="s">
        <v>70</v>
      </c>
      <c r="B8" s="106">
        <v>0</v>
      </c>
      <c r="C8" s="39"/>
      <c r="D8" s="48"/>
    </row>
    <row r="9" spans="1:5" x14ac:dyDescent="0.2">
      <c r="A9" s="23" t="s">
        <v>127</v>
      </c>
      <c r="B9" s="106">
        <v>0</v>
      </c>
      <c r="C9" s="39"/>
      <c r="D9" s="48"/>
    </row>
    <row r="10" spans="1:5" x14ac:dyDescent="0.2">
      <c r="A10" s="23" t="s">
        <v>90</v>
      </c>
      <c r="B10" s="106">
        <v>0</v>
      </c>
      <c r="C10" s="39"/>
      <c r="D10" s="48"/>
    </row>
    <row r="11" spans="1:5" x14ac:dyDescent="0.2">
      <c r="A11" s="23" t="s">
        <v>91</v>
      </c>
      <c r="B11" s="106">
        <v>0</v>
      </c>
      <c r="C11" s="39"/>
      <c r="D11" s="48"/>
    </row>
    <row r="12" spans="1:5" ht="25.5" x14ac:dyDescent="0.2">
      <c r="A12" s="23" t="s">
        <v>92</v>
      </c>
      <c r="B12" s="106">
        <v>12000</v>
      </c>
      <c r="C12" s="39" t="s">
        <v>170</v>
      </c>
      <c r="D12" s="48"/>
    </row>
    <row r="13" spans="1:5" x14ac:dyDescent="0.2">
      <c r="A13" s="23" t="s">
        <v>93</v>
      </c>
      <c r="B13" s="106">
        <v>15000</v>
      </c>
      <c r="C13" s="39"/>
      <c r="D13" s="48"/>
    </row>
    <row r="14" spans="1:5" ht="51" x14ac:dyDescent="0.2">
      <c r="A14" s="23" t="s">
        <v>137</v>
      </c>
      <c r="B14" s="106">
        <f>500*'School Enrollment Projection'!O7</f>
        <v>145000</v>
      </c>
      <c r="C14" s="92" t="s">
        <v>144</v>
      </c>
      <c r="D14" s="48"/>
    </row>
    <row r="15" spans="1:5" ht="25.5" x14ac:dyDescent="0.2">
      <c r="A15" s="23" t="s">
        <v>138</v>
      </c>
      <c r="B15" s="106"/>
      <c r="C15" s="92" t="s">
        <v>145</v>
      </c>
      <c r="D15" s="48"/>
    </row>
    <row r="16" spans="1:5" x14ac:dyDescent="0.2">
      <c r="A16" s="15" t="s">
        <v>43</v>
      </c>
      <c r="B16" s="107"/>
      <c r="C16" s="71"/>
      <c r="D16" s="48"/>
    </row>
    <row r="17" spans="1:5" ht="51" x14ac:dyDescent="0.2">
      <c r="A17" s="23" t="s">
        <v>100</v>
      </c>
      <c r="B17" s="108">
        <v>0</v>
      </c>
      <c r="C17" s="180" t="s">
        <v>135</v>
      </c>
      <c r="D17" s="135"/>
    </row>
    <row r="18" spans="1:5" x14ac:dyDescent="0.2">
      <c r="A18" s="23" t="s">
        <v>128</v>
      </c>
      <c r="B18" s="108">
        <v>0</v>
      </c>
      <c r="C18" s="134"/>
      <c r="D18" s="135"/>
    </row>
    <row r="19" spans="1:5" x14ac:dyDescent="0.2">
      <c r="A19" s="24" t="s">
        <v>2</v>
      </c>
      <c r="B19" s="106">
        <f>436*'School Enrollment Projection'!O7</f>
        <v>126440</v>
      </c>
      <c r="C19" s="55"/>
      <c r="D19" s="59"/>
      <c r="E19" s="72"/>
    </row>
    <row r="20" spans="1:5" x14ac:dyDescent="0.2">
      <c r="A20" s="24" t="s">
        <v>3</v>
      </c>
      <c r="B20" s="106">
        <v>12000</v>
      </c>
      <c r="C20" s="53"/>
      <c r="D20" s="59"/>
    </row>
    <row r="21" spans="1:5" x14ac:dyDescent="0.2">
      <c r="A21" s="23" t="s">
        <v>86</v>
      </c>
      <c r="B21" s="108">
        <v>116000</v>
      </c>
      <c r="C21" s="50" t="s">
        <v>173</v>
      </c>
      <c r="D21" s="59"/>
    </row>
    <row r="22" spans="1:5" x14ac:dyDescent="0.2">
      <c r="A22" s="23" t="s">
        <v>87</v>
      </c>
      <c r="B22" s="108"/>
      <c r="C22" s="50"/>
      <c r="D22" s="59"/>
    </row>
    <row r="23" spans="1:5" ht="25.5" x14ac:dyDescent="0.2">
      <c r="A23" s="14" t="s">
        <v>202</v>
      </c>
      <c r="B23" s="106">
        <v>69600</v>
      </c>
      <c r="C23" s="50"/>
      <c r="D23" s="59"/>
    </row>
    <row r="24" spans="1:5" x14ac:dyDescent="0.2">
      <c r="A24" s="14" t="s">
        <v>42</v>
      </c>
      <c r="B24" s="106"/>
      <c r="C24" s="50"/>
      <c r="D24" s="59"/>
    </row>
    <row r="25" spans="1:5" x14ac:dyDescent="0.2">
      <c r="A25" s="15" t="s">
        <v>44</v>
      </c>
      <c r="B25" s="107"/>
      <c r="C25" s="41"/>
      <c r="D25" s="48"/>
    </row>
    <row r="26" spans="1:5" x14ac:dyDescent="0.2">
      <c r="A26" s="24" t="s">
        <v>94</v>
      </c>
      <c r="B26" s="106">
        <v>0</v>
      </c>
      <c r="C26" s="39"/>
      <c r="D26" s="59"/>
    </row>
    <row r="27" spans="1:5" x14ac:dyDescent="0.2">
      <c r="A27" s="24" t="s">
        <v>95</v>
      </c>
      <c r="B27" s="106">
        <v>0</v>
      </c>
      <c r="C27" s="39"/>
      <c r="D27" s="59"/>
    </row>
    <row r="28" spans="1:5" x14ac:dyDescent="0.2">
      <c r="A28" s="24" t="s">
        <v>96</v>
      </c>
      <c r="B28" s="106">
        <v>0</v>
      </c>
      <c r="C28" s="39"/>
      <c r="D28" s="59"/>
    </row>
    <row r="29" spans="1:5" x14ac:dyDescent="0.2">
      <c r="A29" s="13" t="s">
        <v>48</v>
      </c>
      <c r="B29" s="106">
        <v>0</v>
      </c>
      <c r="C29" s="39"/>
      <c r="D29" s="59"/>
    </row>
    <row r="30" spans="1:5" x14ac:dyDescent="0.2">
      <c r="A30" s="13" t="s">
        <v>48</v>
      </c>
      <c r="B30" s="106">
        <v>0</v>
      </c>
      <c r="C30" s="39"/>
      <c r="D30" s="59"/>
    </row>
    <row r="31" spans="1:5" x14ac:dyDescent="0.2">
      <c r="A31" s="13" t="s">
        <v>48</v>
      </c>
      <c r="B31" s="106">
        <v>0</v>
      </c>
      <c r="C31" s="39"/>
      <c r="D31" s="59"/>
    </row>
    <row r="32" spans="1:5" x14ac:dyDescent="0.2">
      <c r="A32" s="13" t="s">
        <v>48</v>
      </c>
      <c r="B32" s="106">
        <v>0</v>
      </c>
      <c r="C32" s="39"/>
      <c r="D32" s="59"/>
    </row>
    <row r="33" spans="1:5" x14ac:dyDescent="0.2">
      <c r="A33" s="20" t="s">
        <v>4</v>
      </c>
      <c r="B33" s="107">
        <f>SUM(B6:B32)</f>
        <v>2705657.8219999997</v>
      </c>
      <c r="C33" s="41"/>
      <c r="D33" s="59"/>
    </row>
    <row r="34" spans="1:5" s="45" customFormat="1" x14ac:dyDescent="0.2">
      <c r="A34" s="16"/>
      <c r="B34" s="108"/>
      <c r="C34" s="73"/>
      <c r="D34" s="74"/>
      <c r="E34" s="187"/>
    </row>
    <row r="35" spans="1:5" x14ac:dyDescent="0.2">
      <c r="A35" s="10" t="s">
        <v>53</v>
      </c>
      <c r="B35" s="107"/>
      <c r="C35" s="41"/>
      <c r="D35" s="59"/>
    </row>
    <row r="36" spans="1:5" x14ac:dyDescent="0.2">
      <c r="A36" s="12" t="s">
        <v>73</v>
      </c>
      <c r="B36" s="107"/>
      <c r="C36" s="41"/>
      <c r="D36" s="59"/>
    </row>
    <row r="37" spans="1:5" x14ac:dyDescent="0.2">
      <c r="A37" s="61" t="s">
        <v>69</v>
      </c>
      <c r="B37" s="107">
        <f>'Staffing Year 6'!F25</f>
        <v>1042720</v>
      </c>
      <c r="C37" s="41" t="s">
        <v>5</v>
      </c>
      <c r="D37" s="59"/>
    </row>
    <row r="38" spans="1:5" x14ac:dyDescent="0.2">
      <c r="A38" s="93" t="s">
        <v>129</v>
      </c>
      <c r="B38" s="108">
        <v>4000</v>
      </c>
      <c r="C38" s="39" t="s">
        <v>179</v>
      </c>
      <c r="D38" s="59"/>
    </row>
    <row r="39" spans="1:5" x14ac:dyDescent="0.2">
      <c r="A39" s="14" t="s">
        <v>70</v>
      </c>
      <c r="B39" s="108">
        <v>25000</v>
      </c>
      <c r="C39" s="39" t="s">
        <v>199</v>
      </c>
      <c r="D39" s="76"/>
    </row>
    <row r="40" spans="1:5" x14ac:dyDescent="0.2">
      <c r="A40" s="14" t="s">
        <v>71</v>
      </c>
      <c r="B40" s="108">
        <v>0</v>
      </c>
      <c r="C40" s="39"/>
      <c r="D40" s="76"/>
    </row>
    <row r="41" spans="1:5" x14ac:dyDescent="0.2">
      <c r="A41" s="7" t="s">
        <v>171</v>
      </c>
      <c r="B41" s="108">
        <v>50000</v>
      </c>
      <c r="C41" s="39" t="s">
        <v>172</v>
      </c>
      <c r="D41" s="76"/>
    </row>
    <row r="42" spans="1:5" x14ac:dyDescent="0.2">
      <c r="A42" s="7" t="s">
        <v>186</v>
      </c>
      <c r="B42" s="108">
        <v>1050</v>
      </c>
      <c r="C42" s="39"/>
      <c r="D42" s="76"/>
    </row>
    <row r="43" spans="1:5" x14ac:dyDescent="0.2">
      <c r="A43" s="7" t="s">
        <v>205</v>
      </c>
      <c r="B43" s="108"/>
      <c r="C43" s="39"/>
      <c r="D43" s="76"/>
    </row>
    <row r="44" spans="1:5" x14ac:dyDescent="0.2">
      <c r="A44" s="7" t="s">
        <v>48</v>
      </c>
      <c r="B44" s="108"/>
      <c r="C44" s="39"/>
      <c r="D44" s="76"/>
    </row>
    <row r="45" spans="1:5" x14ac:dyDescent="0.2">
      <c r="A45" s="7" t="s">
        <v>48</v>
      </c>
      <c r="B45" s="108"/>
      <c r="C45" s="39"/>
      <c r="D45" s="76"/>
    </row>
    <row r="46" spans="1:5" s="43" customFormat="1" x14ac:dyDescent="0.2">
      <c r="A46" s="20" t="s">
        <v>72</v>
      </c>
      <c r="B46" s="107">
        <f>SUM(B37:B45)</f>
        <v>1122770</v>
      </c>
      <c r="C46" s="41"/>
      <c r="D46" s="81"/>
      <c r="E46" s="82"/>
    </row>
    <row r="47" spans="1:5" s="85" customFormat="1" x14ac:dyDescent="0.2">
      <c r="A47" s="61"/>
      <c r="B47" s="107"/>
      <c r="C47" s="41"/>
      <c r="D47" s="83"/>
      <c r="E47" s="84"/>
    </row>
    <row r="48" spans="1:5" x14ac:dyDescent="0.2">
      <c r="A48" s="15" t="s">
        <v>74</v>
      </c>
      <c r="B48" s="107"/>
      <c r="C48" s="41"/>
      <c r="D48" s="48"/>
    </row>
    <row r="49" spans="1:5" s="45" customFormat="1" x14ac:dyDescent="0.2">
      <c r="A49" s="77" t="s">
        <v>7</v>
      </c>
      <c r="B49" s="108">
        <v>2000</v>
      </c>
      <c r="C49" s="39"/>
      <c r="D49" s="78"/>
      <c r="E49" s="75"/>
    </row>
    <row r="50" spans="1:5" s="45" customFormat="1" x14ac:dyDescent="0.2">
      <c r="A50" s="77" t="s">
        <v>8</v>
      </c>
      <c r="B50" s="108">
        <v>0</v>
      </c>
      <c r="C50" s="39" t="s">
        <v>6</v>
      </c>
      <c r="D50" s="78"/>
      <c r="E50" s="75"/>
    </row>
    <row r="51" spans="1:5" s="45" customFormat="1" x14ac:dyDescent="0.2">
      <c r="A51" s="77" t="s">
        <v>9</v>
      </c>
      <c r="B51" s="108">
        <v>18700</v>
      </c>
      <c r="C51" s="39" t="s">
        <v>198</v>
      </c>
      <c r="D51" s="78"/>
      <c r="E51" s="75"/>
    </row>
    <row r="52" spans="1:5" x14ac:dyDescent="0.2">
      <c r="A52" s="19" t="s">
        <v>10</v>
      </c>
      <c r="B52" s="108">
        <f>5000+2125</f>
        <v>7125</v>
      </c>
      <c r="C52" s="39" t="s">
        <v>180</v>
      </c>
      <c r="D52" s="59"/>
    </row>
    <row r="53" spans="1:5" x14ac:dyDescent="0.2">
      <c r="A53" s="19" t="s">
        <v>11</v>
      </c>
      <c r="B53" s="108">
        <f>82650</f>
        <v>82650</v>
      </c>
      <c r="C53" s="79" t="s">
        <v>188</v>
      </c>
      <c r="D53" s="59"/>
    </row>
    <row r="54" spans="1:5" x14ac:dyDescent="0.2">
      <c r="A54" s="19" t="s">
        <v>12</v>
      </c>
      <c r="B54" s="108">
        <v>50000</v>
      </c>
      <c r="C54" s="39" t="s">
        <v>177</v>
      </c>
      <c r="D54" s="59"/>
    </row>
    <row r="55" spans="1:5" x14ac:dyDescent="0.2">
      <c r="A55" s="19" t="s">
        <v>45</v>
      </c>
      <c r="B55" s="108">
        <v>31000</v>
      </c>
      <c r="C55" s="39"/>
      <c r="D55" s="59"/>
    </row>
    <row r="56" spans="1:5" x14ac:dyDescent="0.2">
      <c r="A56" s="80" t="s">
        <v>13</v>
      </c>
      <c r="B56" s="108">
        <v>5000</v>
      </c>
      <c r="C56" s="39"/>
      <c r="D56" s="76"/>
    </row>
    <row r="57" spans="1:5" x14ac:dyDescent="0.2">
      <c r="A57" s="14" t="s">
        <v>62</v>
      </c>
      <c r="B57" s="108">
        <v>6000</v>
      </c>
      <c r="C57" s="39" t="s">
        <v>178</v>
      </c>
      <c r="D57" s="76"/>
    </row>
    <row r="58" spans="1:5" x14ac:dyDescent="0.2">
      <c r="A58" s="7" t="s">
        <v>176</v>
      </c>
      <c r="B58" s="108">
        <v>4500</v>
      </c>
      <c r="C58" s="39"/>
      <c r="D58" s="59"/>
    </row>
    <row r="59" spans="1:5" x14ac:dyDescent="0.2">
      <c r="A59" s="7" t="s">
        <v>181</v>
      </c>
      <c r="B59" s="108">
        <v>25000</v>
      </c>
      <c r="C59" s="39"/>
      <c r="D59" s="59"/>
    </row>
    <row r="60" spans="1:5" x14ac:dyDescent="0.2">
      <c r="A60" s="7" t="s">
        <v>182</v>
      </c>
      <c r="B60" s="108">
        <v>10500</v>
      </c>
      <c r="C60" s="39"/>
      <c r="D60" s="59"/>
    </row>
    <row r="61" spans="1:5" x14ac:dyDescent="0.2">
      <c r="A61" s="7" t="s">
        <v>48</v>
      </c>
      <c r="B61" s="108"/>
      <c r="C61" s="39"/>
      <c r="D61" s="59"/>
    </row>
    <row r="62" spans="1:5" x14ac:dyDescent="0.2">
      <c r="A62" s="7" t="s">
        <v>48</v>
      </c>
      <c r="B62" s="108"/>
      <c r="C62" s="39"/>
      <c r="D62" s="59"/>
    </row>
    <row r="63" spans="1:5" s="43" customFormat="1" x14ac:dyDescent="0.2">
      <c r="A63" s="20" t="s">
        <v>75</v>
      </c>
      <c r="B63" s="107">
        <f>SUM(B49:B62)</f>
        <v>242475</v>
      </c>
      <c r="C63" s="41"/>
      <c r="D63" s="81"/>
      <c r="E63" s="82"/>
    </row>
    <row r="64" spans="1:5" s="85" customFormat="1" x14ac:dyDescent="0.2">
      <c r="A64" s="61"/>
      <c r="B64" s="107"/>
      <c r="C64" s="41"/>
      <c r="D64" s="83"/>
      <c r="E64" s="84"/>
    </row>
    <row r="65" spans="1:5" x14ac:dyDescent="0.2">
      <c r="A65" s="15" t="s">
        <v>46</v>
      </c>
      <c r="B65" s="107"/>
      <c r="C65" s="41"/>
      <c r="D65" s="48"/>
    </row>
    <row r="66" spans="1:5" x14ac:dyDescent="0.2">
      <c r="A66" s="7" t="s">
        <v>20</v>
      </c>
      <c r="B66" s="109">
        <v>5000</v>
      </c>
      <c r="C66" s="39"/>
      <c r="D66" s="59"/>
    </row>
    <row r="67" spans="1:5" x14ac:dyDescent="0.2">
      <c r="A67" s="7" t="s">
        <v>21</v>
      </c>
      <c r="B67" s="110">
        <v>0</v>
      </c>
      <c r="C67" s="39"/>
      <c r="D67" s="59"/>
    </row>
    <row r="68" spans="1:5" x14ac:dyDescent="0.2">
      <c r="A68" s="14" t="s">
        <v>22</v>
      </c>
      <c r="B68" s="110">
        <v>0</v>
      </c>
      <c r="C68" s="86"/>
      <c r="D68" s="76"/>
    </row>
    <row r="69" spans="1:5" x14ac:dyDescent="0.2">
      <c r="A69" s="7" t="s">
        <v>23</v>
      </c>
      <c r="B69" s="110">
        <v>10000</v>
      </c>
      <c r="C69" s="86"/>
      <c r="D69" s="76"/>
    </row>
    <row r="70" spans="1:5" x14ac:dyDescent="0.2">
      <c r="A70" s="7" t="s">
        <v>184</v>
      </c>
      <c r="B70" s="110">
        <v>1000</v>
      </c>
      <c r="C70" s="39"/>
      <c r="D70" s="59"/>
    </row>
    <row r="71" spans="1:5" x14ac:dyDescent="0.2">
      <c r="A71" s="7" t="s">
        <v>185</v>
      </c>
      <c r="B71" s="110">
        <v>2500</v>
      </c>
      <c r="C71" s="39"/>
      <c r="D71" s="59"/>
    </row>
    <row r="72" spans="1:5" x14ac:dyDescent="0.2">
      <c r="A72" s="7" t="s">
        <v>48</v>
      </c>
      <c r="B72" s="110"/>
      <c r="C72" s="39"/>
      <c r="D72" s="59"/>
    </row>
    <row r="73" spans="1:5" x14ac:dyDescent="0.2">
      <c r="A73" s="7" t="s">
        <v>48</v>
      </c>
      <c r="B73" s="110"/>
      <c r="C73" s="39"/>
      <c r="D73" s="59"/>
    </row>
    <row r="74" spans="1:5" x14ac:dyDescent="0.2">
      <c r="A74" s="7" t="s">
        <v>48</v>
      </c>
      <c r="B74" s="110"/>
      <c r="C74" s="39"/>
      <c r="D74" s="59"/>
    </row>
    <row r="75" spans="1:5" s="43" customFormat="1" x14ac:dyDescent="0.2">
      <c r="A75" s="20" t="s">
        <v>76</v>
      </c>
      <c r="B75" s="107">
        <f>SUM(B66:B74)</f>
        <v>18500</v>
      </c>
      <c r="C75" s="41"/>
      <c r="D75" s="81"/>
      <c r="E75" s="82"/>
    </row>
    <row r="76" spans="1:5" s="43" customFormat="1" x14ac:dyDescent="0.2">
      <c r="A76" s="20"/>
      <c r="B76" s="107"/>
      <c r="C76" s="41"/>
      <c r="D76" s="81"/>
      <c r="E76" s="82"/>
    </row>
    <row r="77" spans="1:5" x14ac:dyDescent="0.2">
      <c r="A77" s="15" t="s">
        <v>51</v>
      </c>
      <c r="B77" s="107"/>
      <c r="C77" s="41"/>
      <c r="D77" s="48"/>
    </row>
    <row r="78" spans="1:5" ht="25.5" x14ac:dyDescent="0.2">
      <c r="A78" s="14" t="s">
        <v>52</v>
      </c>
      <c r="B78" s="109">
        <v>0</v>
      </c>
      <c r="C78" s="39" t="s">
        <v>6</v>
      </c>
      <c r="D78" s="87"/>
    </row>
    <row r="79" spans="1:5" x14ac:dyDescent="0.2">
      <c r="A79" s="14" t="s">
        <v>14</v>
      </c>
      <c r="B79" s="109">
        <v>0</v>
      </c>
      <c r="C79" s="39"/>
      <c r="D79" s="76"/>
    </row>
    <row r="80" spans="1:5" x14ac:dyDescent="0.2">
      <c r="A80" s="14" t="s">
        <v>15</v>
      </c>
      <c r="B80" s="109">
        <v>0</v>
      </c>
      <c r="C80" s="39"/>
      <c r="D80" s="76"/>
    </row>
    <row r="81" spans="1:5" x14ac:dyDescent="0.2">
      <c r="A81" s="7" t="s">
        <v>48</v>
      </c>
      <c r="B81" s="110"/>
      <c r="C81" s="39"/>
      <c r="D81" s="59"/>
    </row>
    <row r="82" spans="1:5" x14ac:dyDescent="0.2">
      <c r="A82" s="7" t="s">
        <v>48</v>
      </c>
      <c r="B82" s="110"/>
      <c r="C82" s="39"/>
      <c r="D82" s="59"/>
    </row>
    <row r="83" spans="1:5" x14ac:dyDescent="0.2">
      <c r="A83" s="7" t="s">
        <v>48</v>
      </c>
      <c r="B83" s="110"/>
      <c r="C83" s="39"/>
      <c r="D83" s="59"/>
    </row>
    <row r="84" spans="1:5" x14ac:dyDescent="0.2">
      <c r="A84" s="7" t="s">
        <v>48</v>
      </c>
      <c r="B84" s="110"/>
      <c r="C84" s="39"/>
      <c r="D84" s="59"/>
    </row>
    <row r="85" spans="1:5" x14ac:dyDescent="0.2">
      <c r="A85" s="7" t="s">
        <v>48</v>
      </c>
      <c r="B85" s="110"/>
      <c r="C85" s="39"/>
      <c r="D85" s="59"/>
    </row>
    <row r="86" spans="1:5" s="43" customFormat="1" x14ac:dyDescent="0.2">
      <c r="A86" s="20" t="s">
        <v>77</v>
      </c>
      <c r="B86" s="107">
        <f>SUM(B78:B85)</f>
        <v>0</v>
      </c>
      <c r="C86" s="41"/>
      <c r="D86" s="81"/>
      <c r="E86" s="82"/>
    </row>
    <row r="87" spans="1:5" s="43" customFormat="1" x14ac:dyDescent="0.2">
      <c r="A87" s="20"/>
      <c r="B87" s="107"/>
      <c r="C87" s="41"/>
      <c r="D87" s="81"/>
      <c r="E87" s="82"/>
    </row>
    <row r="88" spans="1:5" x14ac:dyDescent="0.2">
      <c r="A88" s="15" t="s">
        <v>47</v>
      </c>
      <c r="B88" s="107"/>
      <c r="C88" s="41"/>
      <c r="D88" s="48"/>
    </row>
    <row r="89" spans="1:5" x14ac:dyDescent="0.2">
      <c r="A89" s="14" t="s">
        <v>16</v>
      </c>
      <c r="B89" s="109">
        <v>15000</v>
      </c>
      <c r="C89" s="39"/>
      <c r="D89" s="76"/>
    </row>
    <row r="90" spans="1:5" x14ac:dyDescent="0.2">
      <c r="A90" s="23" t="s">
        <v>126</v>
      </c>
      <c r="B90" s="109">
        <v>20000</v>
      </c>
      <c r="C90" s="39"/>
      <c r="D90" s="76"/>
    </row>
    <row r="91" spans="1:5" ht="25.5" x14ac:dyDescent="0.2">
      <c r="A91" s="14" t="s">
        <v>17</v>
      </c>
      <c r="B91" s="109">
        <v>1800</v>
      </c>
      <c r="C91" s="39" t="s">
        <v>194</v>
      </c>
      <c r="D91" s="76"/>
    </row>
    <row r="92" spans="1:5" x14ac:dyDescent="0.2">
      <c r="A92" s="14" t="s">
        <v>18</v>
      </c>
      <c r="B92" s="111">
        <v>64000</v>
      </c>
      <c r="C92" s="39" t="s">
        <v>195</v>
      </c>
      <c r="D92" s="76"/>
    </row>
    <row r="93" spans="1:5" x14ac:dyDescent="0.2">
      <c r="A93" s="14" t="s">
        <v>19</v>
      </c>
      <c r="B93" s="109">
        <v>20000</v>
      </c>
      <c r="C93" s="39" t="s">
        <v>191</v>
      </c>
      <c r="D93" s="76"/>
    </row>
    <row r="94" spans="1:5" x14ac:dyDescent="0.2">
      <c r="A94" s="7" t="s">
        <v>27</v>
      </c>
      <c r="B94" s="109">
        <v>0</v>
      </c>
      <c r="C94" s="39" t="s">
        <v>6</v>
      </c>
      <c r="D94" s="59"/>
    </row>
    <row r="95" spans="1:5" x14ac:dyDescent="0.2">
      <c r="A95" s="14" t="s">
        <v>24</v>
      </c>
      <c r="B95" s="110">
        <v>5000</v>
      </c>
      <c r="C95" s="39" t="s">
        <v>189</v>
      </c>
      <c r="D95" s="76"/>
    </row>
    <row r="96" spans="1:5" x14ac:dyDescent="0.2">
      <c r="A96" s="14" t="s">
        <v>25</v>
      </c>
      <c r="B96" s="110">
        <v>6000</v>
      </c>
      <c r="C96" s="39"/>
      <c r="D96" s="76"/>
    </row>
    <row r="97" spans="1:5" ht="25.5" x14ac:dyDescent="0.2">
      <c r="A97" s="23" t="s">
        <v>101</v>
      </c>
      <c r="B97" s="110">
        <v>30000</v>
      </c>
      <c r="C97" s="39"/>
      <c r="D97" s="76"/>
    </row>
    <row r="98" spans="1:5" x14ac:dyDescent="0.2">
      <c r="A98" s="7" t="s">
        <v>31</v>
      </c>
      <c r="B98" s="109">
        <v>5000</v>
      </c>
      <c r="C98" s="39"/>
      <c r="D98" s="59"/>
    </row>
    <row r="99" spans="1:5" x14ac:dyDescent="0.2">
      <c r="A99" s="7" t="s">
        <v>32</v>
      </c>
      <c r="B99" s="109">
        <v>1000</v>
      </c>
      <c r="C99" s="39"/>
      <c r="D99" s="59"/>
    </row>
    <row r="100" spans="1:5" x14ac:dyDescent="0.2">
      <c r="A100" s="49" t="s">
        <v>97</v>
      </c>
      <c r="B100" s="112">
        <v>23159</v>
      </c>
      <c r="C100" s="50" t="s">
        <v>193</v>
      </c>
      <c r="D100" s="59"/>
      <c r="E100" s="88"/>
    </row>
    <row r="101" spans="1:5" x14ac:dyDescent="0.2">
      <c r="A101" s="49" t="s">
        <v>49</v>
      </c>
      <c r="B101" s="112">
        <v>0</v>
      </c>
      <c r="C101" s="50" t="s">
        <v>197</v>
      </c>
      <c r="D101" s="59"/>
      <c r="E101" s="88"/>
    </row>
    <row r="102" spans="1:5" x14ac:dyDescent="0.2">
      <c r="A102" s="49" t="s">
        <v>28</v>
      </c>
      <c r="B102" s="112">
        <f>B21</f>
        <v>116000</v>
      </c>
      <c r="C102" s="50" t="s">
        <v>174</v>
      </c>
      <c r="D102" s="59"/>
    </row>
    <row r="103" spans="1:5" x14ac:dyDescent="0.2">
      <c r="A103" s="49" t="s">
        <v>29</v>
      </c>
      <c r="B103" s="112">
        <v>45000</v>
      </c>
      <c r="C103" s="50" t="s">
        <v>221</v>
      </c>
      <c r="D103" s="59"/>
    </row>
    <row r="104" spans="1:5" x14ac:dyDescent="0.2">
      <c r="A104" s="93" t="s">
        <v>131</v>
      </c>
      <c r="B104" s="112"/>
      <c r="C104" s="50"/>
      <c r="D104" s="59"/>
    </row>
    <row r="105" spans="1:5" x14ac:dyDescent="0.2">
      <c r="A105" s="49" t="s">
        <v>168</v>
      </c>
      <c r="B105" s="112">
        <v>20000</v>
      </c>
      <c r="C105" s="50" t="s">
        <v>169</v>
      </c>
      <c r="D105" s="59"/>
    </row>
    <row r="106" spans="1:5" x14ac:dyDescent="0.2">
      <c r="A106" s="49" t="s">
        <v>196</v>
      </c>
      <c r="B106" s="112"/>
      <c r="C106" s="50"/>
      <c r="D106" s="59"/>
    </row>
    <row r="107" spans="1:5" x14ac:dyDescent="0.2">
      <c r="A107" s="49" t="s">
        <v>48</v>
      </c>
      <c r="B107" s="112"/>
      <c r="C107" s="50"/>
      <c r="D107" s="59"/>
    </row>
    <row r="108" spans="1:5" ht="13.5" x14ac:dyDescent="0.25">
      <c r="A108" s="49" t="s">
        <v>48</v>
      </c>
      <c r="B108" s="113"/>
      <c r="C108" s="51"/>
      <c r="D108" s="59"/>
    </row>
    <row r="109" spans="1:5" s="43" customFormat="1" x14ac:dyDescent="0.2">
      <c r="A109" s="20" t="s">
        <v>78</v>
      </c>
      <c r="B109" s="107">
        <f>SUM(B89:B108)</f>
        <v>371959</v>
      </c>
      <c r="C109" s="41"/>
      <c r="D109" s="81"/>
      <c r="E109" s="82"/>
    </row>
    <row r="110" spans="1:5" s="45" customFormat="1" x14ac:dyDescent="0.2">
      <c r="A110" s="63"/>
      <c r="B110" s="107"/>
      <c r="C110" s="40"/>
      <c r="D110" s="74"/>
      <c r="E110" s="75"/>
    </row>
    <row r="111" spans="1:5" x14ac:dyDescent="0.2">
      <c r="A111" s="63" t="s">
        <v>33</v>
      </c>
      <c r="B111" s="107"/>
      <c r="C111" s="40"/>
      <c r="D111" s="59"/>
    </row>
    <row r="112" spans="1:5" ht="25.5" x14ac:dyDescent="0.2">
      <c r="A112" s="49" t="s">
        <v>34</v>
      </c>
      <c r="B112" s="113">
        <v>290000</v>
      </c>
      <c r="C112" s="50" t="s">
        <v>222</v>
      </c>
      <c r="D112" s="59"/>
    </row>
    <row r="113" spans="1:5" x14ac:dyDescent="0.2">
      <c r="A113" s="141" t="s">
        <v>132</v>
      </c>
      <c r="B113" s="113">
        <v>37352</v>
      </c>
      <c r="C113" s="50" t="s">
        <v>200</v>
      </c>
      <c r="D113" s="59"/>
    </row>
    <row r="114" spans="1:5" x14ac:dyDescent="0.2">
      <c r="A114" s="89" t="s">
        <v>35</v>
      </c>
      <c r="B114" s="113">
        <v>35000</v>
      </c>
      <c r="C114" s="50" t="s">
        <v>6</v>
      </c>
      <c r="D114" s="59"/>
    </row>
    <row r="115" spans="1:5" x14ac:dyDescent="0.2">
      <c r="A115" s="49" t="s">
        <v>98</v>
      </c>
      <c r="B115" s="113">
        <v>2900</v>
      </c>
      <c r="C115" s="50"/>
      <c r="D115" s="59"/>
    </row>
    <row r="116" spans="1:5" x14ac:dyDescent="0.2">
      <c r="A116" s="52" t="s">
        <v>36</v>
      </c>
      <c r="B116" s="113">
        <v>20000</v>
      </c>
      <c r="C116" s="50"/>
      <c r="D116" s="76"/>
    </row>
    <row r="117" spans="1:5" x14ac:dyDescent="0.2">
      <c r="A117" s="52" t="s">
        <v>37</v>
      </c>
      <c r="B117" s="113">
        <v>20000</v>
      </c>
      <c r="C117" s="50"/>
      <c r="D117" s="76"/>
    </row>
    <row r="118" spans="1:5" x14ac:dyDescent="0.2">
      <c r="A118" s="49" t="s">
        <v>26</v>
      </c>
      <c r="B118" s="112">
        <v>35000</v>
      </c>
      <c r="C118" s="50"/>
      <c r="D118" s="59"/>
    </row>
    <row r="119" spans="1:5" x14ac:dyDescent="0.2">
      <c r="A119" s="49" t="s">
        <v>30</v>
      </c>
      <c r="B119" s="112">
        <v>1500</v>
      </c>
      <c r="C119" s="50"/>
      <c r="D119" s="59"/>
    </row>
    <row r="120" spans="1:5" x14ac:dyDescent="0.2">
      <c r="A120" s="93" t="s">
        <v>133</v>
      </c>
      <c r="B120" s="113"/>
      <c r="C120" s="50"/>
      <c r="D120" s="59"/>
    </row>
    <row r="121" spans="1:5" x14ac:dyDescent="0.2">
      <c r="A121" s="49" t="s">
        <v>175</v>
      </c>
      <c r="B121" s="113">
        <v>9500</v>
      </c>
      <c r="C121" s="50"/>
      <c r="D121" s="59"/>
    </row>
    <row r="122" spans="1:5" x14ac:dyDescent="0.2">
      <c r="A122" s="49" t="s">
        <v>183</v>
      </c>
      <c r="B122" s="113">
        <v>7000</v>
      </c>
      <c r="C122" s="50"/>
      <c r="D122" s="59"/>
    </row>
    <row r="123" spans="1:5" x14ac:dyDescent="0.2">
      <c r="A123" s="49" t="s">
        <v>205</v>
      </c>
      <c r="B123" s="113"/>
      <c r="C123" s="50"/>
      <c r="D123" s="59"/>
    </row>
    <row r="124" spans="1:5" x14ac:dyDescent="0.2">
      <c r="A124" s="49" t="s">
        <v>187</v>
      </c>
      <c r="B124" s="113">
        <v>1200</v>
      </c>
      <c r="C124" s="50"/>
      <c r="D124" s="59"/>
    </row>
    <row r="125" spans="1:5" x14ac:dyDescent="0.2">
      <c r="A125" s="20" t="s">
        <v>38</v>
      </c>
      <c r="B125" s="107">
        <f>SUM(B112:B124)</f>
        <v>459452</v>
      </c>
      <c r="C125" s="41"/>
      <c r="D125" s="59"/>
    </row>
    <row r="126" spans="1:5" s="45" customFormat="1" x14ac:dyDescent="0.2">
      <c r="A126" s="61"/>
      <c r="B126" s="107"/>
      <c r="C126" s="41"/>
      <c r="D126" s="74"/>
      <c r="E126" s="75"/>
    </row>
    <row r="127" spans="1:5" x14ac:dyDescent="0.2">
      <c r="A127" s="17" t="s">
        <v>79</v>
      </c>
      <c r="B127" s="114"/>
      <c r="C127" s="40"/>
      <c r="D127" s="59"/>
    </row>
    <row r="128" spans="1:5" s="45" customFormat="1" x14ac:dyDescent="0.2">
      <c r="A128" s="93" t="s">
        <v>81</v>
      </c>
      <c r="B128" s="115"/>
      <c r="C128" s="92"/>
      <c r="D128" s="74"/>
      <c r="E128" s="75"/>
    </row>
    <row r="129" spans="1:5" s="45" customFormat="1" x14ac:dyDescent="0.2">
      <c r="A129" s="93" t="s">
        <v>99</v>
      </c>
      <c r="B129" s="115">
        <f>0.03*B6</f>
        <v>66288.53465999999</v>
      </c>
      <c r="C129" s="92" t="s">
        <v>146</v>
      </c>
      <c r="D129" s="74"/>
      <c r="E129" s="75"/>
    </row>
    <row r="130" spans="1:5" s="45" customFormat="1" ht="51" x14ac:dyDescent="0.2">
      <c r="A130" s="93" t="s">
        <v>80</v>
      </c>
      <c r="B130" s="115">
        <v>0</v>
      </c>
      <c r="C130" s="92" t="s">
        <v>124</v>
      </c>
      <c r="D130" s="74"/>
      <c r="E130" s="75"/>
    </row>
    <row r="131" spans="1:5" s="45" customFormat="1" ht="25.5" x14ac:dyDescent="0.2">
      <c r="A131" s="23" t="s">
        <v>140</v>
      </c>
      <c r="B131" s="115">
        <v>0</v>
      </c>
      <c r="C131" s="92"/>
      <c r="D131" s="74"/>
      <c r="E131" s="75"/>
    </row>
    <row r="132" spans="1:5" s="56" customFormat="1" ht="51" x14ac:dyDescent="0.2">
      <c r="A132" s="93" t="s">
        <v>139</v>
      </c>
      <c r="B132" s="108">
        <v>30000</v>
      </c>
      <c r="C132" s="92" t="s">
        <v>147</v>
      </c>
      <c r="D132" s="57"/>
      <c r="E132" s="58"/>
    </row>
    <row r="133" spans="1:5" x14ac:dyDescent="0.2">
      <c r="A133" s="49" t="s">
        <v>201</v>
      </c>
      <c r="B133" s="106">
        <v>134052</v>
      </c>
      <c r="C133" s="39"/>
      <c r="D133" s="59"/>
    </row>
    <row r="134" spans="1:5" x14ac:dyDescent="0.2">
      <c r="A134" s="49" t="s">
        <v>203</v>
      </c>
      <c r="B134" s="106">
        <f>-PMT(0.065,10,500000)</f>
        <v>69552.345027833901</v>
      </c>
      <c r="C134" s="39"/>
      <c r="D134" s="59"/>
    </row>
    <row r="135" spans="1:5" x14ac:dyDescent="0.2">
      <c r="A135" s="20" t="s">
        <v>39</v>
      </c>
      <c r="B135" s="107">
        <f>SUM(B128:B134)</f>
        <v>299892.87968783389</v>
      </c>
      <c r="C135" s="41"/>
      <c r="D135" s="59"/>
    </row>
    <row r="136" spans="1:5" x14ac:dyDescent="0.2">
      <c r="A136" s="20"/>
      <c r="B136" s="107"/>
      <c r="C136" s="41"/>
      <c r="D136" s="59"/>
    </row>
    <row r="137" spans="1:5" x14ac:dyDescent="0.2">
      <c r="A137" s="20" t="s">
        <v>40</v>
      </c>
      <c r="B137" s="107">
        <f>B135+B125+B109+B86+B75+B63+B46</f>
        <v>2515048.8796878336</v>
      </c>
      <c r="C137" s="41"/>
      <c r="D137" s="59"/>
    </row>
    <row r="138" spans="1:5" x14ac:dyDescent="0.2">
      <c r="A138" s="122"/>
      <c r="B138" s="116"/>
      <c r="C138" s="90"/>
      <c r="D138" s="59"/>
    </row>
    <row r="139" spans="1:5" s="45" customFormat="1" x14ac:dyDescent="0.2">
      <c r="A139" s="121" t="s">
        <v>82</v>
      </c>
      <c r="B139" s="116">
        <f>B33-B137</f>
        <v>190608.94231216609</v>
      </c>
      <c r="C139" s="90"/>
      <c r="D139" s="74"/>
      <c r="E139" s="75"/>
    </row>
    <row r="141" spans="1:5" x14ac:dyDescent="0.2">
      <c r="A141" s="46" t="s">
        <v>83</v>
      </c>
      <c r="B141" s="117">
        <f>'YEAR 6 - Budget and Cash Flow'!C143+B139</f>
        <v>246983.94231216609</v>
      </c>
    </row>
  </sheetData>
  <mergeCells count="1">
    <mergeCell ref="A3:C3"/>
  </mergeCells>
  <phoneticPr fontId="27" type="noConversion"/>
  <pageMargins left="0.7" right="0.7" top="0.75" bottom="0.75" header="0.3" footer="0.3"/>
  <pageSetup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39"/>
  <sheetViews>
    <sheetView topLeftCell="A20" workbookViewId="0">
      <selection activeCell="J7" sqref="J7"/>
    </sheetView>
  </sheetViews>
  <sheetFormatPr defaultColWidth="15.7109375" defaultRowHeight="12.75" x14ac:dyDescent="0.2"/>
  <cols>
    <col min="1" max="1" width="33.140625" style="46" customWidth="1"/>
    <col min="2" max="2" width="14.42578125" style="46" customWidth="1"/>
    <col min="3" max="5" width="15.7109375" style="46" customWidth="1"/>
    <col min="6" max="29" width="15.7109375" style="43" customWidth="1"/>
    <col min="30" max="30" width="15.7109375" style="43"/>
    <col min="31" max="16384" width="15.7109375" style="46"/>
  </cols>
  <sheetData>
    <row r="1" spans="1:30" ht="18" customHeight="1" x14ac:dyDescent="0.2">
      <c r="A1" s="202" t="s">
        <v>155</v>
      </c>
      <c r="B1" s="202"/>
      <c r="C1" s="202"/>
      <c r="D1" s="202"/>
      <c r="E1" s="202"/>
      <c r="F1" s="202"/>
    </row>
    <row r="2" spans="1:30" s="4" customFormat="1" ht="41.25" customHeight="1" x14ac:dyDescent="0.2">
      <c r="A2" s="203" t="s">
        <v>130</v>
      </c>
      <c r="B2" s="203"/>
      <c r="C2" s="203"/>
      <c r="D2" s="203"/>
      <c r="E2" s="203"/>
      <c r="F2" s="203"/>
      <c r="G2" s="3"/>
      <c r="H2" s="3"/>
      <c r="I2" s="3"/>
      <c r="J2" s="3"/>
      <c r="K2" s="3"/>
      <c r="L2" s="3"/>
      <c r="M2" s="3"/>
      <c r="N2" s="3"/>
      <c r="O2" s="3"/>
      <c r="P2" s="3"/>
      <c r="Q2" s="3"/>
      <c r="R2" s="3"/>
      <c r="S2" s="3"/>
      <c r="T2" s="3"/>
      <c r="U2" s="3"/>
      <c r="V2" s="3"/>
      <c r="W2" s="3"/>
      <c r="X2" s="3"/>
      <c r="Y2" s="3"/>
      <c r="Z2" s="3"/>
      <c r="AA2" s="3"/>
      <c r="AB2" s="3"/>
      <c r="AC2" s="3"/>
      <c r="AD2" s="3"/>
    </row>
    <row r="3" spans="1:30" s="6" customFormat="1" ht="13.5" thickBot="1" x14ac:dyDescent="0.25">
      <c r="A3" s="5"/>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s="6" customFormat="1" ht="21.75" customHeight="1" thickBot="1" x14ac:dyDescent="0.25">
      <c r="A4" s="204" t="s">
        <v>54</v>
      </c>
      <c r="B4" s="205"/>
      <c r="C4" s="205"/>
      <c r="D4" s="205"/>
      <c r="E4" s="205"/>
      <c r="F4" s="206"/>
      <c r="G4" s="3"/>
      <c r="H4" s="3"/>
      <c r="I4" s="3"/>
      <c r="J4" s="3"/>
      <c r="K4" s="3"/>
      <c r="L4" s="3"/>
      <c r="M4" s="3"/>
      <c r="N4" s="3"/>
      <c r="O4" s="3"/>
      <c r="P4" s="3"/>
      <c r="Q4" s="3"/>
      <c r="R4" s="3"/>
      <c r="S4" s="3"/>
      <c r="T4" s="3"/>
      <c r="U4" s="3"/>
      <c r="V4" s="3"/>
      <c r="W4" s="3"/>
      <c r="X4" s="3"/>
      <c r="Y4" s="3"/>
      <c r="Z4" s="3"/>
      <c r="AA4" s="3"/>
      <c r="AB4" s="3"/>
      <c r="AC4" s="3"/>
      <c r="AD4" s="3"/>
    </row>
    <row r="5" spans="1:30" s="6" customFormat="1" ht="50.25" customHeight="1" thickBot="1" x14ac:dyDescent="0.25">
      <c r="A5" s="204" t="str">
        <f>'Staffing Year 6'!A5:F5</f>
        <v>Benefits assumes payroll taxes, retirement (including 401K match), and employee insurance.  This is based off of actual data from FY 2017.</v>
      </c>
      <c r="B5" s="205"/>
      <c r="C5" s="205"/>
      <c r="D5" s="205"/>
      <c r="E5" s="205"/>
      <c r="F5" s="206"/>
      <c r="G5" s="3"/>
      <c r="H5" s="3"/>
      <c r="I5" s="3"/>
      <c r="J5" s="3"/>
      <c r="K5" s="3"/>
      <c r="L5" s="3"/>
      <c r="M5" s="3"/>
      <c r="N5" s="3"/>
      <c r="O5" s="3"/>
      <c r="P5" s="3"/>
      <c r="Q5" s="3"/>
      <c r="R5" s="3"/>
      <c r="S5" s="3"/>
      <c r="T5" s="3"/>
      <c r="U5" s="3"/>
      <c r="V5" s="3"/>
      <c r="W5" s="3"/>
      <c r="X5" s="3"/>
      <c r="Y5" s="3"/>
      <c r="Z5" s="3"/>
      <c r="AA5" s="3"/>
      <c r="AB5" s="3"/>
      <c r="AC5" s="3"/>
      <c r="AD5" s="3"/>
    </row>
    <row r="6" spans="1:30" s="3" customFormat="1" ht="27" customHeight="1" thickBot="1" x14ac:dyDescent="0.25">
      <c r="A6" s="21" t="s">
        <v>64</v>
      </c>
      <c r="B6" s="21" t="s">
        <v>67</v>
      </c>
      <c r="C6" s="21" t="s">
        <v>68</v>
      </c>
      <c r="D6" s="188" t="s">
        <v>65</v>
      </c>
      <c r="E6" s="21" t="s">
        <v>63</v>
      </c>
      <c r="F6" s="21" t="s">
        <v>66</v>
      </c>
    </row>
    <row r="7" spans="1:30" s="6" customFormat="1" x14ac:dyDescent="0.2">
      <c r="A7" s="9" t="str">
        <f>'Staffing Year 6'!A7</f>
        <v>Principal</v>
      </c>
      <c r="B7" s="9">
        <f>'Staffing Year 6'!B7</f>
        <v>1</v>
      </c>
      <c r="C7" s="66">
        <f>'Staffing Year 6'!C7*(1.02)^1</f>
        <v>81600</v>
      </c>
      <c r="D7" s="67">
        <f>B7*C7</f>
        <v>81600</v>
      </c>
      <c r="E7" s="67">
        <f>D7*0.33</f>
        <v>26928</v>
      </c>
      <c r="F7" s="68">
        <f>D7+E7</f>
        <v>108528</v>
      </c>
      <c r="G7" s="3"/>
      <c r="H7" s="3"/>
      <c r="I7" s="3"/>
      <c r="J7" s="3"/>
      <c r="K7" s="3"/>
      <c r="L7" s="3"/>
      <c r="M7" s="3"/>
      <c r="N7" s="3"/>
      <c r="O7" s="3"/>
      <c r="P7" s="3"/>
      <c r="Q7" s="3"/>
      <c r="R7" s="3"/>
      <c r="S7" s="3"/>
      <c r="T7" s="3"/>
      <c r="U7" s="3"/>
      <c r="V7" s="3"/>
      <c r="W7" s="3"/>
      <c r="X7" s="3"/>
      <c r="Y7" s="3"/>
      <c r="Z7" s="3"/>
      <c r="AA7" s="3"/>
      <c r="AB7" s="3"/>
      <c r="AC7" s="3"/>
      <c r="AD7" s="3"/>
    </row>
    <row r="8" spans="1:30" s="6" customFormat="1" x14ac:dyDescent="0.2">
      <c r="A8" s="9" t="str">
        <f>'Staffing Year 6'!A8</f>
        <v>Teachers</v>
      </c>
      <c r="B8" s="9">
        <f>'Staffing Year 6'!B8</f>
        <v>6</v>
      </c>
      <c r="C8" s="66">
        <f>'Staffing Year 6'!C8*(1.02)^1</f>
        <v>51000</v>
      </c>
      <c r="D8" s="67">
        <f t="shared" ref="D8:D19" si="0">B8*C8</f>
        <v>306000</v>
      </c>
      <c r="E8" s="67">
        <f t="shared" ref="E8:E19" si="1">D8*0.33</f>
        <v>100980</v>
      </c>
      <c r="F8" s="68">
        <f t="shared" ref="F8:F19" si="2">D8+E8</f>
        <v>406980</v>
      </c>
      <c r="G8" s="3"/>
      <c r="H8" s="3"/>
      <c r="I8" s="3"/>
      <c r="J8" s="3"/>
      <c r="K8" s="3"/>
      <c r="L8" s="3"/>
      <c r="M8" s="3"/>
      <c r="N8" s="3"/>
      <c r="O8" s="3"/>
      <c r="P8" s="3"/>
      <c r="Q8" s="3"/>
      <c r="R8" s="3"/>
      <c r="S8" s="3"/>
      <c r="T8" s="3"/>
      <c r="U8" s="3"/>
      <c r="V8" s="3"/>
      <c r="W8" s="3"/>
      <c r="X8" s="3"/>
      <c r="Y8" s="3"/>
      <c r="Z8" s="3"/>
      <c r="AA8" s="3"/>
      <c r="AB8" s="3"/>
      <c r="AC8" s="3"/>
      <c r="AD8" s="3"/>
    </row>
    <row r="9" spans="1:30" s="6" customFormat="1" x14ac:dyDescent="0.2">
      <c r="A9" s="9" t="str">
        <f>'Staffing Year 6'!A9</f>
        <v>Coaches</v>
      </c>
      <c r="B9" s="9">
        <f>'Staffing Year 6'!B9</f>
        <v>3</v>
      </c>
      <c r="C9" s="66">
        <f>'Staffing Year 6'!C9*(1.02)^1</f>
        <v>30600</v>
      </c>
      <c r="D9" s="67">
        <f t="shared" si="0"/>
        <v>91800</v>
      </c>
      <c r="E9" s="67">
        <f t="shared" si="1"/>
        <v>30294</v>
      </c>
      <c r="F9" s="68">
        <f t="shared" si="2"/>
        <v>122094</v>
      </c>
      <c r="G9" s="3"/>
      <c r="H9" s="3"/>
      <c r="I9" s="3"/>
      <c r="J9" s="3"/>
      <c r="K9" s="3"/>
      <c r="L9" s="3"/>
      <c r="M9" s="3"/>
      <c r="N9" s="3"/>
      <c r="O9" s="3"/>
      <c r="P9" s="3"/>
      <c r="Q9" s="3"/>
      <c r="R9" s="3"/>
      <c r="S9" s="3"/>
      <c r="T9" s="3"/>
      <c r="U9" s="3"/>
      <c r="V9" s="3"/>
      <c r="W9" s="3"/>
      <c r="X9" s="3"/>
      <c r="Y9" s="3"/>
      <c r="Z9" s="3"/>
      <c r="AA9" s="3"/>
      <c r="AB9" s="3"/>
      <c r="AC9" s="3"/>
      <c r="AD9" s="3"/>
    </row>
    <row r="10" spans="1:30" x14ac:dyDescent="0.2">
      <c r="A10" s="9" t="str">
        <f>'Staffing Year 6'!A10</f>
        <v>SPED para</v>
      </c>
      <c r="B10" s="9">
        <f>'Staffing Year 6'!B10</f>
        <v>2</v>
      </c>
      <c r="C10" s="66">
        <f>'Staffing Year 6'!C10*(1.02)^1</f>
        <v>33660</v>
      </c>
      <c r="D10" s="67">
        <f t="shared" si="0"/>
        <v>67320</v>
      </c>
      <c r="E10" s="67">
        <f t="shared" si="1"/>
        <v>22215.600000000002</v>
      </c>
      <c r="F10" s="68">
        <f t="shared" si="2"/>
        <v>89535.6</v>
      </c>
    </row>
    <row r="11" spans="1:30" x14ac:dyDescent="0.2">
      <c r="A11" s="9" t="str">
        <f>'Staffing Year 6'!A11</f>
        <v>COO</v>
      </c>
      <c r="B11" s="9">
        <f>'Staffing Year 6'!B11</f>
        <v>0.5</v>
      </c>
      <c r="C11" s="66">
        <f>'Staffing Year 6'!C11*(1.02)^1</f>
        <v>62220</v>
      </c>
      <c r="D11" s="67">
        <f t="shared" si="0"/>
        <v>31110</v>
      </c>
      <c r="E11" s="67">
        <f t="shared" si="1"/>
        <v>10266.300000000001</v>
      </c>
      <c r="F11" s="68">
        <f t="shared" si="2"/>
        <v>41376.300000000003</v>
      </c>
    </row>
    <row r="12" spans="1:30" x14ac:dyDescent="0.2">
      <c r="A12" s="9" t="str">
        <f>'Staffing Year 6'!A12</f>
        <v>Office Manager</v>
      </c>
      <c r="B12" s="9">
        <f>'Staffing Year 6'!B12</f>
        <v>1</v>
      </c>
      <c r="C12" s="66">
        <f>'Staffing Year 6'!C12*(1.02)^1</f>
        <v>35700</v>
      </c>
      <c r="D12" s="67">
        <f t="shared" si="0"/>
        <v>35700</v>
      </c>
      <c r="E12" s="67">
        <f t="shared" si="1"/>
        <v>11781</v>
      </c>
      <c r="F12" s="68">
        <f t="shared" si="2"/>
        <v>47481</v>
      </c>
    </row>
    <row r="13" spans="1:30" x14ac:dyDescent="0.2">
      <c r="A13" s="9" t="str">
        <f>'Staffing Year 6'!A13</f>
        <v>IT Director</v>
      </c>
      <c r="B13" s="9">
        <f>'Staffing Year 6'!B13</f>
        <v>0.5</v>
      </c>
      <c r="C13" s="66">
        <f>'Staffing Year 6'!C13*(1.02)^1</f>
        <v>51000</v>
      </c>
      <c r="D13" s="67">
        <f t="shared" si="0"/>
        <v>25500</v>
      </c>
      <c r="E13" s="67">
        <f t="shared" si="1"/>
        <v>8415</v>
      </c>
      <c r="F13" s="68">
        <f t="shared" si="2"/>
        <v>33915</v>
      </c>
    </row>
    <row r="14" spans="1:30" x14ac:dyDescent="0.2">
      <c r="A14" s="9" t="str">
        <f>'Staffing Year 6'!A14</f>
        <v>Registrar</v>
      </c>
      <c r="B14" s="9">
        <f>'Staffing Year 6'!B14</f>
        <v>0</v>
      </c>
      <c r="C14" s="66">
        <f>'Staffing Year 6'!C14*(1.02)^1</f>
        <v>35700</v>
      </c>
      <c r="D14" s="67">
        <f t="shared" si="0"/>
        <v>0</v>
      </c>
      <c r="E14" s="67">
        <f t="shared" si="1"/>
        <v>0</v>
      </c>
      <c r="F14" s="68">
        <f t="shared" si="2"/>
        <v>0</v>
      </c>
    </row>
    <row r="15" spans="1:30" s="6" customFormat="1" x14ac:dyDescent="0.2">
      <c r="A15" s="9" t="str">
        <f>'Staffing Year 6'!A15</f>
        <v xml:space="preserve">Assisstant Superintendent </v>
      </c>
      <c r="B15" s="9">
        <f>'Staffing Year 6'!B15</f>
        <v>1</v>
      </c>
      <c r="C15" s="66">
        <f>'Staffing Year 6'!C15*(1.02)^1</f>
        <v>66300</v>
      </c>
      <c r="D15" s="67">
        <f t="shared" si="0"/>
        <v>66300</v>
      </c>
      <c r="E15" s="67">
        <f t="shared" si="1"/>
        <v>21879</v>
      </c>
      <c r="F15" s="68">
        <f t="shared" si="2"/>
        <v>88179</v>
      </c>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
      <c r="A16" s="9" t="str">
        <f>'Staffing Year 6'!A16</f>
        <v>RTI teacher</v>
      </c>
      <c r="B16" s="9">
        <f>'Staffing Year 6'!B16</f>
        <v>2</v>
      </c>
      <c r="C16" s="66">
        <f>'Staffing Year 6'!C16*(1.02)^1</f>
        <v>30600</v>
      </c>
      <c r="D16" s="67">
        <f t="shared" si="0"/>
        <v>61200</v>
      </c>
      <c r="E16" s="67">
        <f t="shared" si="1"/>
        <v>20196</v>
      </c>
      <c r="F16" s="68">
        <f t="shared" si="2"/>
        <v>81396</v>
      </c>
    </row>
    <row r="17" spans="1:30" x14ac:dyDescent="0.2">
      <c r="A17" s="9" t="str">
        <f>'Staffing Year 6'!A17</f>
        <v>Dean of Students</v>
      </c>
      <c r="B17" s="9">
        <f>'Staffing Year 6'!B17</f>
        <v>0.5</v>
      </c>
      <c r="C17" s="66">
        <f>'Staffing Year 6'!C17*(1.02)^1</f>
        <v>66300</v>
      </c>
      <c r="D17" s="67">
        <f t="shared" si="0"/>
        <v>33150</v>
      </c>
      <c r="E17" s="67">
        <f t="shared" si="1"/>
        <v>10939.5</v>
      </c>
      <c r="F17" s="68">
        <f t="shared" si="2"/>
        <v>44089.5</v>
      </c>
    </row>
    <row r="18" spans="1:30" x14ac:dyDescent="0.2">
      <c r="A18" s="9">
        <f>'Staffing Year 6'!A18</f>
        <v>0</v>
      </c>
      <c r="B18" s="9">
        <f>'Staffing Year 6'!B18</f>
        <v>0</v>
      </c>
      <c r="C18" s="66">
        <f>'Staffing Year 6'!C18*(1.02)^1</f>
        <v>0</v>
      </c>
      <c r="D18" s="67">
        <f t="shared" si="0"/>
        <v>0</v>
      </c>
      <c r="E18" s="67">
        <f t="shared" si="1"/>
        <v>0</v>
      </c>
      <c r="F18" s="68">
        <f t="shared" si="2"/>
        <v>0</v>
      </c>
    </row>
    <row r="19" spans="1:30" x14ac:dyDescent="0.2">
      <c r="A19" s="9">
        <f>'Staffing Year 6'!A19</f>
        <v>0</v>
      </c>
      <c r="B19" s="9">
        <f>'Staffing Year 6'!B19</f>
        <v>0</v>
      </c>
      <c r="C19" s="66">
        <f>'Staffing Year 6'!C19*(1.02)^1</f>
        <v>0</v>
      </c>
      <c r="D19" s="67">
        <f t="shared" si="0"/>
        <v>0</v>
      </c>
      <c r="E19" s="67">
        <f t="shared" si="1"/>
        <v>0</v>
      </c>
      <c r="F19" s="68">
        <f t="shared" si="2"/>
        <v>0</v>
      </c>
    </row>
    <row r="20" spans="1:30" x14ac:dyDescent="0.2">
      <c r="A20" s="54"/>
      <c r="B20" s="54"/>
      <c r="C20" s="94"/>
      <c r="D20" s="67">
        <f t="shared" ref="D20:D25" si="3">B20*C20</f>
        <v>0</v>
      </c>
      <c r="E20" s="96"/>
      <c r="F20" s="68">
        <f t="shared" ref="F20:F25" si="4">D20+E20</f>
        <v>0</v>
      </c>
    </row>
    <row r="21" spans="1:30" x14ac:dyDescent="0.2">
      <c r="A21" s="54"/>
      <c r="B21" s="54"/>
      <c r="C21" s="94"/>
      <c r="D21" s="67">
        <f t="shared" si="3"/>
        <v>0</v>
      </c>
      <c r="E21" s="96"/>
      <c r="F21" s="68">
        <f t="shared" si="4"/>
        <v>0</v>
      </c>
    </row>
    <row r="22" spans="1:30" x14ac:dyDescent="0.2">
      <c r="A22" s="54"/>
      <c r="B22" s="54"/>
      <c r="C22" s="94"/>
      <c r="D22" s="67">
        <f t="shared" si="3"/>
        <v>0</v>
      </c>
      <c r="E22" s="96"/>
      <c r="F22" s="68">
        <f t="shared" si="4"/>
        <v>0</v>
      </c>
    </row>
    <row r="23" spans="1:30" s="6" customFormat="1" x14ac:dyDescent="0.2">
      <c r="A23" s="7"/>
      <c r="B23" s="7"/>
      <c r="C23" s="94"/>
      <c r="D23" s="67">
        <f>B23*C23</f>
        <v>0</v>
      </c>
      <c r="E23" s="70"/>
      <c r="F23" s="68">
        <f>D23+E23</f>
        <v>0</v>
      </c>
      <c r="G23" s="3"/>
      <c r="H23" s="3"/>
      <c r="I23" s="3"/>
      <c r="J23" s="3"/>
      <c r="K23" s="3"/>
      <c r="L23" s="3"/>
      <c r="M23" s="3"/>
      <c r="N23" s="3"/>
      <c r="O23" s="3"/>
      <c r="P23" s="3"/>
      <c r="Q23" s="3"/>
      <c r="R23" s="3"/>
      <c r="S23" s="3"/>
      <c r="T23" s="3"/>
      <c r="U23" s="3"/>
      <c r="V23" s="3"/>
      <c r="W23" s="3"/>
      <c r="X23" s="3"/>
      <c r="Y23" s="3"/>
      <c r="Z23" s="3"/>
      <c r="AA23" s="3"/>
      <c r="AB23" s="3"/>
      <c r="AC23" s="3"/>
      <c r="AD23" s="3"/>
    </row>
    <row r="24" spans="1:30" x14ac:dyDescent="0.2">
      <c r="A24" s="97"/>
      <c r="B24" s="97"/>
      <c r="C24" s="98"/>
      <c r="D24" s="67">
        <f t="shared" si="3"/>
        <v>0</v>
      </c>
      <c r="E24" s="99"/>
      <c r="F24" s="68">
        <f t="shared" si="4"/>
        <v>0</v>
      </c>
    </row>
    <row r="25" spans="1:30" ht="13.5" thickBot="1" x14ac:dyDescent="0.25">
      <c r="A25" s="97"/>
      <c r="B25" s="97"/>
      <c r="C25" s="98"/>
      <c r="D25" s="67">
        <f t="shared" si="3"/>
        <v>0</v>
      </c>
      <c r="E25" s="99"/>
      <c r="F25" s="68">
        <f t="shared" si="4"/>
        <v>0</v>
      </c>
    </row>
    <row r="26" spans="1:30" ht="13.5" thickBot="1" x14ac:dyDescent="0.25">
      <c r="A26" s="8" t="s">
        <v>41</v>
      </c>
      <c r="B26" s="8"/>
      <c r="C26" s="100"/>
      <c r="D26" s="101">
        <f>SUM(D7:D25)</f>
        <v>799680</v>
      </c>
      <c r="E26" s="101">
        <f>SUM(E7:E25)</f>
        <v>263894.40000000002</v>
      </c>
      <c r="F26" s="102">
        <f>SUM(F7:F25)</f>
        <v>1063574.3999999999</v>
      </c>
    </row>
    <row r="39" spans="6:26" x14ac:dyDescent="0.2">
      <c r="F39" s="46"/>
      <c r="G39" s="46"/>
      <c r="H39" s="46"/>
      <c r="I39" s="46"/>
      <c r="J39" s="46"/>
      <c r="K39" s="46"/>
      <c r="L39" s="46"/>
      <c r="M39" s="46"/>
      <c r="N39" s="46"/>
      <c r="O39" s="46"/>
      <c r="P39" s="46"/>
      <c r="Q39" s="46"/>
      <c r="R39" s="46"/>
      <c r="S39" s="46"/>
      <c r="T39" s="46"/>
      <c r="U39" s="46"/>
      <c r="V39" s="46"/>
      <c r="W39" s="46"/>
      <c r="X39" s="46"/>
      <c r="Y39" s="46"/>
      <c r="Z39" s="46"/>
    </row>
  </sheetData>
  <customSheetViews>
    <customSheetView guid="{4EB07C87-A9F4-403E-8C0F-324FFB87E1FF}" topLeftCell="A34">
      <selection activeCell="E48" sqref="E48"/>
      <pageMargins left="0.7" right="0.7" top="0.75" bottom="0.75" header="0.3" footer="0.3"/>
    </customSheetView>
    <customSheetView guid="{78108F25-E067-40AC-B09B-6FE5187CDB4B}" topLeftCell="A34">
      <selection activeCell="D35" sqref="D35"/>
      <pageMargins left="0.7" right="0.7" top="0.75" bottom="0.75" header="0.3" footer="0.3"/>
    </customSheetView>
  </customSheetViews>
  <mergeCells count="4">
    <mergeCell ref="A1:F1"/>
    <mergeCell ref="A2:F2"/>
    <mergeCell ref="A4:F4"/>
    <mergeCell ref="A5:F5"/>
  </mergeCells>
  <phoneticPr fontId="27" type="noConversion"/>
  <pageMargins left="0.7" right="0.7" top="0.75" bottom="0.75" header="0.3" footer="0.3"/>
  <pageSetup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E141"/>
  <sheetViews>
    <sheetView topLeftCell="A12" zoomScaleNormal="100" workbookViewId="0">
      <selection activeCell="B20" sqref="B20"/>
    </sheetView>
  </sheetViews>
  <sheetFormatPr defaultRowHeight="12.75" x14ac:dyDescent="0.2"/>
  <cols>
    <col min="1" max="1" width="45.28515625" style="46" bestFit="1" customWidth="1"/>
    <col min="2" max="2" width="9.85546875" style="117" bestFit="1" customWidth="1"/>
    <col min="3" max="3" width="49.140625" style="91" customWidth="1"/>
    <col min="4" max="4" width="8.140625" style="46" bestFit="1" customWidth="1"/>
    <col min="5" max="5" width="32.85546875" style="47" bestFit="1" customWidth="1"/>
    <col min="6" max="16384" width="9.140625" style="46"/>
  </cols>
  <sheetData>
    <row r="1" spans="1:5" x14ac:dyDescent="0.2">
      <c r="A1" s="118"/>
    </row>
    <row r="2" spans="1:5" ht="13.5" thickBot="1" x14ac:dyDescent="0.25"/>
    <row r="3" spans="1:5" x14ac:dyDescent="0.2">
      <c r="A3" s="207" t="s">
        <v>157</v>
      </c>
      <c r="B3" s="208"/>
      <c r="C3" s="209"/>
    </row>
    <row r="4" spans="1:5" s="11" customFormat="1" x14ac:dyDescent="0.2">
      <c r="A4" s="10" t="s">
        <v>0</v>
      </c>
      <c r="B4" s="103" t="s">
        <v>1</v>
      </c>
      <c r="C4" s="10" t="s">
        <v>84</v>
      </c>
      <c r="D4" s="22"/>
      <c r="E4" s="37"/>
    </row>
    <row r="5" spans="1:5" s="11" customFormat="1" x14ac:dyDescent="0.2">
      <c r="A5" s="12" t="s">
        <v>85</v>
      </c>
      <c r="B5" s="104"/>
      <c r="C5" s="42"/>
      <c r="E5" s="38"/>
    </row>
    <row r="6" spans="1:5" s="43" customFormat="1" ht="38.25" x14ac:dyDescent="0.2">
      <c r="A6" s="24" t="s">
        <v>88</v>
      </c>
      <c r="B6" s="105">
        <f>5088*'School Enrollment Projection'!O8+'School Enrollment Projection'!O8*'School Enrollment Projection'!B25*0.3762+1200*('School Enrollment Projection'!O8)</f>
        <v>2209617.8219999997</v>
      </c>
      <c r="C6" s="183" t="s">
        <v>217</v>
      </c>
      <c r="E6" s="44"/>
    </row>
    <row r="7" spans="1:5" x14ac:dyDescent="0.2">
      <c r="A7" s="23" t="s">
        <v>89</v>
      </c>
      <c r="B7" s="106">
        <v>0</v>
      </c>
      <c r="C7" s="39" t="s">
        <v>6</v>
      </c>
      <c r="D7" s="48"/>
    </row>
    <row r="8" spans="1:5" x14ac:dyDescent="0.2">
      <c r="A8" s="23" t="s">
        <v>70</v>
      </c>
      <c r="B8" s="106">
        <v>0</v>
      </c>
      <c r="C8" s="39"/>
      <c r="D8" s="48"/>
    </row>
    <row r="9" spans="1:5" x14ac:dyDescent="0.2">
      <c r="A9" s="23" t="s">
        <v>127</v>
      </c>
      <c r="B9" s="106">
        <v>0</v>
      </c>
      <c r="C9" s="39"/>
      <c r="D9" s="48"/>
    </row>
    <row r="10" spans="1:5" x14ac:dyDescent="0.2">
      <c r="A10" s="23" t="s">
        <v>90</v>
      </c>
      <c r="B10" s="106">
        <v>0</v>
      </c>
      <c r="C10" s="39"/>
      <c r="D10" s="48"/>
    </row>
    <row r="11" spans="1:5" x14ac:dyDescent="0.2">
      <c r="A11" s="23" t="s">
        <v>91</v>
      </c>
      <c r="B11" s="106">
        <v>0</v>
      </c>
      <c r="C11" s="39"/>
      <c r="D11" s="48"/>
    </row>
    <row r="12" spans="1:5" x14ac:dyDescent="0.2">
      <c r="A12" s="23" t="s">
        <v>92</v>
      </c>
      <c r="B12" s="106">
        <v>12000</v>
      </c>
      <c r="C12" s="39"/>
      <c r="D12" s="48"/>
    </row>
    <row r="13" spans="1:5" x14ac:dyDescent="0.2">
      <c r="A13" s="23" t="s">
        <v>93</v>
      </c>
      <c r="B13" s="106">
        <v>15000</v>
      </c>
      <c r="C13" s="39"/>
      <c r="D13" s="48"/>
    </row>
    <row r="14" spans="1:5" ht="51" x14ac:dyDescent="0.2">
      <c r="A14" s="23" t="s">
        <v>137</v>
      </c>
      <c r="B14" s="106">
        <f>500*'School Enrollment Projection'!O7</f>
        <v>145000</v>
      </c>
      <c r="C14" s="92" t="s">
        <v>144</v>
      </c>
      <c r="D14" s="48"/>
    </row>
    <row r="15" spans="1:5" ht="25.5" x14ac:dyDescent="0.2">
      <c r="A15" s="23" t="s">
        <v>138</v>
      </c>
      <c r="B15" s="106"/>
      <c r="C15" s="92" t="s">
        <v>145</v>
      </c>
      <c r="D15" s="48"/>
    </row>
    <row r="16" spans="1:5" x14ac:dyDescent="0.2">
      <c r="A16" s="15" t="s">
        <v>43</v>
      </c>
      <c r="B16" s="107"/>
      <c r="C16" s="71"/>
      <c r="D16" s="48"/>
    </row>
    <row r="17" spans="1:5" ht="51" x14ac:dyDescent="0.2">
      <c r="A17" s="23" t="s">
        <v>100</v>
      </c>
      <c r="B17" s="108">
        <v>0</v>
      </c>
      <c r="C17" s="180" t="s">
        <v>135</v>
      </c>
      <c r="D17" s="135"/>
    </row>
    <row r="18" spans="1:5" x14ac:dyDescent="0.2">
      <c r="A18" s="23" t="s">
        <v>128</v>
      </c>
      <c r="B18" s="108">
        <v>0</v>
      </c>
      <c r="C18" s="134"/>
      <c r="D18" s="135"/>
    </row>
    <row r="19" spans="1:5" x14ac:dyDescent="0.2">
      <c r="A19" s="24" t="s">
        <v>2</v>
      </c>
      <c r="B19" s="106">
        <f>436*'School Enrollment Projection'!O7</f>
        <v>126440</v>
      </c>
      <c r="C19" s="55"/>
      <c r="D19" s="59"/>
      <c r="E19" s="72"/>
    </row>
    <row r="20" spans="1:5" x14ac:dyDescent="0.2">
      <c r="A20" s="24" t="s">
        <v>3</v>
      </c>
      <c r="B20" s="106">
        <v>20000</v>
      </c>
      <c r="C20" s="53"/>
      <c r="D20" s="59"/>
    </row>
    <row r="21" spans="1:5" x14ac:dyDescent="0.2">
      <c r="A21" s="23" t="s">
        <v>86</v>
      </c>
      <c r="B21" s="108">
        <v>116000</v>
      </c>
      <c r="C21" s="50" t="s">
        <v>173</v>
      </c>
      <c r="D21" s="59"/>
    </row>
    <row r="22" spans="1:5" x14ac:dyDescent="0.2">
      <c r="A22" s="23" t="s">
        <v>87</v>
      </c>
      <c r="B22" s="108"/>
      <c r="C22" s="50"/>
      <c r="D22" s="59"/>
    </row>
    <row r="23" spans="1:5" ht="25.5" x14ac:dyDescent="0.2">
      <c r="A23" s="14" t="s">
        <v>202</v>
      </c>
      <c r="B23" s="106">
        <v>69600</v>
      </c>
      <c r="C23" s="50"/>
      <c r="D23" s="59"/>
    </row>
    <row r="24" spans="1:5" x14ac:dyDescent="0.2">
      <c r="A24" s="14" t="s">
        <v>42</v>
      </c>
      <c r="B24" s="106"/>
      <c r="C24" s="50"/>
      <c r="D24" s="59"/>
    </row>
    <row r="25" spans="1:5" x14ac:dyDescent="0.2">
      <c r="A25" s="15" t="s">
        <v>44</v>
      </c>
      <c r="B25" s="107"/>
      <c r="C25" s="41"/>
      <c r="D25" s="48"/>
    </row>
    <row r="26" spans="1:5" x14ac:dyDescent="0.2">
      <c r="A26" s="24" t="s">
        <v>94</v>
      </c>
      <c r="B26" s="106">
        <v>0</v>
      </c>
      <c r="C26" s="39"/>
      <c r="D26" s="59"/>
    </row>
    <row r="27" spans="1:5" x14ac:dyDescent="0.2">
      <c r="A27" s="24" t="s">
        <v>95</v>
      </c>
      <c r="B27" s="106">
        <v>0</v>
      </c>
      <c r="C27" s="39"/>
      <c r="D27" s="59"/>
    </row>
    <row r="28" spans="1:5" x14ac:dyDescent="0.2">
      <c r="A28" s="24" t="s">
        <v>96</v>
      </c>
      <c r="B28" s="106">
        <v>0</v>
      </c>
      <c r="C28" s="39"/>
      <c r="D28" s="59"/>
    </row>
    <row r="29" spans="1:5" x14ac:dyDescent="0.2">
      <c r="A29" s="13" t="s">
        <v>48</v>
      </c>
      <c r="B29" s="106">
        <v>0</v>
      </c>
      <c r="C29" s="39"/>
      <c r="D29" s="59"/>
    </row>
    <row r="30" spans="1:5" x14ac:dyDescent="0.2">
      <c r="A30" s="13" t="s">
        <v>48</v>
      </c>
      <c r="B30" s="106">
        <v>0</v>
      </c>
      <c r="C30" s="39"/>
      <c r="D30" s="59"/>
    </row>
    <row r="31" spans="1:5" x14ac:dyDescent="0.2">
      <c r="A31" s="13" t="s">
        <v>48</v>
      </c>
      <c r="B31" s="106">
        <v>0</v>
      </c>
      <c r="C31" s="39"/>
      <c r="D31" s="59"/>
    </row>
    <row r="32" spans="1:5" x14ac:dyDescent="0.2">
      <c r="A32" s="13" t="s">
        <v>48</v>
      </c>
      <c r="B32" s="106">
        <v>0</v>
      </c>
      <c r="C32" s="39"/>
      <c r="D32" s="59"/>
    </row>
    <row r="33" spans="1:5" x14ac:dyDescent="0.2">
      <c r="A33" s="20" t="s">
        <v>4</v>
      </c>
      <c r="B33" s="107">
        <f>SUM(B6:B32)</f>
        <v>2713657.8219999997</v>
      </c>
      <c r="C33" s="41"/>
      <c r="D33" s="59"/>
    </row>
    <row r="34" spans="1:5" s="45" customFormat="1" x14ac:dyDescent="0.2">
      <c r="A34" s="16"/>
      <c r="B34" s="108"/>
      <c r="C34" s="73"/>
      <c r="D34" s="74"/>
      <c r="E34" s="187"/>
    </row>
    <row r="35" spans="1:5" x14ac:dyDescent="0.2">
      <c r="A35" s="10" t="s">
        <v>53</v>
      </c>
      <c r="B35" s="107"/>
      <c r="C35" s="41"/>
      <c r="D35" s="59"/>
    </row>
    <row r="36" spans="1:5" x14ac:dyDescent="0.2">
      <c r="A36" s="12" t="s">
        <v>73</v>
      </c>
      <c r="B36" s="107"/>
      <c r="C36" s="41"/>
      <c r="D36" s="59"/>
    </row>
    <row r="37" spans="1:5" x14ac:dyDescent="0.2">
      <c r="A37" s="61" t="s">
        <v>69</v>
      </c>
      <c r="B37" s="107">
        <f>'Staffing Year 7'!F26</f>
        <v>1063574.3999999999</v>
      </c>
      <c r="C37" s="41" t="s">
        <v>5</v>
      </c>
      <c r="D37" s="59"/>
    </row>
    <row r="38" spans="1:5" x14ac:dyDescent="0.2">
      <c r="A38" s="93" t="s">
        <v>129</v>
      </c>
      <c r="B38" s="108">
        <v>4000</v>
      </c>
      <c r="C38" s="39" t="s">
        <v>179</v>
      </c>
      <c r="D38" s="59"/>
    </row>
    <row r="39" spans="1:5" x14ac:dyDescent="0.2">
      <c r="A39" s="14" t="s">
        <v>70</v>
      </c>
      <c r="B39" s="108">
        <v>25000</v>
      </c>
      <c r="C39" s="39" t="s">
        <v>199</v>
      </c>
      <c r="D39" s="76"/>
    </row>
    <row r="40" spans="1:5" x14ac:dyDescent="0.2">
      <c r="A40" s="14" t="s">
        <v>71</v>
      </c>
      <c r="B40" s="108">
        <v>0</v>
      </c>
      <c r="C40" s="39"/>
      <c r="D40" s="76"/>
    </row>
    <row r="41" spans="1:5" x14ac:dyDescent="0.2">
      <c r="A41" s="7" t="s">
        <v>171</v>
      </c>
      <c r="B41" s="108">
        <v>50000</v>
      </c>
      <c r="C41" s="39" t="s">
        <v>172</v>
      </c>
      <c r="D41" s="76"/>
    </row>
    <row r="42" spans="1:5" x14ac:dyDescent="0.2">
      <c r="A42" s="7" t="s">
        <v>186</v>
      </c>
      <c r="B42" s="108">
        <v>1050</v>
      </c>
      <c r="C42" s="39"/>
      <c r="D42" s="76"/>
    </row>
    <row r="43" spans="1:5" x14ac:dyDescent="0.2">
      <c r="A43" s="7" t="s">
        <v>205</v>
      </c>
      <c r="B43" s="108"/>
      <c r="C43" s="39"/>
      <c r="D43" s="76"/>
    </row>
    <row r="44" spans="1:5" x14ac:dyDescent="0.2">
      <c r="A44" s="7" t="s">
        <v>48</v>
      </c>
      <c r="B44" s="108"/>
      <c r="C44" s="39"/>
      <c r="D44" s="76"/>
    </row>
    <row r="45" spans="1:5" x14ac:dyDescent="0.2">
      <c r="A45" s="7" t="s">
        <v>48</v>
      </c>
      <c r="B45" s="108"/>
      <c r="C45" s="39"/>
      <c r="D45" s="76"/>
    </row>
    <row r="46" spans="1:5" s="43" customFormat="1" x14ac:dyDescent="0.2">
      <c r="A46" s="20" t="s">
        <v>72</v>
      </c>
      <c r="B46" s="107">
        <f>SUM(B37:B45)</f>
        <v>1143624.3999999999</v>
      </c>
      <c r="C46" s="41"/>
      <c r="D46" s="81"/>
      <c r="E46" s="82"/>
    </row>
    <row r="47" spans="1:5" s="85" customFormat="1" x14ac:dyDescent="0.2">
      <c r="A47" s="61"/>
      <c r="B47" s="107"/>
      <c r="C47" s="41"/>
      <c r="D47" s="83"/>
      <c r="E47" s="84"/>
    </row>
    <row r="48" spans="1:5" x14ac:dyDescent="0.2">
      <c r="A48" s="15" t="s">
        <v>74</v>
      </c>
      <c r="B48" s="107"/>
      <c r="C48" s="41"/>
      <c r="D48" s="48"/>
    </row>
    <row r="49" spans="1:5" s="45" customFormat="1" x14ac:dyDescent="0.2">
      <c r="A49" s="77" t="s">
        <v>7</v>
      </c>
      <c r="B49" s="108">
        <v>2000</v>
      </c>
      <c r="C49" s="39"/>
      <c r="D49" s="78"/>
      <c r="E49" s="75"/>
    </row>
    <row r="50" spans="1:5" s="45" customFormat="1" x14ac:dyDescent="0.2">
      <c r="A50" s="77" t="s">
        <v>8</v>
      </c>
      <c r="B50" s="108">
        <v>0</v>
      </c>
      <c r="C50" s="39" t="s">
        <v>6</v>
      </c>
      <c r="D50" s="78"/>
      <c r="E50" s="75"/>
    </row>
    <row r="51" spans="1:5" s="45" customFormat="1" x14ac:dyDescent="0.2">
      <c r="A51" s="77" t="s">
        <v>9</v>
      </c>
      <c r="B51" s="108">
        <v>18700</v>
      </c>
      <c r="C51" s="39" t="s">
        <v>198</v>
      </c>
      <c r="D51" s="78"/>
      <c r="E51" s="75"/>
    </row>
    <row r="52" spans="1:5" x14ac:dyDescent="0.2">
      <c r="A52" s="19" t="s">
        <v>10</v>
      </c>
      <c r="B52" s="108">
        <f>5000+2125</f>
        <v>7125</v>
      </c>
      <c r="C52" s="39" t="s">
        <v>180</v>
      </c>
      <c r="D52" s="59"/>
    </row>
    <row r="53" spans="1:5" x14ac:dyDescent="0.2">
      <c r="A53" s="19" t="s">
        <v>11</v>
      </c>
      <c r="B53" s="108">
        <v>20000</v>
      </c>
      <c r="C53" s="79" t="s">
        <v>188</v>
      </c>
      <c r="D53" s="59"/>
    </row>
    <row r="54" spans="1:5" x14ac:dyDescent="0.2">
      <c r="A54" s="19" t="s">
        <v>12</v>
      </c>
      <c r="B54" s="108">
        <v>50000</v>
      </c>
      <c r="C54" s="39" t="s">
        <v>177</v>
      </c>
      <c r="D54" s="59"/>
    </row>
    <row r="55" spans="1:5" x14ac:dyDescent="0.2">
      <c r="A55" s="19" t="s">
        <v>45</v>
      </c>
      <c r="B55" s="108">
        <v>31000</v>
      </c>
      <c r="C55" s="39"/>
      <c r="D55" s="59"/>
    </row>
    <row r="56" spans="1:5" x14ac:dyDescent="0.2">
      <c r="A56" s="80" t="s">
        <v>13</v>
      </c>
      <c r="B56" s="108">
        <v>5000</v>
      </c>
      <c r="C56" s="39"/>
      <c r="D56" s="76"/>
    </row>
    <row r="57" spans="1:5" x14ac:dyDescent="0.2">
      <c r="A57" s="14" t="s">
        <v>62</v>
      </c>
      <c r="B57" s="108">
        <v>6000</v>
      </c>
      <c r="C57" s="39" t="s">
        <v>178</v>
      </c>
      <c r="D57" s="76"/>
    </row>
    <row r="58" spans="1:5" x14ac:dyDescent="0.2">
      <c r="A58" s="7" t="s">
        <v>176</v>
      </c>
      <c r="B58" s="108">
        <v>4500</v>
      </c>
      <c r="C58" s="39"/>
      <c r="D58" s="59"/>
    </row>
    <row r="59" spans="1:5" x14ac:dyDescent="0.2">
      <c r="A59" s="7" t="s">
        <v>181</v>
      </c>
      <c r="B59" s="108">
        <v>25000</v>
      </c>
      <c r="C59" s="39"/>
      <c r="D59" s="59"/>
    </row>
    <row r="60" spans="1:5" x14ac:dyDescent="0.2">
      <c r="A60" s="7" t="s">
        <v>182</v>
      </c>
      <c r="B60" s="108">
        <v>12000</v>
      </c>
      <c r="C60" s="39"/>
      <c r="D60" s="59"/>
    </row>
    <row r="61" spans="1:5" x14ac:dyDescent="0.2">
      <c r="A61" s="7" t="s">
        <v>48</v>
      </c>
      <c r="B61" s="108"/>
      <c r="C61" s="39"/>
      <c r="D61" s="59"/>
    </row>
    <row r="62" spans="1:5" x14ac:dyDescent="0.2">
      <c r="A62" s="7" t="s">
        <v>48</v>
      </c>
      <c r="B62" s="108"/>
      <c r="C62" s="39"/>
      <c r="D62" s="59"/>
    </row>
    <row r="63" spans="1:5" s="43" customFormat="1" x14ac:dyDescent="0.2">
      <c r="A63" s="20" t="s">
        <v>75</v>
      </c>
      <c r="B63" s="107">
        <f>SUM(B49:B62)</f>
        <v>181325</v>
      </c>
      <c r="C63" s="41"/>
      <c r="D63" s="81"/>
      <c r="E63" s="82"/>
    </row>
    <row r="64" spans="1:5" s="85" customFormat="1" x14ac:dyDescent="0.2">
      <c r="A64" s="61"/>
      <c r="B64" s="107"/>
      <c r="C64" s="41"/>
      <c r="D64" s="83"/>
      <c r="E64" s="84"/>
    </row>
    <row r="65" spans="1:5" x14ac:dyDescent="0.2">
      <c r="A65" s="15" t="s">
        <v>46</v>
      </c>
      <c r="B65" s="107"/>
      <c r="C65" s="41"/>
      <c r="D65" s="48"/>
    </row>
    <row r="66" spans="1:5" x14ac:dyDescent="0.2">
      <c r="A66" s="7" t="s">
        <v>20</v>
      </c>
      <c r="B66" s="109">
        <v>5000</v>
      </c>
      <c r="C66" s="39"/>
      <c r="D66" s="59"/>
    </row>
    <row r="67" spans="1:5" x14ac:dyDescent="0.2">
      <c r="A67" s="7" t="s">
        <v>21</v>
      </c>
      <c r="B67" s="110">
        <v>0</v>
      </c>
      <c r="C67" s="39"/>
      <c r="D67" s="59"/>
    </row>
    <row r="68" spans="1:5" x14ac:dyDescent="0.2">
      <c r="A68" s="14" t="s">
        <v>22</v>
      </c>
      <c r="B68" s="110">
        <v>0</v>
      </c>
      <c r="C68" s="86"/>
      <c r="D68" s="76"/>
    </row>
    <row r="69" spans="1:5" x14ac:dyDescent="0.2">
      <c r="A69" s="7" t="s">
        <v>23</v>
      </c>
      <c r="B69" s="110">
        <v>10000</v>
      </c>
      <c r="C69" s="86"/>
      <c r="D69" s="76"/>
    </row>
    <row r="70" spans="1:5" x14ac:dyDescent="0.2">
      <c r="A70" s="7" t="s">
        <v>184</v>
      </c>
      <c r="B70" s="110">
        <v>1000</v>
      </c>
      <c r="C70" s="39"/>
      <c r="D70" s="59"/>
    </row>
    <row r="71" spans="1:5" x14ac:dyDescent="0.2">
      <c r="A71" s="7" t="s">
        <v>185</v>
      </c>
      <c r="B71" s="110">
        <v>2500</v>
      </c>
      <c r="C71" s="39"/>
      <c r="D71" s="59"/>
    </row>
    <row r="72" spans="1:5" x14ac:dyDescent="0.2">
      <c r="A72" s="7" t="s">
        <v>48</v>
      </c>
      <c r="B72" s="110"/>
      <c r="C72" s="39"/>
      <c r="D72" s="59"/>
    </row>
    <row r="73" spans="1:5" x14ac:dyDescent="0.2">
      <c r="A73" s="7" t="s">
        <v>48</v>
      </c>
      <c r="B73" s="110"/>
      <c r="C73" s="39"/>
      <c r="D73" s="59"/>
    </row>
    <row r="74" spans="1:5" x14ac:dyDescent="0.2">
      <c r="A74" s="7" t="s">
        <v>48</v>
      </c>
      <c r="B74" s="110"/>
      <c r="C74" s="39"/>
      <c r="D74" s="59"/>
    </row>
    <row r="75" spans="1:5" s="43" customFormat="1" x14ac:dyDescent="0.2">
      <c r="A75" s="20" t="s">
        <v>76</v>
      </c>
      <c r="B75" s="107">
        <f>SUM(B66:B74)</f>
        <v>18500</v>
      </c>
      <c r="C75" s="41"/>
      <c r="D75" s="81"/>
      <c r="E75" s="82"/>
    </row>
    <row r="76" spans="1:5" s="43" customFormat="1" x14ac:dyDescent="0.2">
      <c r="A76" s="20"/>
      <c r="B76" s="107"/>
      <c r="C76" s="41"/>
      <c r="D76" s="81"/>
      <c r="E76" s="82"/>
    </row>
    <row r="77" spans="1:5" x14ac:dyDescent="0.2">
      <c r="A77" s="15" t="s">
        <v>51</v>
      </c>
      <c r="B77" s="107"/>
      <c r="C77" s="41"/>
      <c r="D77" s="48"/>
    </row>
    <row r="78" spans="1:5" ht="25.5" x14ac:dyDescent="0.2">
      <c r="A78" s="14" t="s">
        <v>52</v>
      </c>
      <c r="B78" s="109">
        <v>0</v>
      </c>
      <c r="C78" s="39" t="s">
        <v>6</v>
      </c>
      <c r="D78" s="87"/>
    </row>
    <row r="79" spans="1:5" x14ac:dyDescent="0.2">
      <c r="A79" s="14" t="s">
        <v>14</v>
      </c>
      <c r="B79" s="109">
        <v>0</v>
      </c>
      <c r="C79" s="39"/>
      <c r="D79" s="76"/>
    </row>
    <row r="80" spans="1:5" x14ac:dyDescent="0.2">
      <c r="A80" s="14" t="s">
        <v>15</v>
      </c>
      <c r="B80" s="109">
        <v>0</v>
      </c>
      <c r="C80" s="39"/>
      <c r="D80" s="76"/>
    </row>
    <row r="81" spans="1:5" x14ac:dyDescent="0.2">
      <c r="A81" s="7" t="s">
        <v>48</v>
      </c>
      <c r="B81" s="110"/>
      <c r="C81" s="39"/>
      <c r="D81" s="59"/>
    </row>
    <row r="82" spans="1:5" x14ac:dyDescent="0.2">
      <c r="A82" s="7" t="s">
        <v>48</v>
      </c>
      <c r="B82" s="110"/>
      <c r="C82" s="39"/>
      <c r="D82" s="59"/>
    </row>
    <row r="83" spans="1:5" x14ac:dyDescent="0.2">
      <c r="A83" s="7" t="s">
        <v>48</v>
      </c>
      <c r="B83" s="110"/>
      <c r="C83" s="39"/>
      <c r="D83" s="59"/>
    </row>
    <row r="84" spans="1:5" x14ac:dyDescent="0.2">
      <c r="A84" s="7" t="s">
        <v>48</v>
      </c>
      <c r="B84" s="110"/>
      <c r="C84" s="39"/>
      <c r="D84" s="59"/>
    </row>
    <row r="85" spans="1:5" x14ac:dyDescent="0.2">
      <c r="A85" s="7" t="s">
        <v>48</v>
      </c>
      <c r="B85" s="110"/>
      <c r="C85" s="39"/>
      <c r="D85" s="59"/>
    </row>
    <row r="86" spans="1:5" s="43" customFormat="1" x14ac:dyDescent="0.2">
      <c r="A86" s="20" t="s">
        <v>77</v>
      </c>
      <c r="B86" s="107">
        <f>SUM(B78:B85)</f>
        <v>0</v>
      </c>
      <c r="C86" s="41"/>
      <c r="D86" s="81"/>
      <c r="E86" s="82"/>
    </row>
    <row r="87" spans="1:5" s="43" customFormat="1" x14ac:dyDescent="0.2">
      <c r="A87" s="20"/>
      <c r="B87" s="107"/>
      <c r="C87" s="41"/>
      <c r="D87" s="81"/>
      <c r="E87" s="82"/>
    </row>
    <row r="88" spans="1:5" x14ac:dyDescent="0.2">
      <c r="A88" s="15" t="s">
        <v>47</v>
      </c>
      <c r="B88" s="107"/>
      <c r="C88" s="41"/>
      <c r="D88" s="48"/>
    </row>
    <row r="89" spans="1:5" x14ac:dyDescent="0.2">
      <c r="A89" s="14" t="s">
        <v>16</v>
      </c>
      <c r="B89" s="109">
        <v>15000</v>
      </c>
      <c r="C89" s="39"/>
      <c r="D89" s="76"/>
    </row>
    <row r="90" spans="1:5" x14ac:dyDescent="0.2">
      <c r="A90" s="23" t="s">
        <v>126</v>
      </c>
      <c r="B90" s="109">
        <v>6000</v>
      </c>
      <c r="C90" s="39" t="s">
        <v>190</v>
      </c>
      <c r="D90" s="76"/>
    </row>
    <row r="91" spans="1:5" ht="25.5" x14ac:dyDescent="0.2">
      <c r="A91" s="14" t="s">
        <v>17</v>
      </c>
      <c r="B91" s="109">
        <v>1800</v>
      </c>
      <c r="C91" s="39" t="s">
        <v>194</v>
      </c>
      <c r="D91" s="76"/>
    </row>
    <row r="92" spans="1:5" x14ac:dyDescent="0.2">
      <c r="A92" s="14" t="s">
        <v>18</v>
      </c>
      <c r="B92" s="111">
        <v>64000</v>
      </c>
      <c r="C92" s="39" t="s">
        <v>195</v>
      </c>
      <c r="D92" s="76"/>
    </row>
    <row r="93" spans="1:5" x14ac:dyDescent="0.2">
      <c r="A93" s="14" t="s">
        <v>19</v>
      </c>
      <c r="B93" s="109">
        <v>20000</v>
      </c>
      <c r="C93" s="39" t="s">
        <v>191</v>
      </c>
      <c r="D93" s="76"/>
    </row>
    <row r="94" spans="1:5" x14ac:dyDescent="0.2">
      <c r="A94" s="7" t="s">
        <v>27</v>
      </c>
      <c r="B94" s="109">
        <v>0</v>
      </c>
      <c r="C94" s="39" t="s">
        <v>6</v>
      </c>
      <c r="D94" s="59"/>
    </row>
    <row r="95" spans="1:5" x14ac:dyDescent="0.2">
      <c r="A95" s="14" t="s">
        <v>24</v>
      </c>
      <c r="B95" s="110">
        <v>5000</v>
      </c>
      <c r="C95" s="39" t="s">
        <v>189</v>
      </c>
      <c r="D95" s="76"/>
    </row>
    <row r="96" spans="1:5" x14ac:dyDescent="0.2">
      <c r="A96" s="14" t="s">
        <v>25</v>
      </c>
      <c r="B96" s="110">
        <v>6000</v>
      </c>
      <c r="C96" s="39"/>
      <c r="D96" s="76"/>
    </row>
    <row r="97" spans="1:5" ht="25.5" x14ac:dyDescent="0.2">
      <c r="A97" s="23" t="s">
        <v>101</v>
      </c>
      <c r="B97" s="110">
        <v>30000</v>
      </c>
      <c r="C97" s="39"/>
      <c r="D97" s="76"/>
    </row>
    <row r="98" spans="1:5" x14ac:dyDescent="0.2">
      <c r="A98" s="7" t="s">
        <v>31</v>
      </c>
      <c r="B98" s="109">
        <v>5000</v>
      </c>
      <c r="C98" s="39"/>
      <c r="D98" s="59"/>
    </row>
    <row r="99" spans="1:5" x14ac:dyDescent="0.2">
      <c r="A99" s="7" t="s">
        <v>32</v>
      </c>
      <c r="B99" s="109">
        <v>1000</v>
      </c>
      <c r="C99" s="39"/>
      <c r="D99" s="59"/>
    </row>
    <row r="100" spans="1:5" x14ac:dyDescent="0.2">
      <c r="A100" s="49" t="s">
        <v>97</v>
      </c>
      <c r="B100" s="112">
        <v>23159</v>
      </c>
      <c r="C100" s="50" t="s">
        <v>193</v>
      </c>
      <c r="D100" s="59"/>
      <c r="E100" s="88"/>
    </row>
    <row r="101" spans="1:5" x14ac:dyDescent="0.2">
      <c r="A101" s="49" t="s">
        <v>49</v>
      </c>
      <c r="B101" s="112">
        <v>0</v>
      </c>
      <c r="C101" s="50" t="s">
        <v>197</v>
      </c>
      <c r="D101" s="59"/>
      <c r="E101" s="88"/>
    </row>
    <row r="102" spans="1:5" x14ac:dyDescent="0.2">
      <c r="A102" s="49" t="s">
        <v>28</v>
      </c>
      <c r="B102" s="112">
        <f>B21</f>
        <v>116000</v>
      </c>
      <c r="C102" s="50" t="s">
        <v>174</v>
      </c>
      <c r="D102" s="59"/>
    </row>
    <row r="103" spans="1:5" x14ac:dyDescent="0.2">
      <c r="A103" s="49" t="s">
        <v>29</v>
      </c>
      <c r="B103" s="112">
        <v>20000</v>
      </c>
      <c r="C103" s="50" t="s">
        <v>192</v>
      </c>
      <c r="D103" s="59"/>
    </row>
    <row r="104" spans="1:5" x14ac:dyDescent="0.2">
      <c r="A104" s="93" t="s">
        <v>131</v>
      </c>
      <c r="B104" s="112"/>
      <c r="C104" s="50"/>
      <c r="D104" s="59"/>
    </row>
    <row r="105" spans="1:5" x14ac:dyDescent="0.2">
      <c r="A105" s="49" t="s">
        <v>168</v>
      </c>
      <c r="B105" s="112">
        <v>20000</v>
      </c>
      <c r="C105" s="50" t="s">
        <v>169</v>
      </c>
      <c r="D105" s="59"/>
    </row>
    <row r="106" spans="1:5" x14ac:dyDescent="0.2">
      <c r="A106" s="49" t="s">
        <v>196</v>
      </c>
      <c r="B106" s="112"/>
      <c r="C106" s="50"/>
      <c r="D106" s="59"/>
    </row>
    <row r="107" spans="1:5" x14ac:dyDescent="0.2">
      <c r="A107" s="49" t="s">
        <v>48</v>
      </c>
      <c r="B107" s="112"/>
      <c r="C107" s="50"/>
      <c r="D107" s="59"/>
    </row>
    <row r="108" spans="1:5" ht="13.5" x14ac:dyDescent="0.25">
      <c r="A108" s="49" t="s">
        <v>48</v>
      </c>
      <c r="B108" s="113"/>
      <c r="C108" s="51"/>
      <c r="D108" s="59"/>
    </row>
    <row r="109" spans="1:5" s="43" customFormat="1" x14ac:dyDescent="0.2">
      <c r="A109" s="20" t="s">
        <v>78</v>
      </c>
      <c r="B109" s="107">
        <f>SUM(B89:B108)</f>
        <v>332959</v>
      </c>
      <c r="C109" s="41"/>
      <c r="D109" s="81"/>
      <c r="E109" s="82"/>
    </row>
    <row r="110" spans="1:5" s="45" customFormat="1" x14ac:dyDescent="0.2">
      <c r="A110" s="63"/>
      <c r="B110" s="107"/>
      <c r="C110" s="40"/>
      <c r="D110" s="74"/>
      <c r="E110" s="75"/>
    </row>
    <row r="111" spans="1:5" x14ac:dyDescent="0.2">
      <c r="A111" s="63" t="s">
        <v>33</v>
      </c>
      <c r="B111" s="107"/>
      <c r="C111" s="40"/>
      <c r="D111" s="59"/>
    </row>
    <row r="112" spans="1:5" x14ac:dyDescent="0.2">
      <c r="A112" s="49" t="s">
        <v>34</v>
      </c>
      <c r="B112" s="113">
        <v>304799</v>
      </c>
      <c r="C112" s="50" t="s">
        <v>6</v>
      </c>
      <c r="D112" s="59"/>
    </row>
    <row r="113" spans="1:5" x14ac:dyDescent="0.2">
      <c r="A113" s="141" t="s">
        <v>132</v>
      </c>
      <c r="B113" s="113"/>
      <c r="C113" s="50"/>
      <c r="D113" s="59"/>
    </row>
    <row r="114" spans="1:5" x14ac:dyDescent="0.2">
      <c r="A114" s="89" t="s">
        <v>35</v>
      </c>
      <c r="B114" s="113">
        <v>35000</v>
      </c>
      <c r="C114" s="50" t="s">
        <v>6</v>
      </c>
      <c r="D114" s="59"/>
    </row>
    <row r="115" spans="1:5" x14ac:dyDescent="0.2">
      <c r="A115" s="49" t="s">
        <v>98</v>
      </c>
      <c r="B115" s="113">
        <v>2900</v>
      </c>
      <c r="C115" s="50"/>
      <c r="D115" s="59"/>
    </row>
    <row r="116" spans="1:5" x14ac:dyDescent="0.2">
      <c r="A116" s="52" t="s">
        <v>36</v>
      </c>
      <c r="B116" s="113">
        <v>20000</v>
      </c>
      <c r="C116" s="50"/>
      <c r="D116" s="76"/>
    </row>
    <row r="117" spans="1:5" x14ac:dyDescent="0.2">
      <c r="A117" s="52" t="s">
        <v>37</v>
      </c>
      <c r="B117" s="113">
        <v>20000</v>
      </c>
      <c r="C117" s="50"/>
      <c r="D117" s="76"/>
    </row>
    <row r="118" spans="1:5" x14ac:dyDescent="0.2">
      <c r="A118" s="49" t="s">
        <v>26</v>
      </c>
      <c r="B118" s="112">
        <v>35000</v>
      </c>
      <c r="C118" s="50"/>
      <c r="D118" s="59"/>
    </row>
    <row r="119" spans="1:5" x14ac:dyDescent="0.2">
      <c r="A119" s="49" t="s">
        <v>30</v>
      </c>
      <c r="B119" s="112">
        <v>1500</v>
      </c>
      <c r="C119" s="50"/>
      <c r="D119" s="59"/>
    </row>
    <row r="120" spans="1:5" x14ac:dyDescent="0.2">
      <c r="A120" s="93" t="s">
        <v>133</v>
      </c>
      <c r="B120" s="113"/>
      <c r="C120" s="50"/>
      <c r="D120" s="59"/>
    </row>
    <row r="121" spans="1:5" x14ac:dyDescent="0.2">
      <c r="A121" s="49" t="s">
        <v>175</v>
      </c>
      <c r="B121" s="113">
        <v>9500</v>
      </c>
      <c r="C121" s="50"/>
      <c r="D121" s="59"/>
    </row>
    <row r="122" spans="1:5" x14ac:dyDescent="0.2">
      <c r="A122" s="49" t="s">
        <v>183</v>
      </c>
      <c r="B122" s="113">
        <v>7000</v>
      </c>
      <c r="C122" s="50"/>
      <c r="D122" s="59"/>
    </row>
    <row r="123" spans="1:5" x14ac:dyDescent="0.2">
      <c r="A123" s="49" t="s">
        <v>205</v>
      </c>
      <c r="B123" s="113"/>
      <c r="C123" s="50"/>
      <c r="D123" s="59"/>
    </row>
    <row r="124" spans="1:5" x14ac:dyDescent="0.2">
      <c r="A124" s="49" t="s">
        <v>187</v>
      </c>
      <c r="B124" s="113">
        <v>1200</v>
      </c>
      <c r="C124" s="50"/>
      <c r="D124" s="59"/>
    </row>
    <row r="125" spans="1:5" x14ac:dyDescent="0.2">
      <c r="A125" s="20" t="s">
        <v>38</v>
      </c>
      <c r="B125" s="107">
        <f>SUM(B112:B124)</f>
        <v>436899</v>
      </c>
      <c r="C125" s="41"/>
      <c r="D125" s="59"/>
    </row>
    <row r="126" spans="1:5" s="45" customFormat="1" x14ac:dyDescent="0.2">
      <c r="A126" s="61"/>
      <c r="B126" s="107"/>
      <c r="C126" s="41"/>
      <c r="D126" s="74"/>
      <c r="E126" s="75"/>
    </row>
    <row r="127" spans="1:5" x14ac:dyDescent="0.2">
      <c r="A127" s="17" t="s">
        <v>79</v>
      </c>
      <c r="B127" s="114"/>
      <c r="C127" s="40"/>
      <c r="D127" s="59"/>
    </row>
    <row r="128" spans="1:5" s="45" customFormat="1" x14ac:dyDescent="0.2">
      <c r="A128" s="93" t="s">
        <v>81</v>
      </c>
      <c r="B128" s="115"/>
      <c r="C128" s="92"/>
      <c r="D128" s="74"/>
      <c r="E128" s="75"/>
    </row>
    <row r="129" spans="1:5" s="45" customFormat="1" x14ac:dyDescent="0.2">
      <c r="A129" s="93" t="s">
        <v>99</v>
      </c>
      <c r="B129" s="115">
        <f>0.03*B6</f>
        <v>66288.53465999999</v>
      </c>
      <c r="C129" s="92" t="s">
        <v>146</v>
      </c>
      <c r="D129" s="74"/>
      <c r="E129" s="75"/>
    </row>
    <row r="130" spans="1:5" s="45" customFormat="1" ht="51" x14ac:dyDescent="0.2">
      <c r="A130" s="93" t="s">
        <v>80</v>
      </c>
      <c r="B130" s="115">
        <v>0</v>
      </c>
      <c r="C130" s="92" t="s">
        <v>124</v>
      </c>
      <c r="D130" s="74"/>
      <c r="E130" s="75"/>
    </row>
    <row r="131" spans="1:5" s="45" customFormat="1" ht="25.5" x14ac:dyDescent="0.2">
      <c r="A131" s="23" t="s">
        <v>140</v>
      </c>
      <c r="B131" s="115">
        <v>0</v>
      </c>
      <c r="C131" s="92"/>
      <c r="D131" s="74"/>
      <c r="E131" s="75"/>
    </row>
    <row r="132" spans="1:5" s="56" customFormat="1" ht="51" x14ac:dyDescent="0.2">
      <c r="A132" s="93" t="s">
        <v>139</v>
      </c>
      <c r="B132" s="108"/>
      <c r="C132" s="92" t="s">
        <v>147</v>
      </c>
      <c r="D132" s="57"/>
      <c r="E132" s="58"/>
    </row>
    <row r="133" spans="1:5" x14ac:dyDescent="0.2">
      <c r="A133" s="49" t="s">
        <v>201</v>
      </c>
      <c r="B133" s="106">
        <v>134052</v>
      </c>
      <c r="C133" s="39"/>
      <c r="D133" s="59"/>
    </row>
    <row r="134" spans="1:5" x14ac:dyDescent="0.2">
      <c r="A134" s="49" t="s">
        <v>203</v>
      </c>
      <c r="B134" s="106">
        <f>38496*1.5</f>
        <v>57744</v>
      </c>
      <c r="C134" s="39" t="s">
        <v>204</v>
      </c>
      <c r="D134" s="59"/>
    </row>
    <row r="135" spans="1:5" x14ac:dyDescent="0.2">
      <c r="A135" s="20" t="s">
        <v>39</v>
      </c>
      <c r="B135" s="107">
        <f>SUM(B128:B134)</f>
        <v>258084.53466</v>
      </c>
      <c r="C135" s="41"/>
      <c r="D135" s="59"/>
    </row>
    <row r="136" spans="1:5" x14ac:dyDescent="0.2">
      <c r="A136" s="20"/>
      <c r="B136" s="107"/>
      <c r="C136" s="41"/>
      <c r="D136" s="59"/>
    </row>
    <row r="137" spans="1:5" x14ac:dyDescent="0.2">
      <c r="A137" s="20" t="s">
        <v>40</v>
      </c>
      <c r="B137" s="107">
        <f>B135+B125+B109+B86+B75+B63+B46</f>
        <v>2371391.9346599998</v>
      </c>
      <c r="C137" s="41"/>
      <c r="D137" s="59"/>
    </row>
    <row r="138" spans="1:5" x14ac:dyDescent="0.2">
      <c r="A138" s="122"/>
      <c r="B138" s="116"/>
      <c r="C138" s="90"/>
      <c r="D138" s="59"/>
    </row>
    <row r="139" spans="1:5" s="45" customFormat="1" x14ac:dyDescent="0.2">
      <c r="A139" s="121" t="s">
        <v>82</v>
      </c>
      <c r="B139" s="116">
        <f>B33-B137</f>
        <v>342265.8873399999</v>
      </c>
      <c r="C139" s="90"/>
      <c r="D139" s="74"/>
      <c r="E139" s="75"/>
    </row>
    <row r="141" spans="1:5" x14ac:dyDescent="0.2">
      <c r="A141" s="46" t="s">
        <v>83</v>
      </c>
      <c r="B141" s="117">
        <f>B139+'YEAR 6'!B141</f>
        <v>589249.82965216599</v>
      </c>
    </row>
  </sheetData>
  <mergeCells count="1">
    <mergeCell ref="A3:C3"/>
  </mergeCells>
  <pageMargins left="0.7" right="0.7" top="0.75" bottom="0.7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41"/>
  <sheetViews>
    <sheetView topLeftCell="A12" workbookViewId="0">
      <selection activeCell="J7" sqref="J7"/>
    </sheetView>
  </sheetViews>
  <sheetFormatPr defaultColWidth="15.7109375" defaultRowHeight="12.75" x14ac:dyDescent="0.2"/>
  <cols>
    <col min="1" max="1" width="33.140625" style="46" customWidth="1"/>
    <col min="2" max="2" width="14.42578125" style="46" customWidth="1"/>
    <col min="3" max="5" width="15.7109375" style="46" customWidth="1"/>
    <col min="6" max="26" width="15.7109375" style="43" customWidth="1"/>
    <col min="27" max="16384" width="15.7109375" style="46"/>
  </cols>
  <sheetData>
    <row r="1" spans="1:26" ht="18" customHeight="1" x14ac:dyDescent="0.2">
      <c r="A1" s="202" t="s">
        <v>155</v>
      </c>
      <c r="B1" s="202"/>
      <c r="C1" s="202"/>
      <c r="D1" s="202"/>
      <c r="E1" s="202"/>
      <c r="F1" s="202"/>
    </row>
    <row r="2" spans="1:26" s="3" customFormat="1" ht="41.25" customHeight="1" x14ac:dyDescent="0.2">
      <c r="A2" s="203" t="s">
        <v>130</v>
      </c>
      <c r="B2" s="203"/>
      <c r="C2" s="203"/>
      <c r="D2" s="203"/>
      <c r="E2" s="203"/>
      <c r="F2" s="203"/>
    </row>
    <row r="3" spans="1:26" s="6" customFormat="1" ht="13.5" thickBot="1" x14ac:dyDescent="0.25">
      <c r="A3" s="5"/>
      <c r="B3" s="3"/>
      <c r="C3" s="3"/>
      <c r="D3" s="3"/>
      <c r="E3" s="3"/>
      <c r="F3" s="3"/>
      <c r="G3" s="3"/>
      <c r="H3" s="3"/>
      <c r="I3" s="3"/>
      <c r="J3" s="3"/>
      <c r="K3" s="3"/>
      <c r="L3" s="3"/>
      <c r="M3" s="3"/>
      <c r="N3" s="3"/>
      <c r="O3" s="3"/>
      <c r="P3" s="3"/>
      <c r="Q3" s="3"/>
      <c r="R3" s="3"/>
      <c r="S3" s="3"/>
      <c r="T3" s="3"/>
      <c r="U3" s="3"/>
      <c r="V3" s="3"/>
      <c r="W3" s="3"/>
      <c r="X3" s="3"/>
      <c r="Y3" s="3"/>
      <c r="Z3" s="3"/>
    </row>
    <row r="4" spans="1:26" s="3" customFormat="1" ht="21.75" customHeight="1" thickBot="1" x14ac:dyDescent="0.25">
      <c r="A4" s="204" t="s">
        <v>54</v>
      </c>
      <c r="B4" s="205"/>
      <c r="C4" s="205"/>
      <c r="D4" s="205"/>
      <c r="E4" s="205"/>
      <c r="F4" s="206"/>
    </row>
    <row r="5" spans="1:26" s="3" customFormat="1" ht="50.25" customHeight="1" thickBot="1" x14ac:dyDescent="0.25">
      <c r="A5" s="204" t="str">
        <f>'Staffing Year 6'!A5:F5</f>
        <v>Benefits assumes payroll taxes, retirement (including 401K match), and employee insurance.  This is based off of actual data from FY 2017.</v>
      </c>
      <c r="B5" s="205"/>
      <c r="C5" s="205"/>
      <c r="D5" s="205"/>
      <c r="E5" s="205"/>
      <c r="F5" s="206"/>
    </row>
    <row r="6" spans="1:26" s="3" customFormat="1" ht="27" customHeight="1" thickBot="1" x14ac:dyDescent="0.25">
      <c r="A6" s="21" t="s">
        <v>64</v>
      </c>
      <c r="B6" s="21" t="s">
        <v>67</v>
      </c>
      <c r="C6" s="21" t="s">
        <v>68</v>
      </c>
      <c r="D6" s="188" t="s">
        <v>65</v>
      </c>
      <c r="E6" s="21" t="s">
        <v>63</v>
      </c>
      <c r="F6" s="21" t="s">
        <v>66</v>
      </c>
    </row>
    <row r="7" spans="1:26" s="6" customFormat="1" x14ac:dyDescent="0.2">
      <c r="A7" s="9" t="str">
        <f>'Staffing Year 6'!A7</f>
        <v>Principal</v>
      </c>
      <c r="B7" s="9">
        <f>'Staffing Year 6'!B7</f>
        <v>1</v>
      </c>
      <c r="C7" s="66">
        <f>'Staffing Year 6'!C7*(1.02)^2</f>
        <v>83232</v>
      </c>
      <c r="D7" s="67">
        <f>B7*C7</f>
        <v>83232</v>
      </c>
      <c r="E7" s="67">
        <f>D7*0.33</f>
        <v>27466.560000000001</v>
      </c>
      <c r="F7" s="68">
        <f>D7+E7</f>
        <v>110698.56</v>
      </c>
      <c r="G7" s="3"/>
      <c r="H7" s="3"/>
      <c r="I7" s="3"/>
      <c r="J7" s="3"/>
      <c r="K7" s="3"/>
      <c r="L7" s="3"/>
      <c r="M7" s="3"/>
      <c r="N7" s="3"/>
      <c r="O7" s="3"/>
      <c r="P7" s="3"/>
      <c r="Q7" s="3"/>
      <c r="R7" s="3"/>
      <c r="S7" s="3"/>
      <c r="T7" s="3"/>
      <c r="U7" s="3"/>
      <c r="V7" s="3"/>
      <c r="W7" s="3"/>
      <c r="X7" s="3"/>
      <c r="Y7" s="3"/>
      <c r="Z7" s="3"/>
    </row>
    <row r="8" spans="1:26" s="6" customFormat="1" x14ac:dyDescent="0.2">
      <c r="A8" s="9" t="str">
        <f>'Staffing Year 6'!A8</f>
        <v>Teachers</v>
      </c>
      <c r="B8" s="9">
        <f>'Staffing Year 6'!B8</f>
        <v>6</v>
      </c>
      <c r="C8" s="66">
        <f>'Staffing Year 6'!C8*(1.02)^2</f>
        <v>52020</v>
      </c>
      <c r="D8" s="67">
        <f t="shared" ref="D8:D27" si="0">B8*C8</f>
        <v>312120</v>
      </c>
      <c r="E8" s="67">
        <f t="shared" ref="E8:E19" si="1">D8*0.33</f>
        <v>102999.6</v>
      </c>
      <c r="F8" s="68">
        <f t="shared" ref="F8:F27" si="2">D8+E8</f>
        <v>415119.6</v>
      </c>
      <c r="G8" s="3"/>
      <c r="H8" s="3"/>
      <c r="I8" s="3"/>
      <c r="J8" s="3"/>
      <c r="K8" s="3"/>
      <c r="L8" s="3"/>
      <c r="M8" s="3"/>
      <c r="N8" s="3"/>
      <c r="O8" s="3"/>
      <c r="P8" s="3"/>
      <c r="Q8" s="3"/>
      <c r="R8" s="3"/>
      <c r="S8" s="3"/>
      <c r="T8" s="3"/>
      <c r="U8" s="3"/>
      <c r="V8" s="3"/>
      <c r="W8" s="3"/>
      <c r="X8" s="3"/>
      <c r="Y8" s="3"/>
      <c r="Z8" s="3"/>
    </row>
    <row r="9" spans="1:26" s="6" customFormat="1" x14ac:dyDescent="0.2">
      <c r="A9" s="9" t="str">
        <f>'Staffing Year 6'!A9</f>
        <v>Coaches</v>
      </c>
      <c r="B9" s="9">
        <f>'Staffing Year 6'!B9</f>
        <v>3</v>
      </c>
      <c r="C9" s="66">
        <f>'Staffing Year 6'!C9*(1.02)^2</f>
        <v>31212</v>
      </c>
      <c r="D9" s="67">
        <f t="shared" si="0"/>
        <v>93636</v>
      </c>
      <c r="E9" s="67">
        <f t="shared" si="1"/>
        <v>30899.88</v>
      </c>
      <c r="F9" s="68">
        <f t="shared" si="2"/>
        <v>124535.88</v>
      </c>
      <c r="G9" s="3"/>
      <c r="H9" s="3"/>
      <c r="I9" s="3"/>
      <c r="J9" s="3"/>
      <c r="K9" s="3"/>
      <c r="L9" s="3"/>
      <c r="M9" s="3"/>
      <c r="N9" s="3"/>
      <c r="O9" s="3"/>
      <c r="P9" s="3"/>
      <c r="Q9" s="3"/>
      <c r="R9" s="3"/>
      <c r="S9" s="3"/>
      <c r="T9" s="3"/>
      <c r="U9" s="3"/>
      <c r="V9" s="3"/>
      <c r="W9" s="3"/>
      <c r="X9" s="3"/>
      <c r="Y9" s="3"/>
      <c r="Z9" s="3"/>
    </row>
    <row r="10" spans="1:26" x14ac:dyDescent="0.2">
      <c r="A10" s="9" t="str">
        <f>'Staffing Year 6'!A10</f>
        <v>SPED para</v>
      </c>
      <c r="B10" s="9">
        <f>'Staffing Year 6'!B10</f>
        <v>2</v>
      </c>
      <c r="C10" s="66">
        <f>'Staffing Year 6'!C10*(1.02)^2</f>
        <v>34333.199999999997</v>
      </c>
      <c r="D10" s="67">
        <f t="shared" si="0"/>
        <v>68666.399999999994</v>
      </c>
      <c r="E10" s="67">
        <f t="shared" si="1"/>
        <v>22659.912</v>
      </c>
      <c r="F10" s="68">
        <f t="shared" si="2"/>
        <v>91326.311999999991</v>
      </c>
    </row>
    <row r="11" spans="1:26" x14ac:dyDescent="0.2">
      <c r="A11" s="9" t="str">
        <f>'Staffing Year 6'!A11</f>
        <v>COO</v>
      </c>
      <c r="B11" s="9">
        <f>'Staffing Year 6'!B11</f>
        <v>0.5</v>
      </c>
      <c r="C11" s="66">
        <f>'Staffing Year 6'!C11*(1.02)^2</f>
        <v>63464.4</v>
      </c>
      <c r="D11" s="67">
        <f t="shared" si="0"/>
        <v>31732.2</v>
      </c>
      <c r="E11" s="67">
        <f t="shared" si="1"/>
        <v>10471.626</v>
      </c>
      <c r="F11" s="68">
        <f t="shared" si="2"/>
        <v>42203.826000000001</v>
      </c>
    </row>
    <row r="12" spans="1:26" x14ac:dyDescent="0.2">
      <c r="A12" s="9" t="str">
        <f>'Staffing Year 6'!A12</f>
        <v>Office Manager</v>
      </c>
      <c r="B12" s="9">
        <f>'Staffing Year 6'!B12</f>
        <v>1</v>
      </c>
      <c r="C12" s="66">
        <f>'Staffing Year 6'!C12*(1.02)^2</f>
        <v>36414</v>
      </c>
      <c r="D12" s="67">
        <f t="shared" si="0"/>
        <v>36414</v>
      </c>
      <c r="E12" s="67">
        <f t="shared" si="1"/>
        <v>12016.62</v>
      </c>
      <c r="F12" s="68">
        <f t="shared" si="2"/>
        <v>48430.62</v>
      </c>
    </row>
    <row r="13" spans="1:26" x14ac:dyDescent="0.2">
      <c r="A13" s="9" t="str">
        <f>'Staffing Year 6'!A13</f>
        <v>IT Director</v>
      </c>
      <c r="B13" s="9">
        <f>'Staffing Year 6'!B13</f>
        <v>0.5</v>
      </c>
      <c r="C13" s="66">
        <f>'Staffing Year 6'!C13*(1.02)^2</f>
        <v>52020</v>
      </c>
      <c r="D13" s="67">
        <f t="shared" si="0"/>
        <v>26010</v>
      </c>
      <c r="E13" s="67">
        <f t="shared" si="1"/>
        <v>8583.3000000000011</v>
      </c>
      <c r="F13" s="68">
        <f t="shared" si="2"/>
        <v>34593.300000000003</v>
      </c>
    </row>
    <row r="14" spans="1:26" x14ac:dyDescent="0.2">
      <c r="A14" s="9" t="str">
        <f>'Staffing Year 6'!A14</f>
        <v>Registrar</v>
      </c>
      <c r="B14" s="9">
        <f>'Staffing Year 6'!B14</f>
        <v>0</v>
      </c>
      <c r="C14" s="66">
        <f>'Staffing Year 6'!C14*(1.02)^2</f>
        <v>36414</v>
      </c>
      <c r="D14" s="67">
        <f t="shared" si="0"/>
        <v>0</v>
      </c>
      <c r="E14" s="67">
        <f t="shared" si="1"/>
        <v>0</v>
      </c>
      <c r="F14" s="68">
        <f t="shared" si="2"/>
        <v>0</v>
      </c>
    </row>
    <row r="15" spans="1:26" s="6" customFormat="1" x14ac:dyDescent="0.2">
      <c r="A15" s="9" t="str">
        <f>'Staffing Year 6'!A15</f>
        <v xml:space="preserve">Assisstant Superintendent </v>
      </c>
      <c r="B15" s="9">
        <f>'Staffing Year 6'!B15</f>
        <v>1</v>
      </c>
      <c r="C15" s="66">
        <f>'Staffing Year 6'!C15*(1.02)^2</f>
        <v>67626</v>
      </c>
      <c r="D15" s="67">
        <f t="shared" si="0"/>
        <v>67626</v>
      </c>
      <c r="E15" s="67">
        <f t="shared" si="1"/>
        <v>22316.58</v>
      </c>
      <c r="F15" s="68">
        <f t="shared" si="2"/>
        <v>89942.58</v>
      </c>
      <c r="G15" s="3"/>
      <c r="H15" s="3"/>
      <c r="I15" s="3"/>
      <c r="J15" s="3"/>
      <c r="K15" s="3"/>
      <c r="L15" s="3"/>
      <c r="M15" s="3"/>
      <c r="N15" s="3"/>
      <c r="O15" s="3"/>
      <c r="P15" s="3"/>
      <c r="Q15" s="3"/>
      <c r="R15" s="3"/>
      <c r="S15" s="3"/>
      <c r="T15" s="3"/>
      <c r="U15" s="3"/>
      <c r="V15" s="3"/>
      <c r="W15" s="3"/>
      <c r="X15" s="3"/>
      <c r="Y15" s="3"/>
      <c r="Z15" s="3"/>
    </row>
    <row r="16" spans="1:26" x14ac:dyDescent="0.2">
      <c r="A16" s="9" t="str">
        <f>'Staffing Year 6'!A16</f>
        <v>RTI teacher</v>
      </c>
      <c r="B16" s="9">
        <f>'Staffing Year 6'!B16</f>
        <v>2</v>
      </c>
      <c r="C16" s="66">
        <f>'Staffing Year 6'!C16*(1.02)^2</f>
        <v>31212</v>
      </c>
      <c r="D16" s="67">
        <f t="shared" si="0"/>
        <v>62424</v>
      </c>
      <c r="E16" s="67">
        <f t="shared" si="1"/>
        <v>20599.920000000002</v>
      </c>
      <c r="F16" s="68">
        <f t="shared" si="2"/>
        <v>83023.92</v>
      </c>
    </row>
    <row r="17" spans="1:26" x14ac:dyDescent="0.2">
      <c r="A17" s="9" t="str">
        <f>'Staffing Year 6'!A17</f>
        <v>Dean of Students</v>
      </c>
      <c r="B17" s="9">
        <f>'Staffing Year 6'!B17</f>
        <v>0.5</v>
      </c>
      <c r="C17" s="66">
        <f>'Staffing Year 6'!C17*(1.02)^2</f>
        <v>67626</v>
      </c>
      <c r="D17" s="67">
        <f t="shared" si="0"/>
        <v>33813</v>
      </c>
      <c r="E17" s="67">
        <f t="shared" si="1"/>
        <v>11158.29</v>
      </c>
      <c r="F17" s="68">
        <f t="shared" si="2"/>
        <v>44971.29</v>
      </c>
    </row>
    <row r="18" spans="1:26" x14ac:dyDescent="0.2">
      <c r="A18" s="9">
        <f>'Staffing Year 6'!A18</f>
        <v>0</v>
      </c>
      <c r="B18" s="9">
        <f>'Staffing Year 6'!B18</f>
        <v>0</v>
      </c>
      <c r="C18" s="66">
        <f>'Staffing Year 6'!C18*(1.02)^2</f>
        <v>0</v>
      </c>
      <c r="D18" s="67">
        <f t="shared" si="0"/>
        <v>0</v>
      </c>
      <c r="E18" s="67">
        <f t="shared" si="1"/>
        <v>0</v>
      </c>
      <c r="F18" s="68">
        <f t="shared" si="2"/>
        <v>0</v>
      </c>
    </row>
    <row r="19" spans="1:26" x14ac:dyDescent="0.2">
      <c r="A19" s="9">
        <f>'Staffing Year 6'!A19</f>
        <v>0</v>
      </c>
      <c r="B19" s="9">
        <f>'Staffing Year 6'!B19</f>
        <v>0</v>
      </c>
      <c r="C19" s="66">
        <f>'Staffing Year 6'!C19*(1.02)^2</f>
        <v>0</v>
      </c>
      <c r="D19" s="67">
        <f t="shared" si="0"/>
        <v>0</v>
      </c>
      <c r="E19" s="67">
        <f t="shared" si="1"/>
        <v>0</v>
      </c>
      <c r="F19" s="68">
        <f t="shared" si="2"/>
        <v>0</v>
      </c>
    </row>
    <row r="20" spans="1:26" x14ac:dyDescent="0.2">
      <c r="A20" s="54"/>
      <c r="B20" s="54"/>
      <c r="C20" s="94"/>
      <c r="D20" s="67">
        <f t="shared" si="0"/>
        <v>0</v>
      </c>
      <c r="E20" s="96"/>
      <c r="F20" s="68">
        <f t="shared" si="2"/>
        <v>0</v>
      </c>
    </row>
    <row r="21" spans="1:26" x14ac:dyDescent="0.2">
      <c r="A21" s="54"/>
      <c r="B21" s="54"/>
      <c r="C21" s="94"/>
      <c r="D21" s="67">
        <f t="shared" si="0"/>
        <v>0</v>
      </c>
      <c r="E21" s="96"/>
      <c r="F21" s="68">
        <f t="shared" si="2"/>
        <v>0</v>
      </c>
    </row>
    <row r="22" spans="1:26" x14ac:dyDescent="0.2">
      <c r="A22" s="54"/>
      <c r="B22" s="54"/>
      <c r="C22" s="94"/>
      <c r="D22" s="67">
        <f t="shared" si="0"/>
        <v>0</v>
      </c>
      <c r="E22" s="96"/>
      <c r="F22" s="68">
        <f t="shared" si="2"/>
        <v>0</v>
      </c>
    </row>
    <row r="23" spans="1:26" s="6" customFormat="1" x14ac:dyDescent="0.2">
      <c r="A23" s="7"/>
      <c r="B23" s="7"/>
      <c r="C23" s="94"/>
      <c r="D23" s="67">
        <f>B23*C23</f>
        <v>0</v>
      </c>
      <c r="E23" s="70"/>
      <c r="F23" s="68">
        <f>D23+E23</f>
        <v>0</v>
      </c>
      <c r="G23" s="3"/>
      <c r="H23" s="3"/>
      <c r="I23" s="3"/>
      <c r="J23" s="3"/>
      <c r="K23" s="3"/>
      <c r="L23" s="3"/>
      <c r="M23" s="3"/>
      <c r="N23" s="3"/>
      <c r="O23" s="3"/>
      <c r="P23" s="3"/>
      <c r="Q23" s="3"/>
      <c r="R23" s="3"/>
      <c r="S23" s="3"/>
      <c r="T23" s="3"/>
      <c r="U23" s="3"/>
      <c r="V23" s="3"/>
      <c r="W23" s="3"/>
      <c r="X23" s="3"/>
      <c r="Y23" s="3"/>
      <c r="Z23" s="3"/>
    </row>
    <row r="24" spans="1:26" x14ac:dyDescent="0.2">
      <c r="A24" s="95"/>
      <c r="B24" s="95"/>
      <c r="C24" s="94"/>
      <c r="D24" s="67">
        <f>B24*C24</f>
        <v>0</v>
      </c>
      <c r="E24" s="96"/>
      <c r="F24" s="68">
        <f>D24+E24</f>
        <v>0</v>
      </c>
    </row>
    <row r="25" spans="1:26" x14ac:dyDescent="0.2">
      <c r="A25" s="97"/>
      <c r="B25" s="97"/>
      <c r="C25" s="98"/>
      <c r="D25" s="67">
        <f t="shared" si="0"/>
        <v>0</v>
      </c>
      <c r="E25" s="99"/>
      <c r="F25" s="68">
        <f t="shared" si="2"/>
        <v>0</v>
      </c>
    </row>
    <row r="26" spans="1:26" x14ac:dyDescent="0.2">
      <c r="A26" s="97"/>
      <c r="B26" s="97"/>
      <c r="C26" s="98"/>
      <c r="D26" s="67">
        <f t="shared" si="0"/>
        <v>0</v>
      </c>
      <c r="E26" s="99"/>
      <c r="F26" s="68">
        <f t="shared" si="2"/>
        <v>0</v>
      </c>
    </row>
    <row r="27" spans="1:26" ht="13.5" thickBot="1" x14ac:dyDescent="0.25">
      <c r="A27" s="97"/>
      <c r="B27" s="97"/>
      <c r="C27" s="98"/>
      <c r="D27" s="67">
        <f t="shared" si="0"/>
        <v>0</v>
      </c>
      <c r="E27" s="99"/>
      <c r="F27" s="68">
        <f t="shared" si="2"/>
        <v>0</v>
      </c>
    </row>
    <row r="28" spans="1:26" ht="13.5" thickBot="1" x14ac:dyDescent="0.25">
      <c r="A28" s="8" t="s">
        <v>41</v>
      </c>
      <c r="B28" s="8"/>
      <c r="C28" s="100"/>
      <c r="D28" s="101">
        <f>SUM(D7:D27)</f>
        <v>815673.6</v>
      </c>
      <c r="E28" s="101">
        <f>SUM(E7:E27)</f>
        <v>269172.288</v>
      </c>
      <c r="F28" s="102">
        <f>SUM(F7:F27)</f>
        <v>1084845.888</v>
      </c>
    </row>
    <row r="41" spans="6:26" x14ac:dyDescent="0.2">
      <c r="F41" s="46"/>
      <c r="G41" s="46"/>
      <c r="H41" s="46"/>
      <c r="I41" s="46"/>
      <c r="J41" s="46"/>
      <c r="K41" s="46"/>
      <c r="L41" s="46"/>
      <c r="M41" s="46"/>
      <c r="N41" s="46"/>
      <c r="O41" s="46"/>
      <c r="P41" s="46"/>
      <c r="Q41" s="46"/>
      <c r="R41" s="46"/>
      <c r="S41" s="46"/>
      <c r="T41" s="46"/>
      <c r="U41" s="46"/>
      <c r="V41" s="46"/>
      <c r="W41" s="46"/>
      <c r="X41" s="46"/>
      <c r="Y41" s="46"/>
      <c r="Z41" s="46"/>
    </row>
  </sheetData>
  <mergeCells count="4">
    <mergeCell ref="A1:F1"/>
    <mergeCell ref="A2:F2"/>
    <mergeCell ref="A4:F4"/>
    <mergeCell ref="A5:F5"/>
  </mergeCells>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INSTRUCTIONS</vt:lpstr>
      <vt:lpstr>School Enrollment Projection</vt:lpstr>
      <vt:lpstr>6 YEAR TOTAL</vt:lpstr>
      <vt:lpstr>YEAR 6 - Budget and Cash Flow</vt:lpstr>
      <vt:lpstr>Staffing Year 6</vt:lpstr>
      <vt:lpstr>YEAR 6</vt:lpstr>
      <vt:lpstr>Staffing Year 7</vt:lpstr>
      <vt:lpstr>YEAR 7</vt:lpstr>
      <vt:lpstr>Staffing Year 8</vt:lpstr>
      <vt:lpstr>YEAR 8</vt:lpstr>
      <vt:lpstr>Staffing Year 9</vt:lpstr>
      <vt:lpstr>YEAR 9</vt:lpstr>
      <vt:lpstr>Staffing Year 10</vt:lpstr>
      <vt:lpstr>YEAR 10</vt:lpstr>
      <vt:lpstr>'YEAR 10'!Print_Area</vt:lpstr>
      <vt:lpstr>'YEAR 6'!Print_Area</vt:lpstr>
      <vt:lpstr>'YEAR 6 - Budget and Cash Flow'!Print_Area</vt:lpstr>
      <vt:lpstr>'YEAR 7'!Print_Area</vt:lpstr>
      <vt:lpstr>'YEAR 8'!Print_Area</vt:lpstr>
      <vt:lpstr>'YEAR 9'!Print_Area</vt:lpstr>
      <vt:lpstr>'YEAR 6 - Budget and Cash Flow'!Print_Titles</vt:lpstr>
    </vt:vector>
  </TitlesOfParts>
  <Company>DPS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DPS</dc:creator>
  <cp:lastModifiedBy>Osborne, Amy J</cp:lastModifiedBy>
  <cp:lastPrinted>2017-02-01T03:30:01Z</cp:lastPrinted>
  <dcterms:created xsi:type="dcterms:W3CDTF">2009-06-30T21:24:16Z</dcterms:created>
  <dcterms:modified xsi:type="dcterms:W3CDTF">2018-03-26T15:50:55Z</dcterms:modified>
</cp:coreProperties>
</file>