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515" tabRatio="865" activeTab="0"/>
  </bookViews>
  <sheets>
    <sheet name="371" sheetId="1" r:id="rId1"/>
    <sheet name="671" sheetId="2" r:id="rId2"/>
    <sheet name="672" sheetId="3" r:id="rId3"/>
    <sheet name="677" sheetId="4" r:id="rId4"/>
    <sheet name="MVH" sheetId="5" state="hidden" r:id="rId5"/>
    <sheet name="CLPD" sheetId="6" state="hidden" r:id="rId6"/>
    <sheet name="BOND" sheetId="7" state="hidden" r:id="rId7"/>
    <sheet name="GEN SALARIES" sheetId="8" state="hidden" r:id="rId8"/>
    <sheet name="IBB Interest" sheetId="9" state="hidden" r:id="rId9"/>
  </sheets>
  <definedNames>
    <definedName name="_xlnm.Print_Area" localSheetId="0">'371'!$A$1:$BL$49</definedName>
    <definedName name="_xlnm.Print_Area" localSheetId="1">'671'!$A$1:$AV$48</definedName>
    <definedName name="_xlnm.Print_Area" localSheetId="2">'672'!$A$1:$AV$50</definedName>
    <definedName name="_xlnm.Print_Area" localSheetId="3">'677'!$A$1:$AV$48</definedName>
    <definedName name="_xlnm.Print_Area" localSheetId="6">'BOND'!$A$1:$BL$55</definedName>
    <definedName name="_xlnm.Print_Area" localSheetId="5">'CLPD'!$AW$1:$BK$55</definedName>
  </definedNames>
  <calcPr fullCalcOnLoad="1"/>
</workbook>
</file>

<file path=xl/sharedStrings.xml><?xml version="1.0" encoding="utf-8"?>
<sst xmlns="http://schemas.openxmlformats.org/spreadsheetml/2006/main" count="3749" uniqueCount="184">
  <si>
    <t xml:space="preserve"> </t>
  </si>
  <si>
    <t xml:space="preserve">       Q/E -</t>
  </si>
  <si>
    <t xml:space="preserve"> Name:</t>
  </si>
  <si>
    <t>City of Portage</t>
  </si>
  <si>
    <t xml:space="preserve">      Revised Date:</t>
  </si>
  <si>
    <t>Cash Flow Worksheet</t>
  </si>
  <si>
    <t xml:space="preserve"> Contact:</t>
  </si>
  <si>
    <t>Donna Pappas</t>
  </si>
  <si>
    <t xml:space="preserve">      Cash Flow Year:</t>
  </si>
  <si>
    <t>2002 Actual</t>
  </si>
  <si>
    <t>2003 Actual</t>
  </si>
  <si>
    <t xml:space="preserve"> Telephone:</t>
  </si>
  <si>
    <t>219-762-7784</t>
  </si>
  <si>
    <t xml:space="preserve">      Fund Name:</t>
  </si>
  <si>
    <t xml:space="preserve">       Fund Levy:</t>
  </si>
  <si>
    <t xml:space="preserve">      Annual Fund Levy: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</si>
  <si>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</si>
  <si>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</si>
  <si>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</si>
  <si>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</si>
  <si>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</si>
  <si>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</si>
  <si>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</si>
  <si>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</si>
  <si>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</si>
  <si>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</si>
  <si>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</si>
  <si>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</si>
  <si>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</si>
  <si>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/>
  </si>
  <si>
    <t>----------</t>
  </si>
  <si>
    <t>Beginning Balance:</t>
  </si>
  <si>
    <t>Receipts:</t>
  </si>
  <si>
    <t xml:space="preserve">  Property Tax</t>
  </si>
  <si>
    <t>2004 Property Tax Collections*</t>
  </si>
  <si>
    <t xml:space="preserve">  State Aid</t>
  </si>
  <si>
    <t>State Aid</t>
  </si>
  <si>
    <t xml:space="preserve">  Temporary Loans</t>
  </si>
  <si>
    <t>Temporary Loans</t>
  </si>
  <si>
    <t xml:space="preserve">  All Other</t>
  </si>
  <si>
    <t xml:space="preserve"> IBB 2004 Advance Funding Program</t>
  </si>
  <si>
    <t xml:space="preserve"> All Other</t>
  </si>
  <si>
    <t>Remaining 2003 Property Tax Collections (If Applicable)</t>
  </si>
  <si>
    <t xml:space="preserve">    Total Receipts</t>
  </si>
  <si>
    <t>Expenditures:</t>
  </si>
  <si>
    <t xml:space="preserve">  Wages &amp; Salaries</t>
  </si>
  <si>
    <t>Wages &amp; Salaries</t>
  </si>
  <si>
    <t xml:space="preserve">  Other Expenditures</t>
  </si>
  <si>
    <t>IBB 2004 Advance Funding Program Repayment</t>
  </si>
  <si>
    <t xml:space="preserve">    Total Expenditures</t>
  </si>
  <si>
    <t>Other Expenditures</t>
  </si>
  <si>
    <t>IBB 2003 Rollover Note Repayment (if Applicable)</t>
  </si>
  <si>
    <t>Cumulative Fund Balance</t>
  </si>
  <si>
    <t>==========</t>
  </si>
  <si>
    <t>80% of 1/2 of the Annual Levy</t>
  </si>
  <si>
    <t>========</t>
  </si>
  <si>
    <t>Revised 3/18/03</t>
  </si>
  <si>
    <t>Largest Deficit of First 6 Months</t>
  </si>
  <si>
    <t>IBB Permitted Borrowing:</t>
  </si>
  <si>
    <t>80% of</t>
  </si>
  <si>
    <t xml:space="preserve">Largest </t>
  </si>
  <si>
    <t>1/2 Levy</t>
  </si>
  <si>
    <t>Deficit</t>
  </si>
  <si>
    <t>Largest Deficit of Second 6 Months</t>
  </si>
  <si>
    <t>Largest Deficit May Through November</t>
  </si>
  <si>
    <t>Lesser of 80% of 1/2 Levy or Largest Defict</t>
  </si>
  <si>
    <t>Additional Long Warrant</t>
  </si>
  <si>
    <t>* Gross Fund Levy prior to any deduction for PTRC.</t>
  </si>
  <si>
    <t>2nd half Warrant</t>
  </si>
  <si>
    <t xml:space="preserve">Cumulative Liability </t>
  </si>
  <si>
    <t>Physical Damage</t>
  </si>
  <si>
    <t>General</t>
  </si>
  <si>
    <t>Bond Redemption (Debt Service)</t>
  </si>
  <si>
    <t>General Fund 100 Series</t>
  </si>
  <si>
    <t>Dept.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</si>
  <si>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</si>
  <si>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</si>
  <si>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</si>
  <si>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</si>
  <si>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</si>
  <si>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</si>
  <si>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</si>
  <si>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</si>
  <si>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</si>
  <si>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</si>
  <si>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</si>
  <si>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Animal Shelter</t>
  </si>
  <si>
    <t>Building</t>
  </si>
  <si>
    <t>City Hall</t>
  </si>
  <si>
    <t>HR</t>
  </si>
  <si>
    <t>Clerk Treasurer</t>
  </si>
  <si>
    <t>Council</t>
  </si>
  <si>
    <t>Engineering</t>
  </si>
  <si>
    <t>Fire</t>
  </si>
  <si>
    <t>Mayor</t>
  </si>
  <si>
    <t>Plan/BZA</t>
  </si>
  <si>
    <t>Police</t>
  </si>
  <si>
    <t>Sanitary</t>
  </si>
  <si>
    <t>Form 4A</t>
  </si>
  <si>
    <t>Police Reserves</t>
  </si>
  <si>
    <t>Public Works Dept</t>
  </si>
  <si>
    <t>2005 Bldg &amp; Eng combined into Public Works Dept</t>
  </si>
  <si>
    <t>IBB Warrant Principal and Interest</t>
  </si>
  <si>
    <t>330 Days</t>
  </si>
  <si>
    <t>Principal</t>
  </si>
  <si>
    <t>Remaining</t>
  </si>
  <si>
    <t>Interest</t>
  </si>
  <si>
    <t>Fund</t>
  </si>
  <si>
    <t>IBB Deposit</t>
  </si>
  <si>
    <t>Payment</t>
  </si>
  <si>
    <t>Balance</t>
  </si>
  <si>
    <t>@ 1.64%</t>
  </si>
  <si>
    <t>MVH</t>
  </si>
  <si>
    <t>EMB</t>
  </si>
  <si>
    <t>CLPD</t>
  </si>
  <si>
    <t>Parks</t>
  </si>
  <si>
    <t>187 Days</t>
  </si>
  <si>
    <t>Total Principal</t>
  </si>
  <si>
    <t>Total Interest</t>
  </si>
  <si>
    <t>Payable 12/31/04</t>
  </si>
  <si>
    <t>January '04</t>
  </si>
  <si>
    <t>Deposits were made to the General Ledger for IBB Warrants on January 31, 2004 and June 30, 2004.</t>
  </si>
  <si>
    <t>Debt Service</t>
  </si>
  <si>
    <t>INDIANA BOND BANK 2005 CASH FLOW FUNDING PROGRAM</t>
  </si>
  <si>
    <t>Estimated 2005</t>
  </si>
  <si>
    <t xml:space="preserve">       Gross Fund Levy:</t>
  </si>
  <si>
    <r>
      <t>2005 Property Tax</t>
    </r>
    <r>
      <rPr>
        <b/>
        <sz val="11"/>
        <rFont val="Palatino"/>
        <family val="1"/>
      </rPr>
      <t>*</t>
    </r>
  </si>
  <si>
    <t>2004 Property Tax Collections (If Applicable)</t>
  </si>
  <si>
    <t xml:space="preserve"> State Aid</t>
  </si>
  <si>
    <t>2004 Indiana Bond Bank Rollover (if Applicable)</t>
  </si>
  <si>
    <t>80% of 1/2 of the Annual Gross Levy</t>
  </si>
  <si>
    <t>Additional Short Warrant Permitted</t>
  </si>
  <si>
    <t>2004 Through September</t>
  </si>
  <si>
    <t>`/12 mths</t>
  </si>
  <si>
    <t xml:space="preserve">  IBB</t>
  </si>
  <si>
    <t xml:space="preserve">   Levy Excess Fund</t>
  </si>
  <si>
    <t xml:space="preserve">   Investments</t>
  </si>
  <si>
    <t xml:space="preserve">   IBB</t>
  </si>
  <si>
    <t xml:space="preserve">   IBB Interest</t>
  </si>
  <si>
    <t xml:space="preserve">  Levy Excess Fund</t>
  </si>
  <si>
    <t xml:space="preserve">  IBB Interet</t>
  </si>
  <si>
    <t xml:space="preserve">  Bond Principal</t>
  </si>
  <si>
    <t xml:space="preserve">  Bond Interest</t>
  </si>
  <si>
    <t xml:space="preserve">  Trustee Fees</t>
  </si>
  <si>
    <t>INDIANA BOND BANK 2004 CASH FLOW FUNDING PROGRAM</t>
  </si>
  <si>
    <t xml:space="preserve">   Investment</t>
  </si>
  <si>
    <t xml:space="preserve">  Remaining 2003 PT </t>
  </si>
  <si>
    <t xml:space="preserve">   IBB 2004 Advance </t>
  </si>
  <si>
    <t>Largest Deficit June Through November</t>
  </si>
  <si>
    <t>June '04</t>
  </si>
  <si>
    <t>Gary Sanitary District</t>
  </si>
  <si>
    <t xml:space="preserve">  Debt Service Principal</t>
  </si>
  <si>
    <t xml:space="preserve">  Debt Service Interest</t>
  </si>
  <si>
    <t>Times:  Collection Rate</t>
  </si>
  <si>
    <t>Estimated Property Tax Collections</t>
  </si>
  <si>
    <t>Less:  Circuit Breaker</t>
  </si>
  <si>
    <t>Adjusted Tax Levy</t>
  </si>
  <si>
    <t>Property Tax</t>
  </si>
  <si>
    <t xml:space="preserve">  Other</t>
  </si>
  <si>
    <t>Estimated Property Tax</t>
  </si>
  <si>
    <t xml:space="preserve">  2009 Property Tax</t>
  </si>
  <si>
    <t xml:space="preserve">  2008 Property Tax (If Applicable)</t>
  </si>
  <si>
    <t>Debt Service Fund 371</t>
  </si>
  <si>
    <t>Sewer Operating Fund 671</t>
  </si>
  <si>
    <t>Solid Waste Disposal Fund 672</t>
  </si>
  <si>
    <t>Gary Storm Water Management District Fund 677</t>
  </si>
  <si>
    <t xml:space="preserve">  Interfund Operating Transfers</t>
  </si>
  <si>
    <t xml:space="preserve">  2010 Property Tax</t>
  </si>
  <si>
    <t xml:space="preserve">  2009 Property Tax (If Applicable)</t>
  </si>
  <si>
    <t xml:space="preserve">  2011 Property Tax</t>
  </si>
  <si>
    <t xml:space="preserve">  2010 Property Tax (If Applicable)</t>
  </si>
  <si>
    <t xml:space="preserve">  2012 Property Tax</t>
  </si>
  <si>
    <t xml:space="preserve">  2011 Property Tax (If Applicable)</t>
  </si>
  <si>
    <t xml:space="preserve">  2009 Tax Anticipation Warrant</t>
  </si>
  <si>
    <t>Property Tax Levy for Pay 2011</t>
  </si>
  <si>
    <t>Property Tax Levy for Pay 2012</t>
  </si>
  <si>
    <t>Property Tax Levy/Excess Levy for Pay 2011</t>
  </si>
  <si>
    <t xml:space="preserve">  2008 Tax Anticipation Warrant</t>
  </si>
  <si>
    <t xml:space="preserve">  All Other Expenditures</t>
  </si>
  <si>
    <t xml:space="preserve">  All Other Receipts</t>
  </si>
  <si>
    <t xml:space="preserve">  Storm Water Fees</t>
  </si>
  <si>
    <t xml:space="preserve">  Tax Anticipation Warrants</t>
  </si>
  <si>
    <t xml:space="preserve">  2010 Tax Anticipation Warrant</t>
  </si>
  <si>
    <t>(Actual thru October)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</si>
</sst>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\);_(* &quot;-&quot;??_);_(@_)"/>
    <numFmt numFmtId="166" formatCode="&quot;$&quot;#,##0.0_);\(&quot;$&quot;#,##0.0\)"/>
    <numFmt numFmtId="167" formatCode="_(* #,##0.0_);_(* \(#,##0.0\);_(* &quot;-&quot;??_);_(@_)"/>
    <numFmt numFmtId="168" formatCode="0.0"/>
    <numFmt numFmtId="169" formatCode="_(* #,##0.000_);_(* \(#,##0.000\);_(* &quot;-&quot;??_);_(@_)"/>
    <numFmt numFmtId="170" formatCode="#,##0.0_);\(#,##0.0\)"/>
    <numFmt numFmtId="171" formatCode="_(* #,##0.0_);_(* \(#,##0.0\);_(* &quot;-&quot;?_);_(@_)"/>
    <numFmt numFmtId="172" formatCode="&quot;$&quot;#,##0.000_);\(&quot;$&quot;#,##0.000\)"/>
    <numFmt numFmtId="173" formatCode="&quot;$&quot;#,##0.0000_);\(&quot;$&quot;#,##0.0000\)"/>
    <numFmt numFmtId="174" formatCode="#,##0.000_);\(#,##0.000\)"/>
    <numFmt numFmtId="175" formatCode="#,##0.0000_);\(#,##0.0000\)"/>
  </numFmts>
  <fonts count="48">
    <font>
      <sz val="10"/>
      <name val="Arial"/>
      <family val="0"/>
    </font>
    <font>
      <sz val="8"/>
      <name val="Arial"/>
      <family val="0"/>
    </font>
    <font>
      <sz val="11"/>
      <color indexed="12"/>
      <name val="Palatino"/>
      <family val="0"/>
    </font>
    <font>
      <sz val="11"/>
      <name val="Palatino"/>
      <family val="0"/>
    </font>
    <font>
      <b/>
      <sz val="11"/>
      <name val="Palatino"/>
      <family val="1"/>
    </font>
    <font>
      <sz val="11"/>
      <name val="Book Antiqua"/>
      <family val="1"/>
    </font>
    <font>
      <b/>
      <sz val="11"/>
      <name val="Book Antiqua"/>
      <family val="1"/>
    </font>
    <font>
      <u val="single"/>
      <sz val="11"/>
      <name val="Book Antiqua"/>
      <family val="1"/>
    </font>
    <font>
      <u val="single"/>
      <sz val="11"/>
      <name val="Times New Roman"/>
      <family val="0"/>
    </font>
    <font>
      <sz val="10"/>
      <color indexed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1"/>
      <name val="Palatino"/>
      <family val="0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5" fontId="2" fillId="0" borderId="0" xfId="0" applyNumberFormat="1" applyFont="1" applyFill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5" fontId="2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/>
    </xf>
    <xf numFmtId="5" fontId="3" fillId="0" borderId="0" xfId="0" applyNumberFormat="1" applyFont="1" applyAlignment="1" applyProtection="1">
      <alignment/>
      <protection/>
    </xf>
    <xf numFmtId="5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>
      <alignment/>
    </xf>
    <xf numFmtId="37" fontId="2" fillId="0" borderId="0" xfId="0" applyNumberFormat="1" applyFont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 horizontal="left" indent="1"/>
      <protection/>
    </xf>
    <xf numFmtId="37" fontId="2" fillId="0" borderId="0" xfId="0" applyNumberFormat="1" applyFont="1" applyFill="1" applyAlignment="1" applyProtection="1">
      <alignment horizontal="right"/>
      <protection locked="0"/>
    </xf>
    <xf numFmtId="37" fontId="2" fillId="0" borderId="0" xfId="0" applyNumberFormat="1" applyFont="1" applyFill="1" applyAlignment="1" applyProtection="1">
      <alignment/>
      <protection locked="0"/>
    </xf>
    <xf numFmtId="37" fontId="0" fillId="0" borderId="0" xfId="0" applyNumberFormat="1" applyFill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37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 indent="1"/>
    </xf>
    <xf numFmtId="5" fontId="3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165" fontId="2" fillId="0" borderId="0" xfId="42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43" fontId="5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center"/>
    </xf>
    <xf numFmtId="43" fontId="5" fillId="0" borderId="0" xfId="42" applyFont="1" applyAlignment="1">
      <alignment/>
    </xf>
    <xf numFmtId="43" fontId="5" fillId="0" borderId="0" xfId="0" applyNumberFormat="1" applyFont="1" applyFill="1" applyAlignment="1">
      <alignment/>
    </xf>
    <xf numFmtId="43" fontId="5" fillId="0" borderId="10" xfId="42" applyFont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37" fontId="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5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 indent="1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Fill="1" applyAlignment="1">
      <alignment/>
    </xf>
    <xf numFmtId="5" fontId="3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42" applyNumberFormat="1" applyFont="1" applyAlignment="1" applyProtection="1">
      <alignment/>
      <protection locked="0"/>
    </xf>
    <xf numFmtId="37" fontId="0" fillId="0" borderId="0" xfId="0" applyNumberFormat="1" applyAlignment="1">
      <alignment/>
    </xf>
    <xf numFmtId="167" fontId="2" fillId="0" borderId="0" xfId="42" applyNumberFormat="1" applyFont="1" applyAlignment="1" applyProtection="1">
      <alignment/>
      <protection locked="0"/>
    </xf>
    <xf numFmtId="43" fontId="3" fillId="0" borderId="0" xfId="42" applyFont="1" applyAlignment="1">
      <alignment/>
    </xf>
    <xf numFmtId="37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/>
    </xf>
    <xf numFmtId="41" fontId="2" fillId="0" borderId="0" xfId="42" applyNumberFormat="1" applyFont="1" applyAlignment="1" applyProtection="1">
      <alignment/>
      <protection locked="0"/>
    </xf>
    <xf numFmtId="5" fontId="3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42" fontId="3" fillId="0" borderId="0" xfId="0" applyNumberFormat="1" applyFont="1" applyFill="1" applyAlignment="1" applyProtection="1">
      <alignment/>
      <protection locked="0"/>
    </xf>
    <xf numFmtId="41" fontId="3" fillId="0" borderId="0" xfId="0" applyNumberFormat="1" applyFont="1" applyFill="1" applyBorder="1" applyAlignment="1">
      <alignment/>
    </xf>
    <xf numFmtId="5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5" fontId="3" fillId="0" borderId="0" xfId="0" applyNumberFormat="1" applyFont="1" applyFill="1" applyAlignment="1" applyProtection="1">
      <alignment/>
      <protection locked="0"/>
    </xf>
    <xf numFmtId="5" fontId="3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 quotePrefix="1">
      <alignment horizontal="center"/>
      <protection/>
    </xf>
    <xf numFmtId="0" fontId="3" fillId="0" borderId="0" xfId="0" applyFont="1" applyFill="1" applyAlignment="1">
      <alignment horizontal="center"/>
    </xf>
    <xf numFmtId="41" fontId="3" fillId="0" borderId="0" xfId="0" applyNumberFormat="1" applyFont="1" applyFill="1" applyBorder="1" applyAlignment="1" applyProtection="1">
      <alignment/>
      <protection locked="0"/>
    </xf>
    <xf numFmtId="42" fontId="3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/>
    </xf>
    <xf numFmtId="10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 horizontal="center"/>
      <protection locked="0"/>
    </xf>
    <xf numFmtId="37" fontId="1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L51"/>
  <sheetViews>
    <sheetView tabSelected="1" view="pageBreakPreview" zoomScale="75" zoomScaleNormal="75" zoomScaleSheetLayoutView="75" zoomScalePageLayoutView="0" workbookViewId="0" topLeftCell="A1">
      <selection activeCell="A1" sqref="A1:O1"/>
    </sheetView>
  </sheetViews>
  <sheetFormatPr defaultColWidth="8.140625" defaultRowHeight="12.75"/>
  <cols>
    <col min="1" max="1" width="40.7109375" style="3" customWidth="1"/>
    <col min="2" max="2" width="4.7109375" style="3" customWidth="1"/>
    <col min="3" max="3" width="13.28125" style="3" bestFit="1" customWidth="1"/>
    <col min="4" max="7" width="13.00390625" style="3" bestFit="1" customWidth="1"/>
    <col min="8" max="8" width="15.28125" style="3" bestFit="1" customWidth="1"/>
    <col min="9" max="11" width="13.00390625" style="3" bestFit="1" customWidth="1"/>
    <col min="12" max="12" width="12.7109375" style="3" customWidth="1"/>
    <col min="13" max="13" width="12.8515625" style="3" customWidth="1"/>
    <col min="14" max="14" width="12.8515625" style="3" bestFit="1" customWidth="1"/>
    <col min="15" max="15" width="12.8515625" style="3" customWidth="1"/>
    <col min="16" max="16" width="2.7109375" style="3" customWidth="1"/>
    <col min="17" max="17" width="40.7109375" style="3" customWidth="1"/>
    <col min="18" max="18" width="4.7109375" style="3" customWidth="1"/>
    <col min="19" max="19" width="13.28125" style="3" bestFit="1" customWidth="1"/>
    <col min="20" max="23" width="13.00390625" style="3" bestFit="1" customWidth="1"/>
    <col min="24" max="24" width="15.28125" style="3" bestFit="1" customWidth="1"/>
    <col min="25" max="27" width="13.00390625" style="3" bestFit="1" customWidth="1"/>
    <col min="28" max="28" width="12.7109375" style="3" customWidth="1"/>
    <col min="29" max="29" width="12.8515625" style="3" customWidth="1"/>
    <col min="30" max="30" width="12.8515625" style="3" bestFit="1" customWidth="1"/>
    <col min="31" max="31" width="12.8515625" style="3" customWidth="1"/>
    <col min="32" max="32" width="2.7109375" style="3" customWidth="1"/>
    <col min="33" max="33" width="40.7109375" style="3" customWidth="1"/>
    <col min="34" max="34" width="4.7109375" style="3" customWidth="1"/>
    <col min="35" max="35" width="13.28125" style="3" bestFit="1" customWidth="1"/>
    <col min="36" max="39" width="13.00390625" style="3" bestFit="1" customWidth="1"/>
    <col min="40" max="40" width="15.28125" style="3" bestFit="1" customWidth="1"/>
    <col min="41" max="43" width="13.00390625" style="3" bestFit="1" customWidth="1"/>
    <col min="44" max="44" width="12.7109375" style="3" customWidth="1"/>
    <col min="45" max="45" width="12.8515625" style="3" customWidth="1"/>
    <col min="46" max="46" width="12.8515625" style="3" bestFit="1" customWidth="1"/>
    <col min="47" max="47" width="12.8515625" style="3" customWidth="1"/>
    <col min="48" max="48" width="2.7109375" style="3" customWidth="1"/>
    <col min="49" max="49" width="40.7109375" style="3" customWidth="1"/>
    <col min="50" max="50" width="4.7109375" style="3" customWidth="1"/>
    <col min="51" max="51" width="13.28125" style="3" bestFit="1" customWidth="1"/>
    <col min="52" max="55" width="13.00390625" style="3" bestFit="1" customWidth="1"/>
    <col min="56" max="56" width="15.28125" style="3" bestFit="1" customWidth="1"/>
    <col min="57" max="59" width="13.00390625" style="3" bestFit="1" customWidth="1"/>
    <col min="60" max="60" width="12.7109375" style="3" customWidth="1"/>
    <col min="61" max="61" width="12.8515625" style="3" customWidth="1"/>
    <col min="62" max="62" width="12.8515625" style="3" bestFit="1" customWidth="1"/>
    <col min="63" max="63" width="12.8515625" style="3" customWidth="1"/>
    <col min="64" max="64" width="2.7109375" style="3" customWidth="1"/>
    <col min="65" max="16384" width="8.140625" style="3" customWidth="1"/>
  </cols>
  <sheetData>
    <row r="1" spans="1:64" ht="15">
      <c r="A1" s="107" t="s">
        <v>150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Q1" s="106" t="s">
        <v>150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G1" s="106" t="s">
        <v>150</v>
      </c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W1" s="106" t="s">
        <v>150</v>
      </c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4" ht="15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Q2" s="107" t="s">
        <v>5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G2" s="107" t="s">
        <v>5</v>
      </c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W2" s="107" t="s">
        <v>5</v>
      </c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15">
      <c r="A3" s="107">
        <v>2009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Q3" s="107">
        <v>2010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G3" s="107">
        <v>2011</v>
      </c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W3" s="107">
        <v>2012</v>
      </c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59" ht="15">
      <c r="A4" s="89" t="s">
        <v>13</v>
      </c>
      <c r="B4" s="83"/>
      <c r="C4" s="89" t="s">
        <v>162</v>
      </c>
      <c r="D4" s="83"/>
      <c r="E4" s="83"/>
      <c r="F4" s="83"/>
      <c r="G4" s="89"/>
      <c r="H4" s="83"/>
      <c r="I4" s="83"/>
      <c r="J4" s="83"/>
      <c r="K4" s="83"/>
      <c r="Q4" s="89" t="s">
        <v>13</v>
      </c>
      <c r="R4" s="83"/>
      <c r="S4" s="89" t="s">
        <v>162</v>
      </c>
      <c r="T4" s="83"/>
      <c r="U4" s="83"/>
      <c r="V4" s="83"/>
      <c r="W4" s="89"/>
      <c r="X4" s="90"/>
      <c r="Y4" s="83"/>
      <c r="Z4" s="83"/>
      <c r="AA4" s="83"/>
      <c r="AG4" s="89" t="s">
        <v>13</v>
      </c>
      <c r="AH4" s="83"/>
      <c r="AI4" s="89" t="s">
        <v>162</v>
      </c>
      <c r="AJ4" s="83"/>
      <c r="AK4" s="83"/>
      <c r="AL4" s="83"/>
      <c r="AM4" s="89"/>
      <c r="AN4" s="90"/>
      <c r="AO4" s="83"/>
      <c r="AP4" s="83"/>
      <c r="AQ4" s="83"/>
      <c r="AW4" s="89" t="s">
        <v>13</v>
      </c>
      <c r="AX4" s="83"/>
      <c r="AY4" s="89" t="s">
        <v>162</v>
      </c>
      <c r="AZ4" s="83"/>
      <c r="BA4" s="83"/>
      <c r="BB4" s="83"/>
      <c r="BC4" s="89"/>
      <c r="BD4" s="90"/>
      <c r="BE4" s="83"/>
      <c r="BF4" s="83"/>
      <c r="BG4" s="83"/>
    </row>
    <row r="5" spans="1:59" ht="15">
      <c r="A5" s="83"/>
      <c r="B5" s="83"/>
      <c r="C5" s="89"/>
      <c r="D5" s="83"/>
      <c r="E5" s="83"/>
      <c r="F5" s="83"/>
      <c r="G5" s="83"/>
      <c r="H5" s="83"/>
      <c r="I5" s="83"/>
      <c r="J5" s="83"/>
      <c r="K5" s="83"/>
      <c r="Q5" s="83"/>
      <c r="R5" s="83"/>
      <c r="S5" s="88" t="s">
        <v>183</v>
      </c>
      <c r="T5" s="83"/>
      <c r="U5" s="83"/>
      <c r="V5" s="83"/>
      <c r="W5" s="83"/>
      <c r="X5" s="90"/>
      <c r="Y5" s="83"/>
      <c r="Z5" s="83"/>
      <c r="AA5" s="83"/>
      <c r="AG5" s="83"/>
      <c r="AH5" s="83"/>
      <c r="AI5" s="89"/>
      <c r="AJ5" s="83"/>
      <c r="AK5" s="83"/>
      <c r="AL5" s="83"/>
      <c r="AM5" s="83"/>
      <c r="AN5" s="90"/>
      <c r="AO5" s="83"/>
      <c r="AP5" s="83"/>
      <c r="AQ5" s="83"/>
      <c r="AW5" s="83"/>
      <c r="AX5" s="83"/>
      <c r="AY5" s="89"/>
      <c r="AZ5" s="83"/>
      <c r="BA5" s="83"/>
      <c r="BB5" s="83"/>
      <c r="BC5" s="83"/>
      <c r="BD5" s="90"/>
      <c r="BE5" s="83"/>
      <c r="BF5" s="83"/>
      <c r="BG5" s="83"/>
    </row>
    <row r="6" spans="1:59" ht="15">
      <c r="A6" s="89" t="s">
        <v>14</v>
      </c>
      <c r="B6" s="91"/>
      <c r="C6" s="91">
        <v>2184979</v>
      </c>
      <c r="D6" s="83"/>
      <c r="E6" s="83"/>
      <c r="F6" s="83"/>
      <c r="G6" s="89"/>
      <c r="H6" s="83"/>
      <c r="I6" s="83"/>
      <c r="J6" s="83"/>
      <c r="K6" s="83"/>
      <c r="Q6" s="89" t="s">
        <v>14</v>
      </c>
      <c r="R6" s="91"/>
      <c r="S6" s="92">
        <v>2208676</v>
      </c>
      <c r="T6" s="83"/>
      <c r="U6" s="83"/>
      <c r="V6" s="83"/>
      <c r="W6" s="89"/>
      <c r="X6" s="90"/>
      <c r="Y6" s="83"/>
      <c r="Z6" s="83"/>
      <c r="AA6" s="83"/>
      <c r="AG6" s="89" t="s">
        <v>14</v>
      </c>
      <c r="AH6" s="91"/>
      <c r="AI6" s="92">
        <v>2303563</v>
      </c>
      <c r="AJ6" s="83"/>
      <c r="AK6" s="83"/>
      <c r="AL6" s="83"/>
      <c r="AM6" s="89"/>
      <c r="AN6" s="90"/>
      <c r="AO6" s="83"/>
      <c r="AP6" s="83"/>
      <c r="AQ6" s="83"/>
      <c r="AW6" s="89" t="s">
        <v>14</v>
      </c>
      <c r="AX6" s="91"/>
      <c r="AY6" s="92">
        <v>2057040</v>
      </c>
      <c r="AZ6" s="83"/>
      <c r="BA6" s="83"/>
      <c r="BB6" s="83"/>
      <c r="BC6" s="89"/>
      <c r="BD6" s="90"/>
      <c r="BE6" s="83"/>
      <c r="BF6" s="83"/>
      <c r="BG6" s="83"/>
    </row>
    <row r="7" spans="1:15" s="55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64" ht="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L8" s="55"/>
    </row>
    <row r="9" spans="3:64" ht="15">
      <c r="C9" s="13" t="s">
        <v>16</v>
      </c>
      <c r="D9" s="13" t="s">
        <v>17</v>
      </c>
      <c r="E9" s="13" t="s">
        <v>18</v>
      </c>
      <c r="F9" s="13" t="s">
        <v>19</v>
      </c>
      <c r="G9" s="13" t="s">
        <v>20</v>
      </c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  <c r="M9" s="13" t="s">
        <v>26</v>
      </c>
      <c r="N9" s="13" t="s">
        <v>27</v>
      </c>
      <c r="O9" s="13" t="s">
        <v>28</v>
      </c>
      <c r="S9" s="13" t="s">
        <v>16</v>
      </c>
      <c r="T9" s="13" t="s">
        <v>17</v>
      </c>
      <c r="U9" s="13" t="s">
        <v>18</v>
      </c>
      <c r="V9" s="13" t="s">
        <v>19</v>
      </c>
      <c r="W9" s="13" t="s">
        <v>20</v>
      </c>
      <c r="X9" s="13" t="s">
        <v>21</v>
      </c>
      <c r="Y9" s="13" t="s">
        <v>22</v>
      </c>
      <c r="Z9" s="13" t="s">
        <v>23</v>
      </c>
      <c r="AA9" s="13" t="s">
        <v>24</v>
      </c>
      <c r="AB9" s="13" t="s">
        <v>25</v>
      </c>
      <c r="AC9" s="13" t="s">
        <v>26</v>
      </c>
      <c r="AD9" s="13" t="s">
        <v>27</v>
      </c>
      <c r="AE9" s="13" t="s">
        <v>28</v>
      </c>
      <c r="AI9" s="13" t="s">
        <v>16</v>
      </c>
      <c r="AJ9" s="13" t="s">
        <v>17</v>
      </c>
      <c r="AK9" s="13" t="s">
        <v>18</v>
      </c>
      <c r="AL9" s="13" t="s">
        <v>19</v>
      </c>
      <c r="AM9" s="13" t="s">
        <v>20</v>
      </c>
      <c r="AN9" s="13" t="s">
        <v>21</v>
      </c>
      <c r="AO9" s="13" t="s">
        <v>22</v>
      </c>
      <c r="AP9" s="13" t="s">
        <v>23</v>
      </c>
      <c r="AQ9" s="13" t="s">
        <v>24</v>
      </c>
      <c r="AR9" s="13" t="s">
        <v>25</v>
      </c>
      <c r="AS9" s="13" t="s">
        <v>26</v>
      </c>
      <c r="AT9" s="13" t="s">
        <v>27</v>
      </c>
      <c r="AU9" s="13" t="s">
        <v>28</v>
      </c>
      <c r="AY9" s="13" t="s">
        <v>16</v>
      </c>
      <c r="AZ9" s="13" t="s">
        <v>17</v>
      </c>
      <c r="BA9" s="13" t="s">
        <v>18</v>
      </c>
      <c r="BB9" s="13" t="s">
        <v>19</v>
      </c>
      <c r="BC9" s="13" t="s">
        <v>20</v>
      </c>
      <c r="BD9" s="13" t="s">
        <v>21</v>
      </c>
      <c r="BE9" s="13" t="s">
        <v>22</v>
      </c>
      <c r="BF9" s="13" t="s">
        <v>23</v>
      </c>
      <c r="BG9" s="13" t="s">
        <v>24</v>
      </c>
      <c r="BH9" s="13" t="s">
        <v>25</v>
      </c>
      <c r="BI9" s="13" t="s">
        <v>26</v>
      </c>
      <c r="BJ9" s="13" t="s">
        <v>27</v>
      </c>
      <c r="BK9" s="13" t="s">
        <v>28</v>
      </c>
      <c r="BL9" s="55"/>
    </row>
    <row r="10" spans="1:64" ht="15">
      <c r="A10" s="5" t="s">
        <v>29</v>
      </c>
      <c r="C10" s="13" t="s">
        <v>30</v>
      </c>
      <c r="D10" s="13" t="s">
        <v>30</v>
      </c>
      <c r="E10" s="13" t="s">
        <v>30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  <c r="K10" s="13" t="s">
        <v>30</v>
      </c>
      <c r="L10" s="13" t="s">
        <v>30</v>
      </c>
      <c r="M10" s="13" t="s">
        <v>30</v>
      </c>
      <c r="N10" s="13" t="s">
        <v>30</v>
      </c>
      <c r="O10" s="13" t="s">
        <v>30</v>
      </c>
      <c r="Q10" s="5" t="s">
        <v>29</v>
      </c>
      <c r="S10" s="13" t="s">
        <v>30</v>
      </c>
      <c r="T10" s="13" t="s">
        <v>30</v>
      </c>
      <c r="U10" s="13" t="s">
        <v>30</v>
      </c>
      <c r="V10" s="13" t="s">
        <v>30</v>
      </c>
      <c r="W10" s="13" t="s">
        <v>30</v>
      </c>
      <c r="X10" s="13" t="s">
        <v>30</v>
      </c>
      <c r="Y10" s="13" t="s">
        <v>30</v>
      </c>
      <c r="Z10" s="13" t="s">
        <v>30</v>
      </c>
      <c r="AA10" s="13" t="s">
        <v>30</v>
      </c>
      <c r="AB10" s="13" t="s">
        <v>30</v>
      </c>
      <c r="AC10" s="13" t="s">
        <v>30</v>
      </c>
      <c r="AD10" s="13" t="s">
        <v>30</v>
      </c>
      <c r="AE10" s="13" t="s">
        <v>30</v>
      </c>
      <c r="AG10" s="5" t="s">
        <v>29</v>
      </c>
      <c r="AI10" s="13" t="s">
        <v>30</v>
      </c>
      <c r="AJ10" s="13" t="s">
        <v>30</v>
      </c>
      <c r="AK10" s="13" t="s">
        <v>30</v>
      </c>
      <c r="AL10" s="13" t="s">
        <v>30</v>
      </c>
      <c r="AM10" s="13" t="s">
        <v>30</v>
      </c>
      <c r="AN10" s="13" t="s">
        <v>30</v>
      </c>
      <c r="AO10" s="13" t="s">
        <v>30</v>
      </c>
      <c r="AP10" s="13" t="s">
        <v>30</v>
      </c>
      <c r="AQ10" s="13" t="s">
        <v>30</v>
      </c>
      <c r="AR10" s="13" t="s">
        <v>30</v>
      </c>
      <c r="AS10" s="13" t="s">
        <v>30</v>
      </c>
      <c r="AT10" s="13" t="s">
        <v>30</v>
      </c>
      <c r="AU10" s="13" t="s">
        <v>30</v>
      </c>
      <c r="AW10" s="5" t="s">
        <v>29</v>
      </c>
      <c r="AY10" s="13" t="s">
        <v>30</v>
      </c>
      <c r="AZ10" s="13" t="s">
        <v>30</v>
      </c>
      <c r="BA10" s="13" t="s">
        <v>30</v>
      </c>
      <c r="BB10" s="13" t="s">
        <v>30</v>
      </c>
      <c r="BC10" s="13" t="s">
        <v>30</v>
      </c>
      <c r="BD10" s="13" t="s">
        <v>30</v>
      </c>
      <c r="BE10" s="13" t="s">
        <v>30</v>
      </c>
      <c r="BF10" s="13" t="s">
        <v>30</v>
      </c>
      <c r="BG10" s="13" t="s">
        <v>30</v>
      </c>
      <c r="BH10" s="13" t="s">
        <v>30</v>
      </c>
      <c r="BI10" s="13" t="s">
        <v>30</v>
      </c>
      <c r="BJ10" s="13" t="s">
        <v>30</v>
      </c>
      <c r="BK10" s="13" t="s">
        <v>30</v>
      </c>
      <c r="BL10" s="55"/>
    </row>
    <row r="11" spans="1:64" ht="15">
      <c r="A11" s="5" t="s">
        <v>31</v>
      </c>
      <c r="C11" s="15">
        <v>1923267</v>
      </c>
      <c r="D11" s="15">
        <f aca="true" t="shared" si="0" ref="D11:N11">C35</f>
        <v>84023</v>
      </c>
      <c r="E11" s="15">
        <f t="shared" si="0"/>
        <v>84049</v>
      </c>
      <c r="F11" s="15">
        <f t="shared" si="0"/>
        <v>95013</v>
      </c>
      <c r="G11" s="15">
        <f t="shared" si="0"/>
        <v>95039</v>
      </c>
      <c r="H11" s="15">
        <f t="shared" si="0"/>
        <v>95064</v>
      </c>
      <c r="I11" s="15">
        <f t="shared" si="0"/>
        <v>94492</v>
      </c>
      <c r="J11" s="15">
        <f t="shared" si="0"/>
        <v>120864</v>
      </c>
      <c r="K11" s="15">
        <f t="shared" si="0"/>
        <v>120852</v>
      </c>
      <c r="L11" s="15">
        <f t="shared" si="0"/>
        <v>153608</v>
      </c>
      <c r="M11" s="15">
        <f t="shared" si="0"/>
        <v>201187</v>
      </c>
      <c r="N11" s="15">
        <f t="shared" si="0"/>
        <v>667772</v>
      </c>
      <c r="O11" s="15">
        <f>C11</f>
        <v>1923267</v>
      </c>
      <c r="Q11" s="5" t="s">
        <v>31</v>
      </c>
      <c r="S11" s="14">
        <f>O35</f>
        <v>395624</v>
      </c>
      <c r="T11" s="15">
        <f aca="true" t="shared" si="1" ref="T11:AD11">S36</f>
        <v>27705</v>
      </c>
      <c r="U11" s="15">
        <f t="shared" si="1"/>
        <v>53519</v>
      </c>
      <c r="V11" s="15">
        <f t="shared" si="1"/>
        <v>53521</v>
      </c>
      <c r="W11" s="15">
        <f t="shared" si="1"/>
        <v>53523</v>
      </c>
      <c r="X11" s="15">
        <f t="shared" si="1"/>
        <v>53525</v>
      </c>
      <c r="Y11" s="15">
        <f t="shared" si="1"/>
        <v>763063</v>
      </c>
      <c r="Z11" s="15">
        <f t="shared" si="1"/>
        <v>835042</v>
      </c>
      <c r="AA11" s="15">
        <f t="shared" si="1"/>
        <v>882434</v>
      </c>
      <c r="AB11" s="15">
        <f t="shared" si="1"/>
        <v>882437</v>
      </c>
      <c r="AC11" s="15">
        <f t="shared" si="1"/>
        <v>911099</v>
      </c>
      <c r="AD11" s="15">
        <f t="shared" si="1"/>
        <v>911101</v>
      </c>
      <c r="AE11" s="15">
        <f>S11</f>
        <v>395624</v>
      </c>
      <c r="AG11" s="5" t="s">
        <v>31</v>
      </c>
      <c r="AI11" s="14">
        <f>AE36</f>
        <v>1343914</v>
      </c>
      <c r="AJ11" s="15">
        <f aca="true" t="shared" si="2" ref="AJ11:AT11">AI34</f>
        <v>-859371</v>
      </c>
      <c r="AK11" s="15">
        <f t="shared" si="2"/>
        <v>-859371</v>
      </c>
      <c r="AL11" s="15">
        <f t="shared" si="2"/>
        <v>-859371</v>
      </c>
      <c r="AM11" s="15">
        <f t="shared" si="2"/>
        <v>-859371</v>
      </c>
      <c r="AN11" s="15">
        <f t="shared" si="2"/>
        <v>-859371</v>
      </c>
      <c r="AO11" s="15">
        <f t="shared" si="2"/>
        <v>-859371</v>
      </c>
      <c r="AP11" s="15">
        <f t="shared" si="2"/>
        <v>-916018</v>
      </c>
      <c r="AQ11" s="15">
        <f t="shared" si="2"/>
        <v>-916018</v>
      </c>
      <c r="AR11" s="15">
        <f t="shared" si="2"/>
        <v>-916018</v>
      </c>
      <c r="AS11" s="15">
        <f t="shared" si="2"/>
        <v>-916018</v>
      </c>
      <c r="AT11" s="15">
        <f t="shared" si="2"/>
        <v>-916018</v>
      </c>
      <c r="AU11" s="15">
        <f>AI11</f>
        <v>1343914</v>
      </c>
      <c r="AW11" s="5" t="s">
        <v>31</v>
      </c>
      <c r="AY11" s="14">
        <f>AU34</f>
        <v>1565647.5499999998</v>
      </c>
      <c r="AZ11" s="15">
        <f aca="true" t="shared" si="3" ref="AZ11:BJ11">AY34</f>
        <v>-683772.4500000002</v>
      </c>
      <c r="BA11" s="15">
        <f t="shared" si="3"/>
        <v>-683772.4500000002</v>
      </c>
      <c r="BB11" s="15">
        <f t="shared" si="3"/>
        <v>-683772.4500000002</v>
      </c>
      <c r="BC11" s="15">
        <f t="shared" si="3"/>
        <v>-683772.4500000002</v>
      </c>
      <c r="BD11" s="15">
        <f t="shared" si="3"/>
        <v>-683772.4500000002</v>
      </c>
      <c r="BE11" s="15">
        <f t="shared" si="3"/>
        <v>-683772.4500000002</v>
      </c>
      <c r="BF11" s="15">
        <f t="shared" si="3"/>
        <v>-274485.4500000002</v>
      </c>
      <c r="BG11" s="15">
        <f t="shared" si="3"/>
        <v>-274485.4500000002</v>
      </c>
      <c r="BH11" s="15">
        <f t="shared" si="3"/>
        <v>-274485.4500000002</v>
      </c>
      <c r="BI11" s="15">
        <f t="shared" si="3"/>
        <v>-274485.4500000002</v>
      </c>
      <c r="BJ11" s="15">
        <f t="shared" si="3"/>
        <v>-274485.4500000002</v>
      </c>
      <c r="BK11" s="15">
        <f>AY11</f>
        <v>1565647.5499999998</v>
      </c>
      <c r="BL11" s="55"/>
    </row>
    <row r="12" spans="3:64" ht="15">
      <c r="C12" s="13" t="s">
        <v>30</v>
      </c>
      <c r="D12" s="13" t="s">
        <v>30</v>
      </c>
      <c r="E12" s="13" t="s">
        <v>30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  <c r="M12" s="13" t="s">
        <v>30</v>
      </c>
      <c r="N12" s="13" t="s">
        <v>30</v>
      </c>
      <c r="O12" s="13" t="s">
        <v>30</v>
      </c>
      <c r="S12" s="13" t="s">
        <v>30</v>
      </c>
      <c r="T12" s="13" t="s">
        <v>30</v>
      </c>
      <c r="U12" s="13" t="s">
        <v>30</v>
      </c>
      <c r="V12" s="13" t="s">
        <v>30</v>
      </c>
      <c r="W12" s="13" t="s">
        <v>30</v>
      </c>
      <c r="X12" s="13" t="s">
        <v>30</v>
      </c>
      <c r="Y12" s="13" t="s">
        <v>30</v>
      </c>
      <c r="Z12" s="13" t="s">
        <v>30</v>
      </c>
      <c r="AA12" s="13" t="s">
        <v>30</v>
      </c>
      <c r="AB12" s="13" t="s">
        <v>30</v>
      </c>
      <c r="AC12" s="13" t="s">
        <v>30</v>
      </c>
      <c r="AD12" s="13" t="s">
        <v>30</v>
      </c>
      <c r="AE12" s="13" t="s">
        <v>30</v>
      </c>
      <c r="AI12" s="13" t="s">
        <v>30</v>
      </c>
      <c r="AJ12" s="13" t="s">
        <v>30</v>
      </c>
      <c r="AK12" s="13" t="s">
        <v>30</v>
      </c>
      <c r="AL12" s="13" t="s">
        <v>30</v>
      </c>
      <c r="AM12" s="13" t="s">
        <v>30</v>
      </c>
      <c r="AN12" s="13" t="s">
        <v>30</v>
      </c>
      <c r="AO12" s="13" t="s">
        <v>30</v>
      </c>
      <c r="AP12" s="13" t="s">
        <v>30</v>
      </c>
      <c r="AQ12" s="13" t="s">
        <v>30</v>
      </c>
      <c r="AR12" s="13" t="s">
        <v>30</v>
      </c>
      <c r="AS12" s="13" t="s">
        <v>30</v>
      </c>
      <c r="AT12" s="13" t="s">
        <v>30</v>
      </c>
      <c r="AU12" s="13" t="s">
        <v>30</v>
      </c>
      <c r="AY12" s="13" t="s">
        <v>30</v>
      </c>
      <c r="AZ12" s="13" t="s">
        <v>30</v>
      </c>
      <c r="BA12" s="13" t="s">
        <v>30</v>
      </c>
      <c r="BB12" s="13" t="s">
        <v>30</v>
      </c>
      <c r="BC12" s="13" t="s">
        <v>30</v>
      </c>
      <c r="BD12" s="13" t="s">
        <v>30</v>
      </c>
      <c r="BE12" s="13" t="s">
        <v>30</v>
      </c>
      <c r="BF12" s="13" t="s">
        <v>30</v>
      </c>
      <c r="BG12" s="13" t="s">
        <v>30</v>
      </c>
      <c r="BH12" s="13" t="s">
        <v>30</v>
      </c>
      <c r="BI12" s="13" t="s">
        <v>30</v>
      </c>
      <c r="BJ12" s="13" t="s">
        <v>30</v>
      </c>
      <c r="BK12" s="13" t="s">
        <v>30</v>
      </c>
      <c r="BL12" s="55"/>
    </row>
    <row r="13" spans="1:64" ht="15">
      <c r="A13" s="5" t="s">
        <v>29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Q13" s="5" t="s">
        <v>29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G13" s="5" t="s">
        <v>29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W13" s="5" t="s">
        <v>29</v>
      </c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L13" s="55"/>
    </row>
    <row r="14" spans="1:64" ht="15">
      <c r="A14" s="5" t="s">
        <v>32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Q14" s="5" t="s">
        <v>32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G14" s="5" t="s">
        <v>32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W14" s="5" t="s">
        <v>32</v>
      </c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L14" s="55"/>
    </row>
    <row r="15" spans="1:64" s="17" customFormat="1" ht="15">
      <c r="A15" s="16" t="s">
        <v>160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466582</v>
      </c>
      <c r="N15" s="95">
        <v>0</v>
      </c>
      <c r="O15" s="19">
        <f>SUM(C15:N15)</f>
        <v>466582</v>
      </c>
      <c r="Q15" s="16" t="s">
        <v>167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364870</v>
      </c>
      <c r="Y15" s="95">
        <v>0</v>
      </c>
      <c r="Z15" s="95">
        <v>0</v>
      </c>
      <c r="AA15" s="95">
        <v>0</v>
      </c>
      <c r="AB15" s="95">
        <v>0</v>
      </c>
      <c r="AC15" s="93">
        <v>0</v>
      </c>
      <c r="AD15" s="93">
        <v>1512505</v>
      </c>
      <c r="AE15" s="19">
        <f>SUM(S15:AD15)</f>
        <v>1877375</v>
      </c>
      <c r="AG15" s="16" t="s">
        <v>169</v>
      </c>
      <c r="AI15" s="95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5">
        <v>0</v>
      </c>
      <c r="AS15" s="93">
        <v>0</v>
      </c>
      <c r="AT15" s="93">
        <f>AT46</f>
        <v>1958028.55</v>
      </c>
      <c r="AU15" s="19">
        <f>SUM(AI15:AT15)</f>
        <v>1958028.55</v>
      </c>
      <c r="AW15" s="16" t="s">
        <v>171</v>
      </c>
      <c r="AY15" s="95">
        <v>0</v>
      </c>
      <c r="AZ15" s="93">
        <v>0</v>
      </c>
      <c r="BA15" s="93">
        <v>0</v>
      </c>
      <c r="BB15" s="93">
        <v>0</v>
      </c>
      <c r="BC15" s="93">
        <v>0</v>
      </c>
      <c r="BD15" s="93">
        <v>0</v>
      </c>
      <c r="BE15" s="93">
        <v>0</v>
      </c>
      <c r="BF15" s="93">
        <v>0</v>
      </c>
      <c r="BG15" s="93">
        <v>0</v>
      </c>
      <c r="BH15" s="95">
        <v>0</v>
      </c>
      <c r="BI15" s="93">
        <v>0</v>
      </c>
      <c r="BJ15" s="93">
        <f>BJ46</f>
        <v>1748484</v>
      </c>
      <c r="BK15" s="19">
        <f>SUM(AY15:BJ15)</f>
        <v>1748484</v>
      </c>
      <c r="BL15" s="55"/>
    </row>
    <row r="16" spans="1:64" s="17" customFormat="1" ht="15">
      <c r="A16" s="16" t="s">
        <v>161</v>
      </c>
      <c r="C16" s="95">
        <v>0</v>
      </c>
      <c r="D16" s="95">
        <v>0</v>
      </c>
      <c r="E16" s="95">
        <v>654532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19">
        <f>SUM(C16:N16)</f>
        <v>654532</v>
      </c>
      <c r="Q16" s="16" t="s">
        <v>168</v>
      </c>
      <c r="S16" s="95">
        <v>405823</v>
      </c>
      <c r="T16" s="95">
        <v>0</v>
      </c>
      <c r="U16" s="95">
        <v>0</v>
      </c>
      <c r="V16" s="95">
        <v>0</v>
      </c>
      <c r="W16" s="95">
        <v>0</v>
      </c>
      <c r="X16" s="95">
        <v>244666</v>
      </c>
      <c r="Y16" s="95">
        <v>0</v>
      </c>
      <c r="Z16" s="95">
        <v>0</v>
      </c>
      <c r="AA16" s="95">
        <v>0</v>
      </c>
      <c r="AB16" s="95">
        <v>0</v>
      </c>
      <c r="AC16" s="93">
        <v>0</v>
      </c>
      <c r="AD16" s="95">
        <v>0</v>
      </c>
      <c r="AE16" s="19">
        <f>SUM(S16:AD16)</f>
        <v>650489</v>
      </c>
      <c r="AG16" s="16" t="s">
        <v>170</v>
      </c>
      <c r="AI16" s="95">
        <v>0</v>
      </c>
      <c r="AJ16" s="93">
        <v>0</v>
      </c>
      <c r="AK16" s="95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5">
        <v>0</v>
      </c>
      <c r="AU16" s="19">
        <f>SUM(AI16:AT16)</f>
        <v>0</v>
      </c>
      <c r="AW16" s="16" t="s">
        <v>172</v>
      </c>
      <c r="AY16" s="95">
        <v>0</v>
      </c>
      <c r="AZ16" s="93">
        <v>0</v>
      </c>
      <c r="BA16" s="95">
        <v>0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93">
        <v>0</v>
      </c>
      <c r="BI16" s="93">
        <v>0</v>
      </c>
      <c r="BJ16" s="95">
        <v>0</v>
      </c>
      <c r="BK16" s="19">
        <f>SUM(AY16:BJ16)</f>
        <v>0</v>
      </c>
      <c r="BL16" s="55"/>
    </row>
    <row r="17" spans="1:64" s="17" customFormat="1" ht="15">
      <c r="A17" s="16" t="s">
        <v>39</v>
      </c>
      <c r="C17" s="95">
        <v>422931</v>
      </c>
      <c r="D17" s="95">
        <v>26</v>
      </c>
      <c r="E17" s="95">
        <v>93</v>
      </c>
      <c r="F17" s="95">
        <v>26</v>
      </c>
      <c r="G17" s="95">
        <v>25</v>
      </c>
      <c r="H17" s="95">
        <v>28</v>
      </c>
      <c r="I17" s="95">
        <v>226955</v>
      </c>
      <c r="J17" s="95">
        <v>3</v>
      </c>
      <c r="K17" s="95">
        <v>32770</v>
      </c>
      <c r="L17" s="95">
        <v>47579</v>
      </c>
      <c r="M17" s="95">
        <v>3</v>
      </c>
      <c r="N17" s="95">
        <v>52852</v>
      </c>
      <c r="O17" s="19">
        <f>SUM(C17:N17)</f>
        <v>783291</v>
      </c>
      <c r="Q17" s="16" t="s">
        <v>39</v>
      </c>
      <c r="S17" s="95">
        <v>226947</v>
      </c>
      <c r="T17" s="95">
        <v>195814</v>
      </c>
      <c r="U17" s="95">
        <v>2</v>
      </c>
      <c r="V17" s="95">
        <v>2</v>
      </c>
      <c r="W17" s="95">
        <v>2</v>
      </c>
      <c r="X17" s="95">
        <v>2</v>
      </c>
      <c r="Y17" s="95">
        <v>226364</v>
      </c>
      <c r="Z17" s="95">
        <v>47392</v>
      </c>
      <c r="AA17" s="95">
        <v>3</v>
      </c>
      <c r="AB17" s="95">
        <f>3+28659</f>
        <v>28662</v>
      </c>
      <c r="AC17" s="93">
        <v>2</v>
      </c>
      <c r="AD17" s="93">
        <v>42602</v>
      </c>
      <c r="AE17" s="19">
        <f>SUM(S17:AD17)</f>
        <v>767794</v>
      </c>
      <c r="AG17" s="16" t="s">
        <v>39</v>
      </c>
      <c r="AI17" s="93">
        <v>225000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55773</v>
      </c>
      <c r="AP17" s="93">
        <v>0</v>
      </c>
      <c r="AQ17" s="93">
        <v>0</v>
      </c>
      <c r="AR17" s="93">
        <v>0</v>
      </c>
      <c r="AS17" s="93">
        <v>0</v>
      </c>
      <c r="AT17" s="93">
        <v>523637</v>
      </c>
      <c r="AU17" s="19">
        <f>SUM(AI17:AT17)</f>
        <v>804410</v>
      </c>
      <c r="AW17" s="16" t="s">
        <v>39</v>
      </c>
      <c r="AY17" s="93">
        <v>225000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f>225000+195728+47189</f>
        <v>467917</v>
      </c>
      <c r="BF17" s="93">
        <v>0</v>
      </c>
      <c r="BG17" s="93">
        <v>0</v>
      </c>
      <c r="BH17" s="93">
        <v>0</v>
      </c>
      <c r="BI17" s="93">
        <v>0</v>
      </c>
      <c r="BJ17" s="93">
        <v>59014</v>
      </c>
      <c r="BK17" s="19">
        <f>SUM(AY17:BJ17)</f>
        <v>751931</v>
      </c>
      <c r="BL17" s="55"/>
    </row>
    <row r="18" spans="1:64" s="17" customFormat="1" ht="15">
      <c r="A18" s="16" t="s">
        <v>37</v>
      </c>
      <c r="C18" s="95">
        <v>125000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19">
        <f>SUM(C18:N18)</f>
        <v>125000</v>
      </c>
      <c r="Q18" s="16" t="s">
        <v>181</v>
      </c>
      <c r="S18" s="95">
        <v>70894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3">
        <v>0</v>
      </c>
      <c r="AD18" s="93">
        <v>0</v>
      </c>
      <c r="AE18" s="19">
        <f>SUM(S18:AD18)</f>
        <v>70894</v>
      </c>
      <c r="AG18" s="16" t="s">
        <v>37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19">
        <f>SUM(AI18:AT18)</f>
        <v>0</v>
      </c>
      <c r="AW18" s="16" t="s">
        <v>37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0</v>
      </c>
      <c r="BJ18" s="93">
        <v>0</v>
      </c>
      <c r="BK18" s="19">
        <f>SUM(AY18:BJ18)</f>
        <v>0</v>
      </c>
      <c r="BL18" s="55"/>
    </row>
    <row r="19" spans="1:64" s="17" customFormat="1" ht="15">
      <c r="A19" s="3"/>
      <c r="B19" s="3"/>
      <c r="C19" s="88" t="s">
        <v>30</v>
      </c>
      <c r="D19" s="88" t="s">
        <v>30</v>
      </c>
      <c r="E19" s="88" t="s">
        <v>30</v>
      </c>
      <c r="F19" s="88" t="s">
        <v>30</v>
      </c>
      <c r="G19" s="88" t="s">
        <v>30</v>
      </c>
      <c r="H19" s="88" t="s">
        <v>30</v>
      </c>
      <c r="I19" s="88" t="s">
        <v>30</v>
      </c>
      <c r="J19" s="88" t="s">
        <v>30</v>
      </c>
      <c r="K19" s="88" t="s">
        <v>30</v>
      </c>
      <c r="L19" s="88" t="s">
        <v>30</v>
      </c>
      <c r="M19" s="88" t="s">
        <v>30</v>
      </c>
      <c r="N19" s="88" t="s">
        <v>30</v>
      </c>
      <c r="O19" s="13" t="s">
        <v>30</v>
      </c>
      <c r="Q19" s="16" t="s">
        <v>37</v>
      </c>
      <c r="S19" s="95">
        <v>1317000</v>
      </c>
      <c r="T19" s="95">
        <v>0</v>
      </c>
      <c r="U19" s="95">
        <v>0</v>
      </c>
      <c r="V19" s="95">
        <v>0</v>
      </c>
      <c r="W19" s="95">
        <v>0</v>
      </c>
      <c r="X19" s="95">
        <v>495000</v>
      </c>
      <c r="Y19" s="95">
        <v>0</v>
      </c>
      <c r="Z19" s="95">
        <v>0</v>
      </c>
      <c r="AA19" s="95">
        <v>0</v>
      </c>
      <c r="AB19" s="95">
        <v>0</v>
      </c>
      <c r="AC19" s="93">
        <v>0</v>
      </c>
      <c r="AD19" s="93">
        <v>0</v>
      </c>
      <c r="AE19" s="19">
        <f>SUM(S19:AD19)</f>
        <v>1812000</v>
      </c>
      <c r="AG19" s="3"/>
      <c r="AH19" s="3"/>
      <c r="AI19" s="88" t="s">
        <v>30</v>
      </c>
      <c r="AJ19" s="88" t="s">
        <v>30</v>
      </c>
      <c r="AK19" s="88" t="s">
        <v>30</v>
      </c>
      <c r="AL19" s="88" t="s">
        <v>30</v>
      </c>
      <c r="AM19" s="88" t="s">
        <v>30</v>
      </c>
      <c r="AN19" s="88" t="s">
        <v>30</v>
      </c>
      <c r="AO19" s="88" t="s">
        <v>30</v>
      </c>
      <c r="AP19" s="88" t="s">
        <v>30</v>
      </c>
      <c r="AQ19" s="88" t="s">
        <v>30</v>
      </c>
      <c r="AR19" s="88" t="s">
        <v>30</v>
      </c>
      <c r="AS19" s="88" t="s">
        <v>30</v>
      </c>
      <c r="AT19" s="88" t="s">
        <v>30</v>
      </c>
      <c r="AU19" s="13" t="s">
        <v>30</v>
      </c>
      <c r="AW19" s="3"/>
      <c r="AX19" s="3"/>
      <c r="AY19" s="88" t="s">
        <v>30</v>
      </c>
      <c r="AZ19" s="88" t="s">
        <v>30</v>
      </c>
      <c r="BA19" s="88" t="s">
        <v>30</v>
      </c>
      <c r="BB19" s="88" t="s">
        <v>30</v>
      </c>
      <c r="BC19" s="88" t="s">
        <v>30</v>
      </c>
      <c r="BD19" s="88" t="s">
        <v>30</v>
      </c>
      <c r="BE19" s="88" t="s">
        <v>30</v>
      </c>
      <c r="BF19" s="88" t="s">
        <v>30</v>
      </c>
      <c r="BG19" s="88" t="s">
        <v>30</v>
      </c>
      <c r="BH19" s="88" t="s">
        <v>30</v>
      </c>
      <c r="BI19" s="88" t="s">
        <v>30</v>
      </c>
      <c r="BJ19" s="88" t="s">
        <v>30</v>
      </c>
      <c r="BK19" s="13" t="s">
        <v>30</v>
      </c>
      <c r="BL19" s="55"/>
    </row>
    <row r="20" spans="1:64" s="17" customFormat="1" ht="15">
      <c r="A20" s="3"/>
      <c r="B20" s="3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13"/>
      <c r="Q20" s="3"/>
      <c r="R20" s="3"/>
      <c r="S20" s="88" t="s">
        <v>30</v>
      </c>
      <c r="T20" s="88" t="s">
        <v>30</v>
      </c>
      <c r="U20" s="88" t="s">
        <v>30</v>
      </c>
      <c r="V20" s="88" t="s">
        <v>30</v>
      </c>
      <c r="W20" s="88" t="s">
        <v>30</v>
      </c>
      <c r="X20" s="88" t="s">
        <v>30</v>
      </c>
      <c r="Y20" s="88" t="s">
        <v>30</v>
      </c>
      <c r="Z20" s="88" t="s">
        <v>30</v>
      </c>
      <c r="AA20" s="88" t="s">
        <v>30</v>
      </c>
      <c r="AB20" s="88" t="s">
        <v>30</v>
      </c>
      <c r="AC20" s="88" t="s">
        <v>30</v>
      </c>
      <c r="AD20" s="88" t="s">
        <v>30</v>
      </c>
      <c r="AE20" s="13" t="s">
        <v>30</v>
      </c>
      <c r="AG20" s="3"/>
      <c r="AH20" s="3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13"/>
      <c r="AW20" s="3"/>
      <c r="AX20" s="3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13"/>
      <c r="BL20" s="55"/>
    </row>
    <row r="21" spans="1:64" s="17" customFormat="1" ht="15">
      <c r="A21" s="16" t="s">
        <v>43</v>
      </c>
      <c r="C21" s="19">
        <f aca="true" t="shared" si="4" ref="C21:O21">SUM(C15:C18)</f>
        <v>547931</v>
      </c>
      <c r="D21" s="19">
        <f t="shared" si="4"/>
        <v>26</v>
      </c>
      <c r="E21" s="19">
        <f t="shared" si="4"/>
        <v>654625</v>
      </c>
      <c r="F21" s="19">
        <f t="shared" si="4"/>
        <v>26</v>
      </c>
      <c r="G21" s="19">
        <f t="shared" si="4"/>
        <v>25</v>
      </c>
      <c r="H21" s="19">
        <f t="shared" si="4"/>
        <v>28</v>
      </c>
      <c r="I21" s="19">
        <f t="shared" si="4"/>
        <v>226955</v>
      </c>
      <c r="J21" s="19">
        <f t="shared" si="4"/>
        <v>3</v>
      </c>
      <c r="K21" s="19">
        <f t="shared" si="4"/>
        <v>32770</v>
      </c>
      <c r="L21" s="19">
        <f t="shared" si="4"/>
        <v>47579</v>
      </c>
      <c r="M21" s="19">
        <f t="shared" si="4"/>
        <v>466585</v>
      </c>
      <c r="N21" s="19">
        <f t="shared" si="4"/>
        <v>52852</v>
      </c>
      <c r="O21" s="19">
        <f t="shared" si="4"/>
        <v>2029405</v>
      </c>
      <c r="Q21" s="3"/>
      <c r="R21" s="3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13"/>
      <c r="AG21" s="16" t="s">
        <v>43</v>
      </c>
      <c r="AI21" s="19">
        <f aca="true" t="shared" si="5" ref="AI21:AU21">SUM(AI15:AI18)</f>
        <v>225000</v>
      </c>
      <c r="AJ21" s="19">
        <f t="shared" si="5"/>
        <v>0</v>
      </c>
      <c r="AK21" s="19">
        <f t="shared" si="5"/>
        <v>0</v>
      </c>
      <c r="AL21" s="19">
        <f t="shared" si="5"/>
        <v>0</v>
      </c>
      <c r="AM21" s="19">
        <f t="shared" si="5"/>
        <v>0</v>
      </c>
      <c r="AN21" s="19">
        <f t="shared" si="5"/>
        <v>0</v>
      </c>
      <c r="AO21" s="19">
        <f t="shared" si="5"/>
        <v>55773</v>
      </c>
      <c r="AP21" s="19">
        <f t="shared" si="5"/>
        <v>0</v>
      </c>
      <c r="AQ21" s="19">
        <f t="shared" si="5"/>
        <v>0</v>
      </c>
      <c r="AR21" s="19">
        <f t="shared" si="5"/>
        <v>0</v>
      </c>
      <c r="AS21" s="19">
        <f t="shared" si="5"/>
        <v>0</v>
      </c>
      <c r="AT21" s="19">
        <f t="shared" si="5"/>
        <v>2481665.55</v>
      </c>
      <c r="AU21" s="19">
        <f t="shared" si="5"/>
        <v>2762438.55</v>
      </c>
      <c r="AW21" s="16" t="s">
        <v>43</v>
      </c>
      <c r="AY21" s="19">
        <f aca="true" t="shared" si="6" ref="AY21:BK21">SUM(AY15:AY18)</f>
        <v>225000</v>
      </c>
      <c r="AZ21" s="19">
        <f t="shared" si="6"/>
        <v>0</v>
      </c>
      <c r="BA21" s="19">
        <f t="shared" si="6"/>
        <v>0</v>
      </c>
      <c r="BB21" s="19">
        <f t="shared" si="6"/>
        <v>0</v>
      </c>
      <c r="BC21" s="19">
        <f t="shared" si="6"/>
        <v>0</v>
      </c>
      <c r="BD21" s="19">
        <f t="shared" si="6"/>
        <v>0</v>
      </c>
      <c r="BE21" s="19">
        <f t="shared" si="6"/>
        <v>467917</v>
      </c>
      <c r="BF21" s="19">
        <f t="shared" si="6"/>
        <v>0</v>
      </c>
      <c r="BG21" s="19">
        <f t="shared" si="6"/>
        <v>0</v>
      </c>
      <c r="BH21" s="19">
        <f t="shared" si="6"/>
        <v>0</v>
      </c>
      <c r="BI21" s="19">
        <f t="shared" si="6"/>
        <v>0</v>
      </c>
      <c r="BJ21" s="19">
        <f t="shared" si="6"/>
        <v>1807498</v>
      </c>
      <c r="BK21" s="19">
        <f t="shared" si="6"/>
        <v>2500415</v>
      </c>
      <c r="BL21" s="55"/>
    </row>
    <row r="22" spans="1:64" s="17" customFormat="1" ht="15">
      <c r="A22" s="3"/>
      <c r="B22" s="3"/>
      <c r="C22" s="88" t="s">
        <v>30</v>
      </c>
      <c r="D22" s="88" t="s">
        <v>30</v>
      </c>
      <c r="E22" s="88" t="s">
        <v>30</v>
      </c>
      <c r="F22" s="88" t="s">
        <v>30</v>
      </c>
      <c r="G22" s="88" t="s">
        <v>30</v>
      </c>
      <c r="H22" s="88" t="s">
        <v>30</v>
      </c>
      <c r="I22" s="88" t="s">
        <v>30</v>
      </c>
      <c r="J22" s="88" t="s">
        <v>30</v>
      </c>
      <c r="K22" s="88" t="s">
        <v>30</v>
      </c>
      <c r="L22" s="88" t="s">
        <v>30</v>
      </c>
      <c r="M22" s="88" t="s">
        <v>30</v>
      </c>
      <c r="N22" s="88" t="s">
        <v>30</v>
      </c>
      <c r="O22" s="13" t="s">
        <v>30</v>
      </c>
      <c r="Q22" s="16" t="s">
        <v>43</v>
      </c>
      <c r="S22" s="19">
        <f aca="true" t="shared" si="7" ref="S22:AE22">SUM(S15:S19)</f>
        <v>2020664</v>
      </c>
      <c r="T22" s="19">
        <f t="shared" si="7"/>
        <v>195814</v>
      </c>
      <c r="U22" s="19">
        <f t="shared" si="7"/>
        <v>2</v>
      </c>
      <c r="V22" s="19">
        <f t="shared" si="7"/>
        <v>2</v>
      </c>
      <c r="W22" s="19">
        <f t="shared" si="7"/>
        <v>2</v>
      </c>
      <c r="X22" s="19">
        <f t="shared" si="7"/>
        <v>1104538</v>
      </c>
      <c r="Y22" s="19">
        <f t="shared" si="7"/>
        <v>226364</v>
      </c>
      <c r="Z22" s="19">
        <f t="shared" si="7"/>
        <v>47392</v>
      </c>
      <c r="AA22" s="19">
        <f t="shared" si="7"/>
        <v>3</v>
      </c>
      <c r="AB22" s="19">
        <f t="shared" si="7"/>
        <v>28662</v>
      </c>
      <c r="AC22" s="19">
        <f t="shared" si="7"/>
        <v>2</v>
      </c>
      <c r="AD22" s="19">
        <f t="shared" si="7"/>
        <v>1555107</v>
      </c>
      <c r="AE22" s="19">
        <f t="shared" si="7"/>
        <v>5178552</v>
      </c>
      <c r="AG22" s="3"/>
      <c r="AH22" s="3"/>
      <c r="AI22" s="88" t="s">
        <v>30</v>
      </c>
      <c r="AJ22" s="88" t="s">
        <v>30</v>
      </c>
      <c r="AK22" s="88" t="s">
        <v>30</v>
      </c>
      <c r="AL22" s="88" t="s">
        <v>30</v>
      </c>
      <c r="AM22" s="88" t="s">
        <v>30</v>
      </c>
      <c r="AN22" s="88" t="s">
        <v>30</v>
      </c>
      <c r="AO22" s="88" t="s">
        <v>30</v>
      </c>
      <c r="AP22" s="88" t="s">
        <v>30</v>
      </c>
      <c r="AQ22" s="88" t="s">
        <v>30</v>
      </c>
      <c r="AR22" s="88" t="s">
        <v>30</v>
      </c>
      <c r="AS22" s="88" t="s">
        <v>30</v>
      </c>
      <c r="AT22" s="88" t="s">
        <v>30</v>
      </c>
      <c r="AU22" s="13" t="s">
        <v>30</v>
      </c>
      <c r="AW22" s="3"/>
      <c r="AX22" s="3"/>
      <c r="AY22" s="88" t="s">
        <v>30</v>
      </c>
      <c r="AZ22" s="88" t="s">
        <v>30</v>
      </c>
      <c r="BA22" s="88" t="s">
        <v>30</v>
      </c>
      <c r="BB22" s="88" t="s">
        <v>30</v>
      </c>
      <c r="BC22" s="88" t="s">
        <v>30</v>
      </c>
      <c r="BD22" s="88" t="s">
        <v>30</v>
      </c>
      <c r="BE22" s="88" t="s">
        <v>30</v>
      </c>
      <c r="BF22" s="88" t="s">
        <v>30</v>
      </c>
      <c r="BG22" s="88" t="s">
        <v>30</v>
      </c>
      <c r="BH22" s="88" t="s">
        <v>30</v>
      </c>
      <c r="BI22" s="88" t="s">
        <v>30</v>
      </c>
      <c r="BJ22" s="88" t="s">
        <v>30</v>
      </c>
      <c r="BK22" s="13" t="s">
        <v>30</v>
      </c>
      <c r="BL22" s="55"/>
    </row>
    <row r="23" spans="3:64" ht="1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P23" s="17"/>
      <c r="S23" s="88" t="s">
        <v>30</v>
      </c>
      <c r="T23" s="88" t="s">
        <v>30</v>
      </c>
      <c r="U23" s="88" t="s">
        <v>30</v>
      </c>
      <c r="V23" s="88" t="s">
        <v>30</v>
      </c>
      <c r="W23" s="88" t="s">
        <v>30</v>
      </c>
      <c r="X23" s="88" t="s">
        <v>30</v>
      </c>
      <c r="Y23" s="88" t="s">
        <v>30</v>
      </c>
      <c r="Z23" s="88" t="s">
        <v>30</v>
      </c>
      <c r="AA23" s="88" t="s">
        <v>30</v>
      </c>
      <c r="AB23" s="88" t="s">
        <v>30</v>
      </c>
      <c r="AC23" s="88" t="s">
        <v>30</v>
      </c>
      <c r="AD23" s="88" t="s">
        <v>30</v>
      </c>
      <c r="AE23" s="13" t="s">
        <v>30</v>
      </c>
      <c r="AF23" s="17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L23" s="55"/>
    </row>
    <row r="24" spans="1:64" ht="15">
      <c r="A24" s="5" t="s">
        <v>44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F24" s="17"/>
      <c r="AG24" s="5" t="s">
        <v>44</v>
      </c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W24" s="5" t="s">
        <v>44</v>
      </c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L24" s="55"/>
    </row>
    <row r="25" spans="1:64" s="17" customFormat="1" ht="15">
      <c r="A25" s="16" t="s">
        <v>151</v>
      </c>
      <c r="C25" s="95">
        <f>935000+1180000</f>
        <v>2115000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19">
        <f>SUM(C25:N25)</f>
        <v>2115000</v>
      </c>
      <c r="P25" s="3"/>
      <c r="Q25" s="5" t="s">
        <v>44</v>
      </c>
      <c r="R25" s="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3"/>
      <c r="AF25" s="3"/>
      <c r="AG25" s="16" t="s">
        <v>151</v>
      </c>
      <c r="AI25" s="93">
        <f>1012000+1260000</f>
        <v>2272000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19">
        <f>SUM(AI25:AT25)</f>
        <v>2272000</v>
      </c>
      <c r="AW25" s="16" t="s">
        <v>151</v>
      </c>
      <c r="AY25" s="93">
        <f>1052000+1310000</f>
        <v>2362000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19">
        <f>SUM(AY25:BJ25)</f>
        <v>2362000</v>
      </c>
      <c r="BL25" s="55"/>
    </row>
    <row r="26" spans="1:64" ht="15">
      <c r="A26" s="16" t="s">
        <v>152</v>
      </c>
      <c r="B26" s="17"/>
      <c r="C26" s="95">
        <f>101320+137138</f>
        <v>238458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f>82620+117962+1</f>
        <v>200583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19">
        <f>SUM(C26:N26)</f>
        <v>439041</v>
      </c>
      <c r="P26" s="17"/>
      <c r="Q26" s="16" t="s">
        <v>151</v>
      </c>
      <c r="R26" s="17"/>
      <c r="S26" s="93">
        <f>973000+1215000</f>
        <v>2188000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19">
        <f>SUM(S26:AD26)</f>
        <v>2188000</v>
      </c>
      <c r="AG26" s="16" t="s">
        <v>152</v>
      </c>
      <c r="AH26" s="17"/>
      <c r="AI26" s="93">
        <f>63160+90625</f>
        <v>153785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f>42920+67000</f>
        <v>109920</v>
      </c>
      <c r="AP26" s="93">
        <v>0</v>
      </c>
      <c r="AQ26" s="93">
        <v>0</v>
      </c>
      <c r="AR26" s="93">
        <v>0</v>
      </c>
      <c r="AS26" s="93">
        <v>0</v>
      </c>
      <c r="AT26" s="93">
        <v>0</v>
      </c>
      <c r="AU26" s="19">
        <f>SUM(AI26:AT26)</f>
        <v>263705</v>
      </c>
      <c r="AW26" s="16" t="s">
        <v>152</v>
      </c>
      <c r="AX26" s="17"/>
      <c r="AY26" s="93">
        <f>42920+67000</f>
        <v>109920</v>
      </c>
      <c r="AZ26" s="93">
        <v>0</v>
      </c>
      <c r="BA26" s="93">
        <v>0</v>
      </c>
      <c r="BB26" s="93">
        <v>0</v>
      </c>
      <c r="BC26" s="93">
        <v>0</v>
      </c>
      <c r="BD26" s="93">
        <v>0</v>
      </c>
      <c r="BE26" s="93">
        <f>21880+34250</f>
        <v>56130</v>
      </c>
      <c r="BF26" s="93">
        <v>0</v>
      </c>
      <c r="BG26" s="93">
        <v>0</v>
      </c>
      <c r="BH26" s="93">
        <v>0</v>
      </c>
      <c r="BI26" s="93">
        <v>0</v>
      </c>
      <c r="BJ26" s="93">
        <v>0</v>
      </c>
      <c r="BK26" s="19">
        <f>SUM(AY26:BJ26)</f>
        <v>166050</v>
      </c>
      <c r="BL26" s="55"/>
    </row>
    <row r="27" spans="1:64" ht="15">
      <c r="A27" s="16" t="s">
        <v>177</v>
      </c>
      <c r="B27" s="17"/>
      <c r="C27" s="95">
        <v>33717</v>
      </c>
      <c r="D27" s="95">
        <v>0</v>
      </c>
      <c r="E27" s="95">
        <v>643661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19">
        <f>SUM(C27:N27)</f>
        <v>677378</v>
      </c>
      <c r="Q27" s="16" t="s">
        <v>152</v>
      </c>
      <c r="R27" s="17"/>
      <c r="S27" s="93">
        <f>82620+117963</f>
        <v>200583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f>63160+90625</f>
        <v>153785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19">
        <f>SUM(S27:AD27)</f>
        <v>354368</v>
      </c>
      <c r="AF27" s="17"/>
      <c r="AG27" s="16" t="s">
        <v>47</v>
      </c>
      <c r="AH27" s="17"/>
      <c r="AI27" s="93">
        <v>2500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2500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19">
        <f>SUM(AI27:AT27)</f>
        <v>5000</v>
      </c>
      <c r="AW27" s="16" t="s">
        <v>47</v>
      </c>
      <c r="AX27" s="17"/>
      <c r="AY27" s="93">
        <v>2500</v>
      </c>
      <c r="AZ27" s="93">
        <v>0</v>
      </c>
      <c r="BA27" s="93">
        <v>0</v>
      </c>
      <c r="BB27" s="93">
        <v>0</v>
      </c>
      <c r="BC27" s="93">
        <v>0</v>
      </c>
      <c r="BD27" s="93">
        <v>0</v>
      </c>
      <c r="BE27" s="93">
        <v>2500</v>
      </c>
      <c r="BF27" s="93">
        <v>0</v>
      </c>
      <c r="BG27" s="93">
        <v>0</v>
      </c>
      <c r="BH27" s="93">
        <v>0</v>
      </c>
      <c r="BI27" s="93">
        <v>0</v>
      </c>
      <c r="BJ27" s="93">
        <v>0</v>
      </c>
      <c r="BK27" s="19">
        <f>SUM(AY27:BJ27)</f>
        <v>5000</v>
      </c>
      <c r="BL27" s="55"/>
    </row>
    <row r="28" spans="1:64" ht="15">
      <c r="A28" s="16" t="s">
        <v>47</v>
      </c>
      <c r="B28" s="17"/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600</v>
      </c>
      <c r="I28" s="95">
        <v>0</v>
      </c>
      <c r="J28" s="95">
        <v>15</v>
      </c>
      <c r="K28" s="95">
        <v>14</v>
      </c>
      <c r="L28" s="95">
        <v>0</v>
      </c>
      <c r="M28" s="95">
        <v>0</v>
      </c>
      <c r="N28" s="95">
        <v>0</v>
      </c>
      <c r="O28" s="19">
        <f>SUM(C28:N28)</f>
        <v>629</v>
      </c>
      <c r="Q28" s="16" t="s">
        <v>47</v>
      </c>
      <c r="R28" s="17"/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600</v>
      </c>
      <c r="Z28" s="93">
        <v>0</v>
      </c>
      <c r="AA28" s="93">
        <v>0</v>
      </c>
      <c r="AB28" s="93">
        <v>0</v>
      </c>
      <c r="AC28" s="93">
        <v>0</v>
      </c>
      <c r="AD28" s="93">
        <v>4400</v>
      </c>
      <c r="AE28" s="19">
        <f>SUM(S28:AD28)</f>
        <v>5000</v>
      </c>
      <c r="AG28" s="16" t="s">
        <v>37</v>
      </c>
      <c r="AH28" s="17"/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19">
        <f>SUM(AI28:AT28)</f>
        <v>0</v>
      </c>
      <c r="AW28" s="16" t="s">
        <v>37</v>
      </c>
      <c r="AX28" s="17"/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19">
        <f>SUM(AY28:BJ28)</f>
        <v>0</v>
      </c>
      <c r="BL28" s="55"/>
    </row>
    <row r="29" spans="1:64" s="17" customFormat="1" ht="15">
      <c r="A29" s="16" t="s">
        <v>37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325000</v>
      </c>
      <c r="O29" s="19">
        <f>SUM(C29:N29)</f>
        <v>325000</v>
      </c>
      <c r="P29" s="3"/>
      <c r="Q29" s="16" t="s">
        <v>181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70894</v>
      </c>
      <c r="AE29" s="19">
        <f>SUM(S29:AD29)</f>
        <v>70894</v>
      </c>
      <c r="AF29" s="3"/>
      <c r="AG29" s="3"/>
      <c r="AH29" s="3"/>
      <c r="AI29" s="88" t="s">
        <v>30</v>
      </c>
      <c r="AJ29" s="88" t="s">
        <v>30</v>
      </c>
      <c r="AK29" s="88" t="s">
        <v>30</v>
      </c>
      <c r="AL29" s="88" t="s">
        <v>30</v>
      </c>
      <c r="AM29" s="88" t="s">
        <v>30</v>
      </c>
      <c r="AN29" s="88" t="s">
        <v>30</v>
      </c>
      <c r="AO29" s="88" t="s">
        <v>30</v>
      </c>
      <c r="AP29" s="88" t="s">
        <v>30</v>
      </c>
      <c r="AQ29" s="88" t="s">
        <v>30</v>
      </c>
      <c r="AR29" s="88" t="s">
        <v>30</v>
      </c>
      <c r="AS29" s="88" t="s">
        <v>30</v>
      </c>
      <c r="AT29" s="88" t="s">
        <v>30</v>
      </c>
      <c r="AU29" s="13" t="s">
        <v>30</v>
      </c>
      <c r="AW29" s="3"/>
      <c r="AX29" s="3"/>
      <c r="AY29" s="88" t="s">
        <v>30</v>
      </c>
      <c r="AZ29" s="88" t="s">
        <v>30</v>
      </c>
      <c r="BA29" s="88" t="s">
        <v>30</v>
      </c>
      <c r="BB29" s="88" t="s">
        <v>30</v>
      </c>
      <c r="BC29" s="88" t="s">
        <v>30</v>
      </c>
      <c r="BD29" s="88" t="s">
        <v>30</v>
      </c>
      <c r="BE29" s="88" t="s">
        <v>30</v>
      </c>
      <c r="BF29" s="88" t="s">
        <v>30</v>
      </c>
      <c r="BG29" s="88" t="s">
        <v>30</v>
      </c>
      <c r="BH29" s="88" t="s">
        <v>30</v>
      </c>
      <c r="BI29" s="88" t="s">
        <v>30</v>
      </c>
      <c r="BJ29" s="88" t="s">
        <v>30</v>
      </c>
      <c r="BK29" s="13" t="s">
        <v>30</v>
      </c>
      <c r="BL29" s="55"/>
    </row>
    <row r="30" spans="1:64" s="17" customFormat="1" ht="15">
      <c r="A30" s="3"/>
      <c r="B30" s="3"/>
      <c r="C30" s="88" t="s">
        <v>30</v>
      </c>
      <c r="D30" s="88" t="s">
        <v>30</v>
      </c>
      <c r="E30" s="88" t="s">
        <v>30</v>
      </c>
      <c r="F30" s="88" t="s">
        <v>30</v>
      </c>
      <c r="G30" s="88" t="s">
        <v>30</v>
      </c>
      <c r="H30" s="88" t="s">
        <v>30</v>
      </c>
      <c r="I30" s="88" t="s">
        <v>30</v>
      </c>
      <c r="J30" s="88" t="s">
        <v>30</v>
      </c>
      <c r="K30" s="88" t="s">
        <v>30</v>
      </c>
      <c r="L30" s="88" t="s">
        <v>30</v>
      </c>
      <c r="M30" s="88" t="s">
        <v>30</v>
      </c>
      <c r="N30" s="88" t="s">
        <v>30</v>
      </c>
      <c r="O30" s="13" t="s">
        <v>30</v>
      </c>
      <c r="Q30" s="16" t="s">
        <v>37</v>
      </c>
      <c r="S30" s="93">
        <v>0</v>
      </c>
      <c r="T30" s="93">
        <v>170000</v>
      </c>
      <c r="U30" s="93">
        <v>0</v>
      </c>
      <c r="V30" s="93">
        <v>0</v>
      </c>
      <c r="W30" s="93">
        <v>0</v>
      </c>
      <c r="X30" s="93">
        <v>395000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1047000</v>
      </c>
      <c r="AE30" s="19">
        <f>SUM(S30:AD30)</f>
        <v>1612000</v>
      </c>
      <c r="AF30" s="3"/>
      <c r="AG30" s="16" t="s">
        <v>49</v>
      </c>
      <c r="AI30" s="19">
        <f aca="true" t="shared" si="8" ref="AI30:AU30">SUM(AI25:AI28)</f>
        <v>2428285</v>
      </c>
      <c r="AJ30" s="19">
        <f t="shared" si="8"/>
        <v>0</v>
      </c>
      <c r="AK30" s="19">
        <f t="shared" si="8"/>
        <v>0</v>
      </c>
      <c r="AL30" s="19">
        <f t="shared" si="8"/>
        <v>0</v>
      </c>
      <c r="AM30" s="19">
        <f t="shared" si="8"/>
        <v>0</v>
      </c>
      <c r="AN30" s="19">
        <f t="shared" si="8"/>
        <v>0</v>
      </c>
      <c r="AO30" s="19">
        <f t="shared" si="8"/>
        <v>112420</v>
      </c>
      <c r="AP30" s="19">
        <f t="shared" si="8"/>
        <v>0</v>
      </c>
      <c r="AQ30" s="19">
        <f t="shared" si="8"/>
        <v>0</v>
      </c>
      <c r="AR30" s="19">
        <f t="shared" si="8"/>
        <v>0</v>
      </c>
      <c r="AS30" s="19">
        <f t="shared" si="8"/>
        <v>0</v>
      </c>
      <c r="AT30" s="19">
        <f t="shared" si="8"/>
        <v>0</v>
      </c>
      <c r="AU30" s="19">
        <f t="shared" si="8"/>
        <v>2540705</v>
      </c>
      <c r="AW30" s="16" t="s">
        <v>49</v>
      </c>
      <c r="AY30" s="19">
        <f aca="true" t="shared" si="9" ref="AY30:BK30">SUM(AY25:AY28)</f>
        <v>2474420</v>
      </c>
      <c r="AZ30" s="19">
        <f t="shared" si="9"/>
        <v>0</v>
      </c>
      <c r="BA30" s="19">
        <f t="shared" si="9"/>
        <v>0</v>
      </c>
      <c r="BB30" s="19">
        <f t="shared" si="9"/>
        <v>0</v>
      </c>
      <c r="BC30" s="19">
        <f t="shared" si="9"/>
        <v>0</v>
      </c>
      <c r="BD30" s="19">
        <f t="shared" si="9"/>
        <v>0</v>
      </c>
      <c r="BE30" s="19">
        <f t="shared" si="9"/>
        <v>58630</v>
      </c>
      <c r="BF30" s="19">
        <f t="shared" si="9"/>
        <v>0</v>
      </c>
      <c r="BG30" s="19">
        <f t="shared" si="9"/>
        <v>0</v>
      </c>
      <c r="BH30" s="19">
        <f t="shared" si="9"/>
        <v>0</v>
      </c>
      <c r="BI30" s="19">
        <f t="shared" si="9"/>
        <v>0</v>
      </c>
      <c r="BJ30" s="19">
        <f t="shared" si="9"/>
        <v>0</v>
      </c>
      <c r="BK30" s="19">
        <f t="shared" si="9"/>
        <v>2533050</v>
      </c>
      <c r="BL30" s="55"/>
    </row>
    <row r="31" spans="1:64" s="17" customFormat="1" ht="15">
      <c r="A31" s="16" t="s">
        <v>49</v>
      </c>
      <c r="C31" s="19">
        <f aca="true" t="shared" si="10" ref="C31:O31">SUM(C25:C29)</f>
        <v>2387175</v>
      </c>
      <c r="D31" s="19">
        <f t="shared" si="10"/>
        <v>0</v>
      </c>
      <c r="E31" s="19">
        <f t="shared" si="10"/>
        <v>643661</v>
      </c>
      <c r="F31" s="19">
        <f t="shared" si="10"/>
        <v>0</v>
      </c>
      <c r="G31" s="19">
        <f t="shared" si="10"/>
        <v>0</v>
      </c>
      <c r="H31" s="19">
        <f t="shared" si="10"/>
        <v>600</v>
      </c>
      <c r="I31" s="19">
        <f t="shared" si="10"/>
        <v>200583</v>
      </c>
      <c r="J31" s="19">
        <f t="shared" si="10"/>
        <v>15</v>
      </c>
      <c r="K31" s="19">
        <f t="shared" si="10"/>
        <v>14</v>
      </c>
      <c r="L31" s="19">
        <f t="shared" si="10"/>
        <v>0</v>
      </c>
      <c r="M31" s="19">
        <f t="shared" si="10"/>
        <v>0</v>
      </c>
      <c r="N31" s="19">
        <f t="shared" si="10"/>
        <v>325000</v>
      </c>
      <c r="O31" s="19">
        <f t="shared" si="10"/>
        <v>3557048</v>
      </c>
      <c r="Q31" s="3"/>
      <c r="R31" s="3"/>
      <c r="S31" s="88" t="s">
        <v>30</v>
      </c>
      <c r="T31" s="88" t="s">
        <v>30</v>
      </c>
      <c r="U31" s="88" t="s">
        <v>30</v>
      </c>
      <c r="V31" s="88" t="s">
        <v>30</v>
      </c>
      <c r="W31" s="88" t="s">
        <v>30</v>
      </c>
      <c r="X31" s="88" t="s">
        <v>30</v>
      </c>
      <c r="Y31" s="88" t="s">
        <v>30</v>
      </c>
      <c r="Z31" s="88" t="s">
        <v>30</v>
      </c>
      <c r="AA31" s="88" t="s">
        <v>30</v>
      </c>
      <c r="AB31" s="88" t="s">
        <v>30</v>
      </c>
      <c r="AC31" s="88" t="s">
        <v>30</v>
      </c>
      <c r="AD31" s="88" t="s">
        <v>30</v>
      </c>
      <c r="AE31" s="13" t="s">
        <v>30</v>
      </c>
      <c r="AF31" s="3"/>
      <c r="AG31" s="3"/>
      <c r="AH31" s="3"/>
      <c r="AI31" s="13" t="s">
        <v>30</v>
      </c>
      <c r="AJ31" s="13" t="s">
        <v>30</v>
      </c>
      <c r="AK31" s="13" t="s">
        <v>30</v>
      </c>
      <c r="AL31" s="13" t="s">
        <v>30</v>
      </c>
      <c r="AM31" s="13" t="s">
        <v>30</v>
      </c>
      <c r="AN31" s="13" t="s">
        <v>30</v>
      </c>
      <c r="AO31" s="13" t="s">
        <v>30</v>
      </c>
      <c r="AP31" s="13" t="s">
        <v>30</v>
      </c>
      <c r="AQ31" s="13" t="s">
        <v>30</v>
      </c>
      <c r="AR31" s="13" t="s">
        <v>30</v>
      </c>
      <c r="AS31" s="13" t="s">
        <v>30</v>
      </c>
      <c r="AT31" s="13" t="s">
        <v>30</v>
      </c>
      <c r="AU31" s="13" t="s">
        <v>30</v>
      </c>
      <c r="AW31" s="3"/>
      <c r="AX31" s="3"/>
      <c r="AY31" s="13" t="s">
        <v>30</v>
      </c>
      <c r="AZ31" s="13" t="s">
        <v>30</v>
      </c>
      <c r="BA31" s="13" t="s">
        <v>30</v>
      </c>
      <c r="BB31" s="13" t="s">
        <v>30</v>
      </c>
      <c r="BC31" s="13" t="s">
        <v>30</v>
      </c>
      <c r="BD31" s="13" t="s">
        <v>30</v>
      </c>
      <c r="BE31" s="13" t="s">
        <v>30</v>
      </c>
      <c r="BF31" s="13" t="s">
        <v>30</v>
      </c>
      <c r="BG31" s="13" t="s">
        <v>30</v>
      </c>
      <c r="BH31" s="13" t="s">
        <v>30</v>
      </c>
      <c r="BI31" s="13" t="s">
        <v>30</v>
      </c>
      <c r="BJ31" s="13" t="s">
        <v>30</v>
      </c>
      <c r="BK31" s="13" t="s">
        <v>30</v>
      </c>
      <c r="BL31" s="55"/>
    </row>
    <row r="32" spans="1:64" s="17" customFormat="1" ht="15">
      <c r="A32" s="3"/>
      <c r="B32" s="3"/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Q32" s="16" t="s">
        <v>49</v>
      </c>
      <c r="S32" s="19">
        <f aca="true" t="shared" si="11" ref="S32:AE32">SUM(S26:S30)</f>
        <v>2388583</v>
      </c>
      <c r="T32" s="19">
        <f t="shared" si="11"/>
        <v>170000</v>
      </c>
      <c r="U32" s="19">
        <f t="shared" si="11"/>
        <v>0</v>
      </c>
      <c r="V32" s="19">
        <f t="shared" si="11"/>
        <v>0</v>
      </c>
      <c r="W32" s="19">
        <f t="shared" si="11"/>
        <v>0</v>
      </c>
      <c r="X32" s="19">
        <f t="shared" si="11"/>
        <v>395000</v>
      </c>
      <c r="Y32" s="19">
        <f t="shared" si="11"/>
        <v>154385</v>
      </c>
      <c r="Z32" s="19">
        <f t="shared" si="11"/>
        <v>0</v>
      </c>
      <c r="AA32" s="19">
        <f t="shared" si="11"/>
        <v>0</v>
      </c>
      <c r="AB32" s="19">
        <f t="shared" si="11"/>
        <v>0</v>
      </c>
      <c r="AC32" s="19">
        <f t="shared" si="11"/>
        <v>0</v>
      </c>
      <c r="AD32" s="19">
        <f t="shared" si="11"/>
        <v>1122294</v>
      </c>
      <c r="AE32" s="19">
        <f t="shared" si="11"/>
        <v>4230262</v>
      </c>
      <c r="AG32" s="3"/>
      <c r="AH32" s="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W32" s="3"/>
      <c r="AX32" s="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55"/>
    </row>
    <row r="33" spans="3:64" ht="1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7"/>
      <c r="S33" s="13" t="s">
        <v>30</v>
      </c>
      <c r="T33" s="13" t="s">
        <v>30</v>
      </c>
      <c r="U33" s="13" t="s">
        <v>30</v>
      </c>
      <c r="V33" s="13" t="s">
        <v>30</v>
      </c>
      <c r="W33" s="13" t="s">
        <v>30</v>
      </c>
      <c r="X33" s="13" t="s">
        <v>30</v>
      </c>
      <c r="Y33" s="13" t="s">
        <v>30</v>
      </c>
      <c r="Z33" s="13" t="s">
        <v>30</v>
      </c>
      <c r="AA33" s="13" t="s">
        <v>30</v>
      </c>
      <c r="AB33" s="13" t="s">
        <v>30</v>
      </c>
      <c r="AC33" s="13" t="s">
        <v>30</v>
      </c>
      <c r="AD33" s="13" t="s">
        <v>30</v>
      </c>
      <c r="AE33" s="13" t="s">
        <v>30</v>
      </c>
      <c r="AF33" s="17"/>
      <c r="BL33" s="55"/>
    </row>
    <row r="34" spans="1:64" s="17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G34" s="5" t="s">
        <v>52</v>
      </c>
      <c r="AH34" s="3"/>
      <c r="AI34" s="15">
        <f aca="true" t="shared" si="12" ref="AI34:AU34">AI11+AI21-AI30</f>
        <v>-859371</v>
      </c>
      <c r="AJ34" s="15">
        <f t="shared" si="12"/>
        <v>-859371</v>
      </c>
      <c r="AK34" s="15">
        <f t="shared" si="12"/>
        <v>-859371</v>
      </c>
      <c r="AL34" s="15">
        <f t="shared" si="12"/>
        <v>-859371</v>
      </c>
      <c r="AM34" s="15">
        <f t="shared" si="12"/>
        <v>-859371</v>
      </c>
      <c r="AN34" s="15">
        <f t="shared" si="12"/>
        <v>-859371</v>
      </c>
      <c r="AO34" s="15">
        <f t="shared" si="12"/>
        <v>-916018</v>
      </c>
      <c r="AP34" s="15">
        <f t="shared" si="12"/>
        <v>-916018</v>
      </c>
      <c r="AQ34" s="15">
        <f t="shared" si="12"/>
        <v>-916018</v>
      </c>
      <c r="AR34" s="15">
        <f t="shared" si="12"/>
        <v>-916018</v>
      </c>
      <c r="AS34" s="15">
        <f t="shared" si="12"/>
        <v>-916018</v>
      </c>
      <c r="AT34" s="15">
        <f t="shared" si="12"/>
        <v>1565647.5499999998</v>
      </c>
      <c r="AU34" s="15">
        <f t="shared" si="12"/>
        <v>1565647.5499999998</v>
      </c>
      <c r="AW34" s="5" t="s">
        <v>52</v>
      </c>
      <c r="AX34" s="3"/>
      <c r="AY34" s="15">
        <f aca="true" t="shared" si="13" ref="AY34:BK34">AY11+AY21-AY30</f>
        <v>-683772.4500000002</v>
      </c>
      <c r="AZ34" s="15">
        <f t="shared" si="13"/>
        <v>-683772.4500000002</v>
      </c>
      <c r="BA34" s="15">
        <f t="shared" si="13"/>
        <v>-683772.4500000002</v>
      </c>
      <c r="BB34" s="15">
        <f t="shared" si="13"/>
        <v>-683772.4500000002</v>
      </c>
      <c r="BC34" s="15">
        <f t="shared" si="13"/>
        <v>-683772.4500000002</v>
      </c>
      <c r="BD34" s="15">
        <f t="shared" si="13"/>
        <v>-683772.4500000002</v>
      </c>
      <c r="BE34" s="15">
        <f t="shared" si="13"/>
        <v>-274485.4500000002</v>
      </c>
      <c r="BF34" s="15">
        <f t="shared" si="13"/>
        <v>-274485.4500000002</v>
      </c>
      <c r="BG34" s="15">
        <f t="shared" si="13"/>
        <v>-274485.4500000002</v>
      </c>
      <c r="BH34" s="15">
        <f t="shared" si="13"/>
        <v>-274485.4500000002</v>
      </c>
      <c r="BI34" s="15">
        <f t="shared" si="13"/>
        <v>-274485.4500000002</v>
      </c>
      <c r="BJ34" s="15">
        <f t="shared" si="13"/>
        <v>1533012.5499999998</v>
      </c>
      <c r="BK34" s="15">
        <f t="shared" si="13"/>
        <v>1533012.5499999998</v>
      </c>
      <c r="BL34" s="3"/>
    </row>
    <row r="35" spans="1:63" ht="15">
      <c r="A35" s="5" t="s">
        <v>52</v>
      </c>
      <c r="C35" s="15">
        <f aca="true" t="shared" si="14" ref="C35:O35">C11+C21-C31</f>
        <v>84023</v>
      </c>
      <c r="D35" s="15">
        <f t="shared" si="14"/>
        <v>84049</v>
      </c>
      <c r="E35" s="15">
        <f t="shared" si="14"/>
        <v>95013</v>
      </c>
      <c r="F35" s="15">
        <f t="shared" si="14"/>
        <v>95039</v>
      </c>
      <c r="G35" s="15">
        <f t="shared" si="14"/>
        <v>95064</v>
      </c>
      <c r="H35" s="15">
        <f t="shared" si="14"/>
        <v>94492</v>
      </c>
      <c r="I35" s="15">
        <f t="shared" si="14"/>
        <v>120864</v>
      </c>
      <c r="J35" s="15">
        <f t="shared" si="14"/>
        <v>120852</v>
      </c>
      <c r="K35" s="15">
        <f t="shared" si="14"/>
        <v>153608</v>
      </c>
      <c r="L35" s="15">
        <f t="shared" si="14"/>
        <v>201187</v>
      </c>
      <c r="M35" s="15">
        <f t="shared" si="14"/>
        <v>667772</v>
      </c>
      <c r="N35" s="15">
        <f t="shared" si="14"/>
        <v>395624</v>
      </c>
      <c r="O35" s="15">
        <f t="shared" si="14"/>
        <v>395624</v>
      </c>
      <c r="P35" s="17"/>
      <c r="AF35" s="17"/>
      <c r="AI35" s="13" t="s">
        <v>53</v>
      </c>
      <c r="AJ35" s="13" t="s">
        <v>53</v>
      </c>
      <c r="AK35" s="13" t="s">
        <v>53</v>
      </c>
      <c r="AL35" s="13" t="s">
        <v>53</v>
      </c>
      <c r="AM35" s="13" t="s">
        <v>53</v>
      </c>
      <c r="AN35" s="13" t="s">
        <v>53</v>
      </c>
      <c r="AO35" s="13" t="s">
        <v>53</v>
      </c>
      <c r="AP35" s="13" t="s">
        <v>53</v>
      </c>
      <c r="AQ35" s="13" t="s">
        <v>53</v>
      </c>
      <c r="AR35" s="13" t="s">
        <v>53</v>
      </c>
      <c r="AS35" s="13" t="s">
        <v>53</v>
      </c>
      <c r="AT35" s="13" t="s">
        <v>53</v>
      </c>
      <c r="AU35" s="13" t="s">
        <v>53</v>
      </c>
      <c r="AY35" s="13" t="s">
        <v>53</v>
      </c>
      <c r="AZ35" s="13" t="s">
        <v>53</v>
      </c>
      <c r="BA35" s="13" t="s">
        <v>53</v>
      </c>
      <c r="BB35" s="13" t="s">
        <v>53</v>
      </c>
      <c r="BC35" s="13" t="s">
        <v>53</v>
      </c>
      <c r="BD35" s="13" t="s">
        <v>53</v>
      </c>
      <c r="BE35" s="13" t="s">
        <v>53</v>
      </c>
      <c r="BF35" s="13" t="s">
        <v>53</v>
      </c>
      <c r="BG35" s="13" t="s">
        <v>53</v>
      </c>
      <c r="BH35" s="13" t="s">
        <v>53</v>
      </c>
      <c r="BI35" s="13" t="s">
        <v>53</v>
      </c>
      <c r="BJ35" s="13" t="s">
        <v>53</v>
      </c>
      <c r="BK35" s="13" t="s">
        <v>53</v>
      </c>
    </row>
    <row r="36" spans="3:63" ht="15">
      <c r="C36" s="13" t="s">
        <v>53</v>
      </c>
      <c r="D36" s="13" t="s">
        <v>53</v>
      </c>
      <c r="E36" s="13" t="s">
        <v>53</v>
      </c>
      <c r="F36" s="13" t="s">
        <v>53</v>
      </c>
      <c r="G36" s="13" t="s">
        <v>53</v>
      </c>
      <c r="H36" s="13" t="s">
        <v>53</v>
      </c>
      <c r="I36" s="13" t="s">
        <v>53</v>
      </c>
      <c r="J36" s="13" t="s">
        <v>53</v>
      </c>
      <c r="K36" s="13" t="s">
        <v>53</v>
      </c>
      <c r="L36" s="13" t="s">
        <v>53</v>
      </c>
      <c r="M36" s="13" t="s">
        <v>53</v>
      </c>
      <c r="N36" s="13" t="s">
        <v>53</v>
      </c>
      <c r="O36" s="13" t="s">
        <v>53</v>
      </c>
      <c r="P36" s="17"/>
      <c r="Q36" s="5" t="s">
        <v>52</v>
      </c>
      <c r="S36" s="15">
        <f aca="true" t="shared" si="15" ref="S36:AE36">S11+S22-S32</f>
        <v>27705</v>
      </c>
      <c r="T36" s="15">
        <f t="shared" si="15"/>
        <v>53519</v>
      </c>
      <c r="U36" s="15">
        <f t="shared" si="15"/>
        <v>53521</v>
      </c>
      <c r="V36" s="15">
        <f t="shared" si="15"/>
        <v>53523</v>
      </c>
      <c r="W36" s="15">
        <f t="shared" si="15"/>
        <v>53525</v>
      </c>
      <c r="X36" s="15">
        <f t="shared" si="15"/>
        <v>763063</v>
      </c>
      <c r="Y36" s="15">
        <f t="shared" si="15"/>
        <v>835042</v>
      </c>
      <c r="Z36" s="15">
        <f t="shared" si="15"/>
        <v>882434</v>
      </c>
      <c r="AA36" s="15">
        <f t="shared" si="15"/>
        <v>882437</v>
      </c>
      <c r="AB36" s="15">
        <f t="shared" si="15"/>
        <v>911099</v>
      </c>
      <c r="AC36" s="15">
        <f t="shared" si="15"/>
        <v>911101</v>
      </c>
      <c r="AD36" s="15">
        <f t="shared" si="15"/>
        <v>1343914</v>
      </c>
      <c r="AE36" s="15">
        <f t="shared" si="15"/>
        <v>1343914</v>
      </c>
      <c r="AF36" s="17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</row>
    <row r="37" spans="3:32" ht="1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17"/>
      <c r="S37" s="13" t="s">
        <v>53</v>
      </c>
      <c r="T37" s="13" t="s">
        <v>53</v>
      </c>
      <c r="U37" s="13" t="s">
        <v>53</v>
      </c>
      <c r="V37" s="13" t="s">
        <v>53</v>
      </c>
      <c r="W37" s="13" t="s">
        <v>53</v>
      </c>
      <c r="X37" s="13" t="s">
        <v>53</v>
      </c>
      <c r="Y37" s="13" t="s">
        <v>53</v>
      </c>
      <c r="Z37" s="13" t="s">
        <v>53</v>
      </c>
      <c r="AA37" s="13" t="s">
        <v>53</v>
      </c>
      <c r="AB37" s="13" t="s">
        <v>53</v>
      </c>
      <c r="AC37" s="13" t="s">
        <v>53</v>
      </c>
      <c r="AD37" s="13" t="s">
        <v>53</v>
      </c>
      <c r="AE37" s="13" t="s">
        <v>53</v>
      </c>
      <c r="AF37" s="17"/>
    </row>
    <row r="38" spans="3:63" ht="15">
      <c r="C38" s="88"/>
      <c r="D38" s="83"/>
      <c r="E38" s="83"/>
      <c r="F38" s="83"/>
      <c r="M38" s="83"/>
      <c r="N38" s="83"/>
      <c r="O38" s="83"/>
      <c r="P38" s="17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G38" s="98"/>
      <c r="AI38" s="88"/>
      <c r="AJ38" s="15"/>
      <c r="AK38" s="83"/>
      <c r="AL38" s="83"/>
      <c r="AO38" s="3" t="s">
        <v>174</v>
      </c>
      <c r="AS38" s="83"/>
      <c r="AT38" s="82">
        <f>AI6</f>
        <v>2303563</v>
      </c>
      <c r="AU38" s="83"/>
      <c r="AW38" s="98"/>
      <c r="AY38" s="88"/>
      <c r="AZ38" s="15"/>
      <c r="BA38" s="83"/>
      <c r="BB38" s="83"/>
      <c r="BE38" s="3" t="s">
        <v>175</v>
      </c>
      <c r="BI38" s="83"/>
      <c r="BJ38" s="82">
        <f>AY6</f>
        <v>2057040</v>
      </c>
      <c r="BK38" s="83"/>
    </row>
    <row r="39" spans="1:63" ht="15">
      <c r="A39" s="98"/>
      <c r="C39" s="88"/>
      <c r="D39" s="15"/>
      <c r="E39" s="83"/>
      <c r="F39" s="83"/>
      <c r="O39" s="83"/>
      <c r="AF39" s="17"/>
      <c r="AG39" s="5"/>
      <c r="AI39" s="84"/>
      <c r="AJ39" s="13"/>
      <c r="AK39" s="83"/>
      <c r="AL39" s="83"/>
      <c r="AS39" s="83"/>
      <c r="AU39" s="83"/>
      <c r="AW39" s="5"/>
      <c r="AY39" s="84"/>
      <c r="AZ39" s="13"/>
      <c r="BA39" s="83"/>
      <c r="BB39" s="83"/>
      <c r="BI39" s="83"/>
      <c r="BK39" s="83"/>
    </row>
    <row r="40" spans="1:63" ht="15">
      <c r="A40" s="5"/>
      <c r="C40" s="84"/>
      <c r="D40" s="13"/>
      <c r="E40" s="83"/>
      <c r="F40" s="83"/>
      <c r="O40" s="83"/>
      <c r="Q40" s="98"/>
      <c r="S40" s="88"/>
      <c r="T40" s="15"/>
      <c r="U40" s="83"/>
      <c r="V40" s="83"/>
      <c r="AE40" s="83"/>
      <c r="AI40" s="97"/>
      <c r="AJ40" s="15"/>
      <c r="AK40" s="83"/>
      <c r="AL40" s="83"/>
      <c r="AO40" s="3" t="s">
        <v>155</v>
      </c>
      <c r="AS40" s="83"/>
      <c r="AT40" s="85">
        <v>0</v>
      </c>
      <c r="AU40" s="83"/>
      <c r="AY40" s="97"/>
      <c r="AZ40" s="15"/>
      <c r="BA40" s="83"/>
      <c r="BB40" s="83"/>
      <c r="BE40" s="3" t="s">
        <v>155</v>
      </c>
      <c r="BI40" s="83"/>
      <c r="BJ40" s="85">
        <v>0</v>
      </c>
      <c r="BK40" s="83"/>
    </row>
    <row r="41" spans="3:62" ht="15">
      <c r="C41" s="97"/>
      <c r="D41" s="15"/>
      <c r="E41" s="83"/>
      <c r="F41" s="83"/>
      <c r="O41" s="83"/>
      <c r="Q41" s="5"/>
      <c r="S41" s="84"/>
      <c r="T41" s="13"/>
      <c r="U41" s="83"/>
      <c r="V41" s="83"/>
      <c r="AE41" s="83"/>
      <c r="AI41" s="104"/>
      <c r="AJ41" s="13"/>
      <c r="AS41" s="83"/>
      <c r="AT41" s="88" t="s">
        <v>30</v>
      </c>
      <c r="AY41" s="104"/>
      <c r="AZ41" s="13"/>
      <c r="BI41" s="83"/>
      <c r="BJ41" s="88" t="s">
        <v>30</v>
      </c>
    </row>
    <row r="42" spans="3:63" ht="15">
      <c r="C42" s="104"/>
      <c r="D42" s="13"/>
      <c r="S42" s="97"/>
      <c r="T42" s="15"/>
      <c r="U42" s="83"/>
      <c r="V42" s="83"/>
      <c r="AE42" s="83"/>
      <c r="AG42" s="5"/>
      <c r="AI42" s="84"/>
      <c r="AJ42" s="15"/>
      <c r="AK42" s="83"/>
      <c r="AL42" s="83"/>
      <c r="AO42" s="3" t="s">
        <v>156</v>
      </c>
      <c r="AS42" s="83"/>
      <c r="AT42" s="86">
        <f>SUM(AT38:AT40)</f>
        <v>2303563</v>
      </c>
      <c r="AU42" s="83"/>
      <c r="AW42" s="5"/>
      <c r="AY42" s="84"/>
      <c r="AZ42" s="15"/>
      <c r="BA42" s="83"/>
      <c r="BB42" s="83"/>
      <c r="BE42" s="3" t="s">
        <v>156</v>
      </c>
      <c r="BI42" s="83"/>
      <c r="BJ42" s="86">
        <f>SUM(BJ38:BJ40)</f>
        <v>2057040</v>
      </c>
      <c r="BK42" s="83"/>
    </row>
    <row r="43" spans="1:63" ht="15">
      <c r="A43" s="5"/>
      <c r="C43" s="84"/>
      <c r="D43" s="15"/>
      <c r="E43" s="83"/>
      <c r="F43" s="83"/>
      <c r="O43" s="83"/>
      <c r="S43" s="104"/>
      <c r="T43" s="13"/>
      <c r="AI43" s="13"/>
      <c r="AJ43" s="13"/>
      <c r="AK43" s="83"/>
      <c r="AL43" s="83"/>
      <c r="AS43" s="83"/>
      <c r="AU43" s="83"/>
      <c r="AY43" s="13"/>
      <c r="AZ43" s="13"/>
      <c r="BA43" s="83"/>
      <c r="BB43" s="83"/>
      <c r="BI43" s="83"/>
      <c r="BK43" s="83"/>
    </row>
    <row r="44" spans="3:63" ht="15">
      <c r="C44" s="13"/>
      <c r="D44" s="13"/>
      <c r="E44" s="83"/>
      <c r="F44" s="83"/>
      <c r="O44" s="83"/>
      <c r="Q44" s="5"/>
      <c r="S44" s="84"/>
      <c r="T44" s="15"/>
      <c r="U44" s="83"/>
      <c r="V44" s="83"/>
      <c r="AE44" s="83"/>
      <c r="AI44" s="83"/>
      <c r="AJ44" s="15"/>
      <c r="AK44" s="83"/>
      <c r="AL44" s="83"/>
      <c r="AM44" s="83"/>
      <c r="AO44" s="3" t="s">
        <v>153</v>
      </c>
      <c r="AS44" s="83"/>
      <c r="AT44" s="103">
        <v>0.85</v>
      </c>
      <c r="AU44" s="83"/>
      <c r="AY44" s="83"/>
      <c r="AZ44" s="15"/>
      <c r="BA44" s="83"/>
      <c r="BB44" s="83"/>
      <c r="BC44" s="83"/>
      <c r="BE44" s="3" t="s">
        <v>153</v>
      </c>
      <c r="BI44" s="83"/>
      <c r="BJ44" s="103">
        <v>0.85</v>
      </c>
      <c r="BK44" s="83"/>
    </row>
    <row r="45" spans="3:63" ht="15">
      <c r="C45" s="83"/>
      <c r="D45" s="15"/>
      <c r="E45" s="83"/>
      <c r="F45" s="83"/>
      <c r="G45" s="83"/>
      <c r="O45" s="83"/>
      <c r="S45" s="13"/>
      <c r="T45" s="13"/>
      <c r="U45" s="83"/>
      <c r="V45" s="83"/>
      <c r="AE45" s="83"/>
      <c r="AI45" s="83"/>
      <c r="AJ45" s="15"/>
      <c r="AK45" s="83"/>
      <c r="AL45" s="83"/>
      <c r="AM45" s="83"/>
      <c r="AN45" s="83"/>
      <c r="AT45" s="88" t="s">
        <v>30</v>
      </c>
      <c r="AU45" s="83"/>
      <c r="AY45" s="83"/>
      <c r="AZ45" s="15"/>
      <c r="BA45" s="83"/>
      <c r="BB45" s="83"/>
      <c r="BC45" s="83"/>
      <c r="BD45" s="83"/>
      <c r="BJ45" s="88" t="s">
        <v>30</v>
      </c>
      <c r="BK45" s="83"/>
    </row>
    <row r="46" spans="3:62" ht="15">
      <c r="C46" s="83"/>
      <c r="D46" s="15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S46" s="83"/>
      <c r="T46" s="15"/>
      <c r="U46" s="83"/>
      <c r="V46" s="83"/>
      <c r="W46" s="83"/>
      <c r="AE46" s="83"/>
      <c r="AO46" s="3" t="s">
        <v>154</v>
      </c>
      <c r="AQ46" s="15"/>
      <c r="AS46" s="83"/>
      <c r="AT46" s="15">
        <f>AT42*AT44</f>
        <v>1958028.55</v>
      </c>
      <c r="BE46" s="3" t="s">
        <v>154</v>
      </c>
      <c r="BG46" s="15"/>
      <c r="BI46" s="83"/>
      <c r="BJ46" s="15">
        <f>BJ42*BJ44</f>
        <v>1748484</v>
      </c>
    </row>
    <row r="47" spans="19:63" ht="15">
      <c r="S47" s="83"/>
      <c r="T47" s="15"/>
      <c r="U47" s="83"/>
      <c r="V47" s="83"/>
      <c r="W47" s="83"/>
      <c r="AE47" s="83"/>
      <c r="AI47" s="83"/>
      <c r="AJ47" s="83"/>
      <c r="AL47" s="89" t="s">
        <v>29</v>
      </c>
      <c r="AM47" s="83"/>
      <c r="AN47" s="83"/>
      <c r="AQ47" s="83"/>
      <c r="AS47" s="83"/>
      <c r="AT47" s="13" t="s">
        <v>53</v>
      </c>
      <c r="AU47" s="83"/>
      <c r="AY47" s="83"/>
      <c r="AZ47" s="83"/>
      <c r="BB47" s="89" t="s">
        <v>29</v>
      </c>
      <c r="BC47" s="83"/>
      <c r="BD47" s="83"/>
      <c r="BG47" s="83"/>
      <c r="BI47" s="83"/>
      <c r="BJ47" s="13" t="s">
        <v>53</v>
      </c>
      <c r="BK47" s="83"/>
    </row>
    <row r="48" spans="3:62" ht="15">
      <c r="C48" s="83"/>
      <c r="D48" s="83"/>
      <c r="F48" s="89" t="s">
        <v>29</v>
      </c>
      <c r="G48" s="83"/>
      <c r="H48" s="83"/>
      <c r="I48" s="83"/>
      <c r="J48" s="83"/>
      <c r="K48" s="83"/>
      <c r="L48" s="83"/>
      <c r="M48" s="83"/>
      <c r="N48" s="83"/>
      <c r="O48" s="83"/>
      <c r="AO48" s="83"/>
      <c r="AP48" s="83"/>
      <c r="AQ48" s="83"/>
      <c r="AR48" s="83"/>
      <c r="AS48" s="83"/>
      <c r="AT48" s="83"/>
      <c r="BE48" s="83"/>
      <c r="BF48" s="83"/>
      <c r="BG48" s="83"/>
      <c r="BH48" s="83"/>
      <c r="BI48" s="83"/>
      <c r="BJ48" s="83"/>
    </row>
    <row r="49" spans="9:62" ht="15">
      <c r="I49" s="83"/>
      <c r="J49" s="83"/>
      <c r="K49" s="83"/>
      <c r="L49" s="83"/>
      <c r="M49" s="83"/>
      <c r="N49" s="83"/>
      <c r="S49" s="83"/>
      <c r="T49" s="83"/>
      <c r="V49" s="89" t="s">
        <v>29</v>
      </c>
      <c r="W49" s="83"/>
      <c r="AE49" s="83"/>
      <c r="AO49" s="83"/>
      <c r="AP49" s="83"/>
      <c r="AQ49" s="83"/>
      <c r="AR49" s="83"/>
      <c r="AS49" s="83"/>
      <c r="AT49" s="83"/>
      <c r="BE49" s="83"/>
      <c r="BF49" s="83"/>
      <c r="BG49" s="83"/>
      <c r="BH49" s="83"/>
      <c r="BI49" s="83"/>
      <c r="BJ49" s="83"/>
    </row>
    <row r="50" spans="9:30" ht="15">
      <c r="I50" s="83"/>
      <c r="J50" s="83"/>
      <c r="K50" s="83"/>
      <c r="L50" s="83"/>
      <c r="M50" s="83"/>
      <c r="N50" s="83"/>
      <c r="Y50" s="83"/>
      <c r="Z50" s="83"/>
      <c r="AA50" s="83"/>
      <c r="AB50" s="83"/>
      <c r="AC50" s="83"/>
      <c r="AD50" s="83"/>
    </row>
    <row r="51" spans="25:30" ht="15">
      <c r="Y51" s="83"/>
      <c r="Z51" s="83"/>
      <c r="AA51" s="83"/>
      <c r="AB51" s="83"/>
      <c r="AC51" s="83"/>
      <c r="AD51" s="83"/>
    </row>
  </sheetData>
  <sheetProtection/>
  <mergeCells count="12">
    <mergeCell ref="A1:O1"/>
    <mergeCell ref="A2:O2"/>
    <mergeCell ref="A3:O3"/>
    <mergeCell ref="Q1:AE1"/>
    <mergeCell ref="Q2:AE2"/>
    <mergeCell ref="Q3:AE3"/>
    <mergeCell ref="AG1:AU1"/>
    <mergeCell ref="AG2:AU2"/>
    <mergeCell ref="AG3:AU3"/>
    <mergeCell ref="AW1:BL1"/>
    <mergeCell ref="AW2:BL2"/>
    <mergeCell ref="AW3:BL3"/>
  </mergeCells>
  <printOptions horizontalCentered="1"/>
  <pageMargins left="0.5" right="0.5" top="0.75" bottom="0.75" header="0.5" footer="0.5"/>
  <pageSetup fitToHeight="0" horizontalDpi="600" verticalDpi="600" orientation="landscape" scale="55" r:id="rId1"/>
  <colBreaks count="3" manualBreakCount="3">
    <brk id="16" max="48" man="1"/>
    <brk id="32" max="48" man="1"/>
    <brk id="4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V55"/>
  <sheetViews>
    <sheetView view="pageBreakPreview" zoomScale="75" zoomScaleNormal="75" zoomScaleSheetLayoutView="75" zoomScalePageLayoutView="0" workbookViewId="0" topLeftCell="A1">
      <selection activeCell="A1" sqref="A1:O1"/>
    </sheetView>
  </sheetViews>
  <sheetFormatPr defaultColWidth="8.140625" defaultRowHeight="12.75"/>
  <cols>
    <col min="1" max="1" width="40.7109375" style="3" customWidth="1"/>
    <col min="2" max="2" width="4.7109375" style="3" customWidth="1"/>
    <col min="3" max="3" width="13.28125" style="3" bestFit="1" customWidth="1"/>
    <col min="4" max="7" width="13.140625" style="3" bestFit="1" customWidth="1"/>
    <col min="8" max="8" width="15.421875" style="3" bestFit="1" customWidth="1"/>
    <col min="9" max="11" width="13.421875" style="3" bestFit="1" customWidth="1"/>
    <col min="12" max="12" width="12.7109375" style="3" customWidth="1"/>
    <col min="13" max="13" width="12.8515625" style="3" customWidth="1"/>
    <col min="14" max="14" width="13.7109375" style="3" bestFit="1" customWidth="1"/>
    <col min="15" max="15" width="13.421875" style="3" customWidth="1"/>
    <col min="16" max="16" width="2.7109375" style="3" customWidth="1"/>
    <col min="17" max="17" width="40.7109375" style="3" customWidth="1"/>
    <col min="18" max="18" width="4.7109375" style="3" customWidth="1"/>
    <col min="19" max="19" width="13.28125" style="3" bestFit="1" customWidth="1"/>
    <col min="20" max="23" width="13.140625" style="3" bestFit="1" customWidth="1"/>
    <col min="24" max="24" width="15.421875" style="3" bestFit="1" customWidth="1"/>
    <col min="25" max="27" width="13.421875" style="3" bestFit="1" customWidth="1"/>
    <col min="28" max="28" width="12.7109375" style="3" customWidth="1"/>
    <col min="29" max="29" width="12.8515625" style="3" customWidth="1"/>
    <col min="30" max="30" width="13.7109375" style="3" bestFit="1" customWidth="1"/>
    <col min="31" max="31" width="13.421875" style="3" customWidth="1"/>
    <col min="32" max="32" width="2.7109375" style="3" customWidth="1"/>
    <col min="33" max="33" width="40.7109375" style="3" customWidth="1"/>
    <col min="34" max="34" width="4.7109375" style="3" customWidth="1"/>
    <col min="35" max="35" width="13.28125" style="3" bestFit="1" customWidth="1"/>
    <col min="36" max="39" width="13.140625" style="3" bestFit="1" customWidth="1"/>
    <col min="40" max="40" width="15.421875" style="3" bestFit="1" customWidth="1"/>
    <col min="41" max="43" width="13.421875" style="3" bestFit="1" customWidth="1"/>
    <col min="44" max="44" width="12.7109375" style="3" customWidth="1"/>
    <col min="45" max="45" width="12.8515625" style="3" customWidth="1"/>
    <col min="46" max="46" width="13.7109375" style="3" bestFit="1" customWidth="1"/>
    <col min="47" max="47" width="13.421875" style="3" customWidth="1"/>
    <col min="48" max="48" width="2.7109375" style="3" customWidth="1"/>
    <col min="49" max="16384" width="8.140625" style="3" customWidth="1"/>
  </cols>
  <sheetData>
    <row r="1" spans="1:47" ht="15">
      <c r="A1" s="106" t="s">
        <v>150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Q1" s="106" t="s">
        <v>150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G1" s="106" t="s">
        <v>150</v>
      </c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</row>
    <row r="2" spans="1:47" ht="15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Q2" s="107" t="s">
        <v>5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G2" s="107" t="s">
        <v>5</v>
      </c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</row>
    <row r="3" spans="1:47" ht="15">
      <c r="A3" s="107">
        <v>2009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Q3" s="107">
        <v>2010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G3" s="107">
        <v>2011</v>
      </c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</row>
    <row r="4" spans="1:43" ht="15">
      <c r="A4" s="89" t="s">
        <v>13</v>
      </c>
      <c r="B4" s="83"/>
      <c r="C4" s="89" t="s">
        <v>163</v>
      </c>
      <c r="D4" s="83"/>
      <c r="E4" s="83"/>
      <c r="F4" s="83"/>
      <c r="G4" s="89"/>
      <c r="H4" s="90"/>
      <c r="I4" s="83"/>
      <c r="J4" s="83"/>
      <c r="K4" s="83"/>
      <c r="Q4" s="89" t="s">
        <v>13</v>
      </c>
      <c r="R4" s="83"/>
      <c r="S4" s="89" t="s">
        <v>163</v>
      </c>
      <c r="T4" s="83"/>
      <c r="U4" s="83"/>
      <c r="V4" s="83"/>
      <c r="W4" s="89"/>
      <c r="X4" s="90"/>
      <c r="Y4" s="83"/>
      <c r="Z4" s="83"/>
      <c r="AA4" s="83"/>
      <c r="AG4" s="89" t="s">
        <v>13</v>
      </c>
      <c r="AH4" s="83"/>
      <c r="AI4" s="89" t="s">
        <v>163</v>
      </c>
      <c r="AJ4" s="83"/>
      <c r="AK4" s="83"/>
      <c r="AL4" s="83"/>
      <c r="AM4" s="89"/>
      <c r="AN4" s="90"/>
      <c r="AO4" s="83"/>
      <c r="AP4" s="83"/>
      <c r="AQ4" s="83"/>
    </row>
    <row r="5" spans="1:43" ht="15">
      <c r="A5" s="83"/>
      <c r="B5" s="83"/>
      <c r="C5" s="89"/>
      <c r="D5" s="83"/>
      <c r="E5" s="83"/>
      <c r="F5" s="83"/>
      <c r="H5" s="83"/>
      <c r="I5" s="83"/>
      <c r="J5" s="83"/>
      <c r="K5" s="83"/>
      <c r="Q5" s="83"/>
      <c r="R5" s="83"/>
      <c r="S5" s="88" t="s">
        <v>183</v>
      </c>
      <c r="T5" s="83"/>
      <c r="U5" s="83"/>
      <c r="V5" s="83"/>
      <c r="X5" s="83"/>
      <c r="Y5" s="83"/>
      <c r="Z5" s="83"/>
      <c r="AA5" s="83"/>
      <c r="AG5" s="83"/>
      <c r="AH5" s="83"/>
      <c r="AI5" s="89"/>
      <c r="AJ5" s="83"/>
      <c r="AK5" s="83"/>
      <c r="AL5" s="83"/>
      <c r="AN5" s="83"/>
      <c r="AO5" s="83"/>
      <c r="AP5" s="83"/>
      <c r="AQ5" s="83"/>
    </row>
    <row r="6" spans="1:43" ht="15">
      <c r="A6" s="89" t="s">
        <v>14</v>
      </c>
      <c r="B6" s="91"/>
      <c r="C6" s="92">
        <v>1027975</v>
      </c>
      <c r="D6" s="83"/>
      <c r="E6" s="83"/>
      <c r="F6" s="83"/>
      <c r="H6" s="83"/>
      <c r="I6" s="83"/>
      <c r="J6" s="83"/>
      <c r="K6" s="83"/>
      <c r="Q6" s="89" t="s">
        <v>14</v>
      </c>
      <c r="R6" s="91"/>
      <c r="S6" s="92">
        <v>0</v>
      </c>
      <c r="T6" s="83"/>
      <c r="U6" s="83"/>
      <c r="V6" s="83"/>
      <c r="X6" s="83"/>
      <c r="Y6" s="83"/>
      <c r="Z6" s="83"/>
      <c r="AA6" s="83"/>
      <c r="AG6" s="89" t="s">
        <v>14</v>
      </c>
      <c r="AH6" s="91"/>
      <c r="AI6" s="92">
        <v>0</v>
      </c>
      <c r="AJ6" s="83"/>
      <c r="AK6" s="83"/>
      <c r="AL6" s="83"/>
      <c r="AN6" s="83"/>
      <c r="AO6" s="83"/>
      <c r="AP6" s="83"/>
      <c r="AQ6" s="83"/>
    </row>
    <row r="7" s="55" customFormat="1" ht="15"/>
    <row r="8" spans="1:47" ht="15">
      <c r="A8" s="83"/>
      <c r="B8" s="8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83"/>
      <c r="Q8" s="83"/>
      <c r="R8" s="83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83"/>
      <c r="AG8" s="83"/>
      <c r="AH8" s="83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83"/>
    </row>
    <row r="9" spans="3:47" ht="15">
      <c r="C9" s="13" t="s">
        <v>16</v>
      </c>
      <c r="D9" s="13" t="s">
        <v>17</v>
      </c>
      <c r="E9" s="13" t="s">
        <v>18</v>
      </c>
      <c r="F9" s="13" t="s">
        <v>19</v>
      </c>
      <c r="G9" s="13" t="s">
        <v>20</v>
      </c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  <c r="M9" s="13" t="s">
        <v>26</v>
      </c>
      <c r="N9" s="13" t="s">
        <v>27</v>
      </c>
      <c r="O9" s="13" t="s">
        <v>28</v>
      </c>
      <c r="S9" s="13" t="s">
        <v>16</v>
      </c>
      <c r="T9" s="13" t="s">
        <v>17</v>
      </c>
      <c r="U9" s="13" t="s">
        <v>18</v>
      </c>
      <c r="V9" s="13" t="s">
        <v>19</v>
      </c>
      <c r="W9" s="13" t="s">
        <v>20</v>
      </c>
      <c r="X9" s="13" t="s">
        <v>21</v>
      </c>
      <c r="Y9" s="13" t="s">
        <v>22</v>
      </c>
      <c r="Z9" s="13" t="s">
        <v>23</v>
      </c>
      <c r="AA9" s="13" t="s">
        <v>24</v>
      </c>
      <c r="AB9" s="13" t="s">
        <v>25</v>
      </c>
      <c r="AC9" s="13" t="s">
        <v>26</v>
      </c>
      <c r="AD9" s="13" t="s">
        <v>27</v>
      </c>
      <c r="AE9" s="13" t="s">
        <v>28</v>
      </c>
      <c r="AI9" s="13" t="s">
        <v>16</v>
      </c>
      <c r="AJ9" s="13" t="s">
        <v>17</v>
      </c>
      <c r="AK9" s="13" t="s">
        <v>18</v>
      </c>
      <c r="AL9" s="13" t="s">
        <v>19</v>
      </c>
      <c r="AM9" s="13" t="s">
        <v>20</v>
      </c>
      <c r="AN9" s="13" t="s">
        <v>21</v>
      </c>
      <c r="AO9" s="13" t="s">
        <v>22</v>
      </c>
      <c r="AP9" s="13" t="s">
        <v>23</v>
      </c>
      <c r="AQ9" s="13" t="s">
        <v>24</v>
      </c>
      <c r="AR9" s="13" t="s">
        <v>25</v>
      </c>
      <c r="AS9" s="13" t="s">
        <v>26</v>
      </c>
      <c r="AT9" s="13" t="s">
        <v>27</v>
      </c>
      <c r="AU9" s="13" t="s">
        <v>28</v>
      </c>
    </row>
    <row r="10" spans="1:47" ht="15">
      <c r="A10" s="5" t="s">
        <v>29</v>
      </c>
      <c r="C10" s="13" t="s">
        <v>30</v>
      </c>
      <c r="D10" s="13" t="s">
        <v>30</v>
      </c>
      <c r="E10" s="13" t="s">
        <v>30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  <c r="K10" s="13" t="s">
        <v>30</v>
      </c>
      <c r="L10" s="13" t="s">
        <v>30</v>
      </c>
      <c r="M10" s="13" t="s">
        <v>30</v>
      </c>
      <c r="N10" s="13" t="s">
        <v>30</v>
      </c>
      <c r="O10" s="13" t="s">
        <v>30</v>
      </c>
      <c r="Q10" s="5" t="s">
        <v>29</v>
      </c>
      <c r="S10" s="13" t="s">
        <v>30</v>
      </c>
      <c r="T10" s="13" t="s">
        <v>30</v>
      </c>
      <c r="U10" s="13" t="s">
        <v>30</v>
      </c>
      <c r="V10" s="13" t="s">
        <v>30</v>
      </c>
      <c r="W10" s="13" t="s">
        <v>30</v>
      </c>
      <c r="X10" s="13" t="s">
        <v>30</v>
      </c>
      <c r="Y10" s="13" t="s">
        <v>30</v>
      </c>
      <c r="Z10" s="13" t="s">
        <v>30</v>
      </c>
      <c r="AA10" s="13" t="s">
        <v>30</v>
      </c>
      <c r="AB10" s="13" t="s">
        <v>30</v>
      </c>
      <c r="AC10" s="13" t="s">
        <v>30</v>
      </c>
      <c r="AD10" s="13" t="s">
        <v>30</v>
      </c>
      <c r="AE10" s="13" t="s">
        <v>30</v>
      </c>
      <c r="AG10" s="5" t="s">
        <v>29</v>
      </c>
      <c r="AI10" s="13" t="s">
        <v>30</v>
      </c>
      <c r="AJ10" s="13" t="s">
        <v>30</v>
      </c>
      <c r="AK10" s="13" t="s">
        <v>30</v>
      </c>
      <c r="AL10" s="13" t="s">
        <v>30</v>
      </c>
      <c r="AM10" s="13" t="s">
        <v>30</v>
      </c>
      <c r="AN10" s="13" t="s">
        <v>30</v>
      </c>
      <c r="AO10" s="13" t="s">
        <v>30</v>
      </c>
      <c r="AP10" s="13" t="s">
        <v>30</v>
      </c>
      <c r="AQ10" s="13" t="s">
        <v>30</v>
      </c>
      <c r="AR10" s="13" t="s">
        <v>30</v>
      </c>
      <c r="AS10" s="13" t="s">
        <v>30</v>
      </c>
      <c r="AT10" s="13" t="s">
        <v>30</v>
      </c>
      <c r="AU10" s="13" t="s">
        <v>30</v>
      </c>
    </row>
    <row r="11" spans="1:47" ht="15">
      <c r="A11" s="5" t="s">
        <v>31</v>
      </c>
      <c r="C11" s="14">
        <v>2315398</v>
      </c>
      <c r="D11" s="15">
        <f>C34</f>
        <v>2067150</v>
      </c>
      <c r="E11" s="15">
        <f aca="true" t="shared" si="0" ref="E11:N11">D34</f>
        <v>1869798</v>
      </c>
      <c r="F11" s="15">
        <f t="shared" si="0"/>
        <v>2519832</v>
      </c>
      <c r="G11" s="15">
        <f t="shared" si="0"/>
        <v>2055466</v>
      </c>
      <c r="H11" s="15">
        <f t="shared" si="0"/>
        <v>1782140</v>
      </c>
      <c r="I11" s="15">
        <f t="shared" si="0"/>
        <v>1689477</v>
      </c>
      <c r="J11" s="15">
        <f t="shared" si="0"/>
        <v>1025391</v>
      </c>
      <c r="K11" s="15">
        <f t="shared" si="0"/>
        <v>-195008</v>
      </c>
      <c r="L11" s="15">
        <f t="shared" si="0"/>
        <v>15641</v>
      </c>
      <c r="M11" s="15">
        <f t="shared" si="0"/>
        <v>39291</v>
      </c>
      <c r="N11" s="15">
        <f t="shared" si="0"/>
        <v>540393</v>
      </c>
      <c r="O11" s="15">
        <f>C11</f>
        <v>2315398</v>
      </c>
      <c r="Q11" s="5" t="s">
        <v>31</v>
      </c>
      <c r="S11" s="14">
        <f>O34</f>
        <v>281997</v>
      </c>
      <c r="T11" s="15">
        <f aca="true" t="shared" si="1" ref="T11:AD11">S34</f>
        <v>-376437.54000000004</v>
      </c>
      <c r="U11" s="15">
        <f t="shared" si="1"/>
        <v>28257.579999999958</v>
      </c>
      <c r="V11" s="15">
        <f t="shared" si="1"/>
        <v>-203338.96000000005</v>
      </c>
      <c r="W11" s="15">
        <f t="shared" si="1"/>
        <v>11646.469999999943</v>
      </c>
      <c r="X11" s="15">
        <f t="shared" si="1"/>
        <v>11631.889999999943</v>
      </c>
      <c r="Y11" s="15">
        <f t="shared" si="1"/>
        <v>11632.319999999943</v>
      </c>
      <c r="Z11" s="15">
        <f t="shared" si="1"/>
        <v>709937.7</v>
      </c>
      <c r="AA11" s="15">
        <f t="shared" si="1"/>
        <v>683039.7</v>
      </c>
      <c r="AB11" s="15">
        <f t="shared" si="1"/>
        <v>637583.1499999999</v>
      </c>
      <c r="AC11" s="15">
        <f t="shared" si="1"/>
        <v>546093.1499999999</v>
      </c>
      <c r="AD11" s="15">
        <f t="shared" si="1"/>
        <v>546093.1499999999</v>
      </c>
      <c r="AE11" s="15">
        <f>S11</f>
        <v>281997</v>
      </c>
      <c r="AG11" s="5" t="s">
        <v>31</v>
      </c>
      <c r="AI11" s="14">
        <f>AE34</f>
        <v>0.15000000037252903</v>
      </c>
      <c r="AJ11" s="15">
        <f aca="true" t="shared" si="2" ref="AJ11:AT11">AI33</f>
        <v>0.15000000037252903</v>
      </c>
      <c r="AK11" s="15">
        <f t="shared" si="2"/>
        <v>0.15000000037252903</v>
      </c>
      <c r="AL11" s="15">
        <f t="shared" si="2"/>
        <v>0.15000000037252903</v>
      </c>
      <c r="AM11" s="15">
        <f t="shared" si="2"/>
        <v>0.15000000037252903</v>
      </c>
      <c r="AN11" s="15">
        <f t="shared" si="2"/>
        <v>0.15000000037252903</v>
      </c>
      <c r="AO11" s="15">
        <f t="shared" si="2"/>
        <v>0.15000000037252903</v>
      </c>
      <c r="AP11" s="15">
        <f t="shared" si="2"/>
        <v>0.15000000037252903</v>
      </c>
      <c r="AQ11" s="15">
        <f t="shared" si="2"/>
        <v>0.15000000037252903</v>
      </c>
      <c r="AR11" s="15">
        <f t="shared" si="2"/>
        <v>0.15000000037252903</v>
      </c>
      <c r="AS11" s="15">
        <f t="shared" si="2"/>
        <v>0.15000000037252903</v>
      </c>
      <c r="AT11" s="15">
        <f t="shared" si="2"/>
        <v>0.15000000037252903</v>
      </c>
      <c r="AU11" s="15">
        <f>AI11</f>
        <v>0.15000000037252903</v>
      </c>
    </row>
    <row r="12" spans="3:47" ht="15">
      <c r="C12" s="13" t="s">
        <v>30</v>
      </c>
      <c r="D12" s="13" t="s">
        <v>30</v>
      </c>
      <c r="E12" s="13" t="s">
        <v>30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  <c r="M12" s="13" t="s">
        <v>30</v>
      </c>
      <c r="N12" s="13" t="s">
        <v>30</v>
      </c>
      <c r="O12" s="13" t="s">
        <v>30</v>
      </c>
      <c r="S12" s="13" t="s">
        <v>30</v>
      </c>
      <c r="T12" s="13" t="s">
        <v>30</v>
      </c>
      <c r="U12" s="13" t="s">
        <v>30</v>
      </c>
      <c r="V12" s="13" t="s">
        <v>30</v>
      </c>
      <c r="W12" s="13" t="s">
        <v>30</v>
      </c>
      <c r="X12" s="13" t="s">
        <v>30</v>
      </c>
      <c r="Y12" s="13" t="s">
        <v>30</v>
      </c>
      <c r="Z12" s="13" t="s">
        <v>30</v>
      </c>
      <c r="AA12" s="13" t="s">
        <v>30</v>
      </c>
      <c r="AB12" s="13" t="s">
        <v>30</v>
      </c>
      <c r="AC12" s="13" t="s">
        <v>30</v>
      </c>
      <c r="AD12" s="13" t="s">
        <v>30</v>
      </c>
      <c r="AE12" s="13" t="s">
        <v>30</v>
      </c>
      <c r="AI12" s="13" t="s">
        <v>30</v>
      </c>
      <c r="AJ12" s="13" t="s">
        <v>30</v>
      </c>
      <c r="AK12" s="13" t="s">
        <v>30</v>
      </c>
      <c r="AL12" s="13" t="s">
        <v>30</v>
      </c>
      <c r="AM12" s="13" t="s">
        <v>30</v>
      </c>
      <c r="AN12" s="13" t="s">
        <v>30</v>
      </c>
      <c r="AO12" s="13" t="s">
        <v>30</v>
      </c>
      <c r="AP12" s="13" t="s">
        <v>30</v>
      </c>
      <c r="AQ12" s="13" t="s">
        <v>30</v>
      </c>
      <c r="AR12" s="13" t="s">
        <v>30</v>
      </c>
      <c r="AS12" s="13" t="s">
        <v>30</v>
      </c>
      <c r="AT12" s="13" t="s">
        <v>30</v>
      </c>
      <c r="AU12" s="13" t="s">
        <v>30</v>
      </c>
    </row>
    <row r="13" spans="1:46" ht="15">
      <c r="A13" s="5" t="s">
        <v>29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Q13" s="5" t="s">
        <v>29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G13" s="5" t="s">
        <v>29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</row>
    <row r="14" spans="1:46" ht="15">
      <c r="A14" s="5" t="s">
        <v>32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Q14" s="5" t="s">
        <v>32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G14" s="5" t="s">
        <v>32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</row>
    <row r="15" spans="1:47" s="17" customFormat="1" ht="15">
      <c r="A15" s="16" t="s">
        <v>160</v>
      </c>
      <c r="C15" s="95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5">
        <v>0</v>
      </c>
      <c r="M15" s="93">
        <v>699873</v>
      </c>
      <c r="N15" s="95">
        <v>0</v>
      </c>
      <c r="O15" s="19">
        <f>SUM(C15:N15)</f>
        <v>699873</v>
      </c>
      <c r="Q15" s="16" t="s">
        <v>167</v>
      </c>
      <c r="S15" s="95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547305</v>
      </c>
      <c r="Z15" s="93">
        <v>0</v>
      </c>
      <c r="AA15" s="93">
        <v>0</v>
      </c>
      <c r="AB15" s="95">
        <v>0</v>
      </c>
      <c r="AC15" s="93">
        <v>0</v>
      </c>
      <c r="AD15" s="95">
        <v>-547305</v>
      </c>
      <c r="AE15" s="19">
        <f>SUM(S15:AD15)</f>
        <v>0</v>
      </c>
      <c r="AG15" s="16" t="s">
        <v>169</v>
      </c>
      <c r="AI15" s="95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5">
        <v>0</v>
      </c>
      <c r="AS15" s="93">
        <v>0</v>
      </c>
      <c r="AT15" s="95">
        <f>AT46</f>
        <v>0</v>
      </c>
      <c r="AU15" s="19">
        <f>SUM(AI15:AT15)</f>
        <v>0</v>
      </c>
    </row>
    <row r="16" spans="1:47" s="17" customFormat="1" ht="15">
      <c r="A16" s="16" t="s">
        <v>161</v>
      </c>
      <c r="C16" s="95">
        <v>0</v>
      </c>
      <c r="D16" s="93">
        <v>0</v>
      </c>
      <c r="E16" s="93">
        <v>1318855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5">
        <v>0</v>
      </c>
      <c r="O16" s="19">
        <f>SUM(C16:N16)</f>
        <v>1318855</v>
      </c>
      <c r="Q16" s="16" t="s">
        <v>168</v>
      </c>
      <c r="S16" s="95">
        <v>608734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367000</v>
      </c>
      <c r="Z16" s="93">
        <v>0</v>
      </c>
      <c r="AA16" s="93">
        <v>0</v>
      </c>
      <c r="AB16" s="93">
        <v>0</v>
      </c>
      <c r="AC16" s="93">
        <v>0</v>
      </c>
      <c r="AD16" s="95">
        <v>0</v>
      </c>
      <c r="AE16" s="19">
        <f>SUM(S16:AD16)</f>
        <v>975734</v>
      </c>
      <c r="AG16" s="16" t="s">
        <v>170</v>
      </c>
      <c r="AI16" s="95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5">
        <v>0</v>
      </c>
      <c r="AU16" s="19">
        <f>SUM(AI16:AT16)</f>
        <v>0</v>
      </c>
    </row>
    <row r="17" spans="1:47" s="17" customFormat="1" ht="15.75">
      <c r="A17" s="16" t="s">
        <v>173</v>
      </c>
      <c r="C17" s="95">
        <v>0</v>
      </c>
      <c r="D17" s="93">
        <v>0</v>
      </c>
      <c r="E17" s="93">
        <v>0</v>
      </c>
      <c r="F17" s="93">
        <v>0</v>
      </c>
      <c r="G17" s="93">
        <v>0</v>
      </c>
      <c r="H17" s="93">
        <v>443873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5">
        <v>0</v>
      </c>
      <c r="O17" s="19">
        <f>SUM(C17:N17)</f>
        <v>443873</v>
      </c>
      <c r="Q17" s="16" t="s">
        <v>39</v>
      </c>
      <c r="S17" s="105">
        <v>0.46</v>
      </c>
      <c r="T17" s="105">
        <f>0.42+161.7</f>
        <v>162.11999999999998</v>
      </c>
      <c r="U17" s="105">
        <v>0.46</v>
      </c>
      <c r="V17" s="105">
        <v>0.43</v>
      </c>
      <c r="W17" s="105">
        <f>0.42</f>
        <v>0.42</v>
      </c>
      <c r="X17" s="105">
        <v>0.43</v>
      </c>
      <c r="Y17" s="105">
        <f>0.07+0.31</f>
        <v>0.38</v>
      </c>
      <c r="Z17" s="105">
        <f>1</f>
        <v>1</v>
      </c>
      <c r="AA17" s="105">
        <v>31312.45</v>
      </c>
      <c r="AB17" s="105">
        <f>35011+25222</f>
        <v>60233</v>
      </c>
      <c r="AC17" s="105">
        <v>0</v>
      </c>
      <c r="AD17" s="105">
        <v>0</v>
      </c>
      <c r="AE17" s="19">
        <f>SUM(S17:AD17)</f>
        <v>91711.15</v>
      </c>
      <c r="AG17" s="16" t="s">
        <v>39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19">
        <f>SUM(AI17:AT17)</f>
        <v>0</v>
      </c>
    </row>
    <row r="18" spans="1:47" s="17" customFormat="1" ht="15">
      <c r="A18" s="16" t="s">
        <v>39</v>
      </c>
      <c r="C18" s="93">
        <v>25</v>
      </c>
      <c r="D18" s="93">
        <v>18</v>
      </c>
      <c r="E18" s="93">
        <v>150</v>
      </c>
      <c r="F18" s="93">
        <v>45049</v>
      </c>
      <c r="G18" s="93">
        <v>18</v>
      </c>
      <c r="H18" s="93">
        <v>18</v>
      </c>
      <c r="I18" s="93">
        <v>17</v>
      </c>
      <c r="J18" s="93">
        <v>17</v>
      </c>
      <c r="K18" s="93">
        <v>49167</v>
      </c>
      <c r="L18" s="93">
        <v>1</v>
      </c>
      <c r="M18" s="93">
        <v>1</v>
      </c>
      <c r="N18" s="93">
        <v>79305</v>
      </c>
      <c r="O18" s="19">
        <f>SUM(C18:N18)</f>
        <v>173786</v>
      </c>
      <c r="Q18" s="16" t="s">
        <v>37</v>
      </c>
      <c r="S18" s="24">
        <v>0</v>
      </c>
      <c r="T18" s="24">
        <v>475000</v>
      </c>
      <c r="U18" s="24">
        <v>210000</v>
      </c>
      <c r="V18" s="24">
        <v>215000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2252000</v>
      </c>
      <c r="AE18" s="19">
        <f>SUM(S18:AD18)</f>
        <v>3152000</v>
      </c>
      <c r="AG18" s="16" t="s">
        <v>37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19">
        <f>SUM(AI18:AT18)</f>
        <v>0</v>
      </c>
    </row>
    <row r="19" spans="1:47" s="17" customFormat="1" ht="15">
      <c r="A19" s="16" t="s">
        <v>37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645000</v>
      </c>
      <c r="L19" s="24">
        <v>130000</v>
      </c>
      <c r="M19" s="24">
        <v>0</v>
      </c>
      <c r="N19" s="24">
        <v>0</v>
      </c>
      <c r="O19" s="19">
        <f>SUM(C19:N19)</f>
        <v>775000</v>
      </c>
      <c r="Q19" s="3"/>
      <c r="R19" s="3"/>
      <c r="S19" s="88" t="s">
        <v>30</v>
      </c>
      <c r="T19" s="88" t="s">
        <v>30</v>
      </c>
      <c r="U19" s="88" t="s">
        <v>30</v>
      </c>
      <c r="V19" s="88" t="s">
        <v>30</v>
      </c>
      <c r="W19" s="88" t="s">
        <v>30</v>
      </c>
      <c r="X19" s="88" t="s">
        <v>30</v>
      </c>
      <c r="Y19" s="88" t="s">
        <v>30</v>
      </c>
      <c r="Z19" s="88" t="s">
        <v>30</v>
      </c>
      <c r="AA19" s="88" t="s">
        <v>30</v>
      </c>
      <c r="AB19" s="88" t="s">
        <v>30</v>
      </c>
      <c r="AC19" s="88" t="s">
        <v>30</v>
      </c>
      <c r="AD19" s="88" t="s">
        <v>30</v>
      </c>
      <c r="AE19" s="13" t="s">
        <v>30</v>
      </c>
      <c r="AG19" s="3"/>
      <c r="AH19" s="3"/>
      <c r="AI19" s="88" t="s">
        <v>30</v>
      </c>
      <c r="AJ19" s="88" t="s">
        <v>30</v>
      </c>
      <c r="AK19" s="88" t="s">
        <v>30</v>
      </c>
      <c r="AL19" s="88" t="s">
        <v>30</v>
      </c>
      <c r="AM19" s="88" t="s">
        <v>30</v>
      </c>
      <c r="AN19" s="88" t="s">
        <v>30</v>
      </c>
      <c r="AO19" s="88" t="s">
        <v>30</v>
      </c>
      <c r="AP19" s="88" t="s">
        <v>30</v>
      </c>
      <c r="AQ19" s="88" t="s">
        <v>30</v>
      </c>
      <c r="AR19" s="88" t="s">
        <v>30</v>
      </c>
      <c r="AS19" s="88" t="s">
        <v>30</v>
      </c>
      <c r="AT19" s="88" t="s">
        <v>30</v>
      </c>
      <c r="AU19" s="13" t="s">
        <v>30</v>
      </c>
    </row>
    <row r="20" spans="1:47" s="17" customFormat="1" ht="15">
      <c r="A20" s="3"/>
      <c r="B20" s="3"/>
      <c r="C20" s="88" t="s">
        <v>30</v>
      </c>
      <c r="D20" s="88" t="s">
        <v>30</v>
      </c>
      <c r="E20" s="88" t="s">
        <v>30</v>
      </c>
      <c r="F20" s="88" t="s">
        <v>30</v>
      </c>
      <c r="G20" s="88" t="s">
        <v>30</v>
      </c>
      <c r="H20" s="88" t="s">
        <v>30</v>
      </c>
      <c r="I20" s="88" t="s">
        <v>30</v>
      </c>
      <c r="J20" s="88" t="s">
        <v>30</v>
      </c>
      <c r="K20" s="88" t="s">
        <v>30</v>
      </c>
      <c r="L20" s="88" t="s">
        <v>30</v>
      </c>
      <c r="M20" s="88" t="s">
        <v>30</v>
      </c>
      <c r="N20" s="88" t="s">
        <v>30</v>
      </c>
      <c r="O20" s="13" t="s">
        <v>30</v>
      </c>
      <c r="Q20" s="3"/>
      <c r="R20" s="3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13"/>
      <c r="AG20" s="3"/>
      <c r="AH20" s="3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13"/>
    </row>
    <row r="21" spans="1:47" s="17" customFormat="1" ht="15">
      <c r="A21" s="3"/>
      <c r="B21" s="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3"/>
      <c r="Q21" s="16" t="s">
        <v>43</v>
      </c>
      <c r="S21" s="19">
        <f aca="true" t="shared" si="3" ref="S21:AE21">SUM(S15:S18)</f>
        <v>608734.46</v>
      </c>
      <c r="T21" s="19">
        <f t="shared" si="3"/>
        <v>475162.12</v>
      </c>
      <c r="U21" s="19">
        <f t="shared" si="3"/>
        <v>210000.46</v>
      </c>
      <c r="V21" s="19">
        <f t="shared" si="3"/>
        <v>215000.43</v>
      </c>
      <c r="W21" s="19">
        <f t="shared" si="3"/>
        <v>0.42</v>
      </c>
      <c r="X21" s="19">
        <f t="shared" si="3"/>
        <v>0.43</v>
      </c>
      <c r="Y21" s="19">
        <f t="shared" si="3"/>
        <v>914305.38</v>
      </c>
      <c r="Z21" s="19">
        <f t="shared" si="3"/>
        <v>1</v>
      </c>
      <c r="AA21" s="19">
        <f t="shared" si="3"/>
        <v>31312.45</v>
      </c>
      <c r="AB21" s="19">
        <f t="shared" si="3"/>
        <v>60233</v>
      </c>
      <c r="AC21" s="19">
        <f t="shared" si="3"/>
        <v>0</v>
      </c>
      <c r="AD21" s="19">
        <f t="shared" si="3"/>
        <v>1704695</v>
      </c>
      <c r="AE21" s="19">
        <f t="shared" si="3"/>
        <v>4219445.15</v>
      </c>
      <c r="AG21" s="16" t="s">
        <v>43</v>
      </c>
      <c r="AI21" s="19">
        <f aca="true" t="shared" si="4" ref="AI21:AU21">SUM(AI15:AI18)</f>
        <v>0</v>
      </c>
      <c r="AJ21" s="19">
        <f t="shared" si="4"/>
        <v>0</v>
      </c>
      <c r="AK21" s="19">
        <f t="shared" si="4"/>
        <v>0</v>
      </c>
      <c r="AL21" s="19">
        <f t="shared" si="4"/>
        <v>0</v>
      </c>
      <c r="AM21" s="19">
        <f t="shared" si="4"/>
        <v>0</v>
      </c>
      <c r="AN21" s="19">
        <f t="shared" si="4"/>
        <v>0</v>
      </c>
      <c r="AO21" s="19">
        <f t="shared" si="4"/>
        <v>0</v>
      </c>
      <c r="AP21" s="19">
        <f t="shared" si="4"/>
        <v>0</v>
      </c>
      <c r="AQ21" s="19">
        <f t="shared" si="4"/>
        <v>0</v>
      </c>
      <c r="AR21" s="19">
        <f t="shared" si="4"/>
        <v>0</v>
      </c>
      <c r="AS21" s="19">
        <f t="shared" si="4"/>
        <v>0</v>
      </c>
      <c r="AT21" s="19">
        <f t="shared" si="4"/>
        <v>0</v>
      </c>
      <c r="AU21" s="19">
        <f t="shared" si="4"/>
        <v>0</v>
      </c>
    </row>
    <row r="22" spans="1:47" s="17" customFormat="1" ht="15">
      <c r="A22" s="16" t="s">
        <v>43</v>
      </c>
      <c r="C22" s="19">
        <f aca="true" t="shared" si="5" ref="C22:O22">SUM(C15:C19)</f>
        <v>25</v>
      </c>
      <c r="D22" s="19">
        <f t="shared" si="5"/>
        <v>18</v>
      </c>
      <c r="E22" s="19">
        <f t="shared" si="5"/>
        <v>1319005</v>
      </c>
      <c r="F22" s="19">
        <f t="shared" si="5"/>
        <v>45049</v>
      </c>
      <c r="G22" s="19">
        <f t="shared" si="5"/>
        <v>18</v>
      </c>
      <c r="H22" s="19">
        <f t="shared" si="5"/>
        <v>443891</v>
      </c>
      <c r="I22" s="19">
        <f t="shared" si="5"/>
        <v>17</v>
      </c>
      <c r="J22" s="19">
        <f t="shared" si="5"/>
        <v>17</v>
      </c>
      <c r="K22" s="19">
        <f t="shared" si="5"/>
        <v>694167</v>
      </c>
      <c r="L22" s="19">
        <f t="shared" si="5"/>
        <v>130001</v>
      </c>
      <c r="M22" s="19">
        <f t="shared" si="5"/>
        <v>699874</v>
      </c>
      <c r="N22" s="19">
        <f t="shared" si="5"/>
        <v>79305</v>
      </c>
      <c r="O22" s="19">
        <f t="shared" si="5"/>
        <v>3411387</v>
      </c>
      <c r="Q22" s="3"/>
      <c r="R22" s="3"/>
      <c r="S22" s="88" t="s">
        <v>30</v>
      </c>
      <c r="T22" s="88" t="s">
        <v>30</v>
      </c>
      <c r="U22" s="88" t="s">
        <v>30</v>
      </c>
      <c r="V22" s="88" t="s">
        <v>30</v>
      </c>
      <c r="W22" s="88" t="s">
        <v>30</v>
      </c>
      <c r="X22" s="88" t="s">
        <v>30</v>
      </c>
      <c r="Y22" s="88" t="s">
        <v>30</v>
      </c>
      <c r="Z22" s="88" t="s">
        <v>30</v>
      </c>
      <c r="AA22" s="88" t="s">
        <v>30</v>
      </c>
      <c r="AB22" s="88" t="s">
        <v>30</v>
      </c>
      <c r="AC22" s="88" t="s">
        <v>30</v>
      </c>
      <c r="AD22" s="88" t="s">
        <v>30</v>
      </c>
      <c r="AE22" s="13" t="s">
        <v>30</v>
      </c>
      <c r="AG22" s="3"/>
      <c r="AH22" s="3"/>
      <c r="AI22" s="88" t="s">
        <v>30</v>
      </c>
      <c r="AJ22" s="88" t="s">
        <v>30</v>
      </c>
      <c r="AK22" s="88" t="s">
        <v>30</v>
      </c>
      <c r="AL22" s="88" t="s">
        <v>30</v>
      </c>
      <c r="AM22" s="88" t="s">
        <v>30</v>
      </c>
      <c r="AN22" s="88" t="s">
        <v>30</v>
      </c>
      <c r="AO22" s="88" t="s">
        <v>30</v>
      </c>
      <c r="AP22" s="88" t="s">
        <v>30</v>
      </c>
      <c r="AQ22" s="88" t="s">
        <v>30</v>
      </c>
      <c r="AR22" s="88" t="s">
        <v>30</v>
      </c>
      <c r="AS22" s="88" t="s">
        <v>30</v>
      </c>
      <c r="AT22" s="88" t="s">
        <v>30</v>
      </c>
      <c r="AU22" s="13" t="s">
        <v>30</v>
      </c>
    </row>
    <row r="23" spans="3:48" ht="15">
      <c r="C23" s="88" t="s">
        <v>30</v>
      </c>
      <c r="D23" s="88" t="s">
        <v>30</v>
      </c>
      <c r="E23" s="88" t="s">
        <v>30</v>
      </c>
      <c r="F23" s="88" t="s">
        <v>30</v>
      </c>
      <c r="G23" s="88" t="s">
        <v>30</v>
      </c>
      <c r="H23" s="88" t="s">
        <v>30</v>
      </c>
      <c r="I23" s="88" t="s">
        <v>30</v>
      </c>
      <c r="J23" s="88" t="s">
        <v>30</v>
      </c>
      <c r="K23" s="88" t="s">
        <v>30</v>
      </c>
      <c r="L23" s="88" t="s">
        <v>30</v>
      </c>
      <c r="M23" s="88" t="s">
        <v>30</v>
      </c>
      <c r="N23" s="88" t="s">
        <v>30</v>
      </c>
      <c r="O23" s="13" t="s">
        <v>30</v>
      </c>
      <c r="P23" s="17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F23" s="17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V23" s="17"/>
    </row>
    <row r="24" spans="3:46" ht="1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Q24" s="5" t="s">
        <v>44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G24" s="5" t="s">
        <v>44</v>
      </c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</row>
    <row r="25" spans="1:48" s="17" customFormat="1" ht="15">
      <c r="A25" s="5" t="s">
        <v>44</v>
      </c>
      <c r="B25" s="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3"/>
      <c r="P25" s="3"/>
      <c r="Q25" s="16" t="s">
        <v>178</v>
      </c>
      <c r="S25" s="93">
        <v>398979</v>
      </c>
      <c r="T25" s="93">
        <v>70467</v>
      </c>
      <c r="U25" s="93">
        <v>441597</v>
      </c>
      <c r="V25" s="93">
        <v>15</v>
      </c>
      <c r="W25" s="93">
        <v>15</v>
      </c>
      <c r="X25" s="93">
        <v>0</v>
      </c>
      <c r="Y25" s="93">
        <v>16000</v>
      </c>
      <c r="Z25" s="93">
        <v>26899</v>
      </c>
      <c r="AA25" s="93">
        <v>76769</v>
      </c>
      <c r="AB25" s="93">
        <v>151723</v>
      </c>
      <c r="AC25" s="93">
        <v>0</v>
      </c>
      <c r="AD25" s="93">
        <v>575788</v>
      </c>
      <c r="AE25" s="19">
        <f>SUM(S25:AD25)</f>
        <v>1758252</v>
      </c>
      <c r="AF25" s="3"/>
      <c r="AG25" s="16" t="s">
        <v>178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19">
        <f>SUM(AI25:AT25)</f>
        <v>0</v>
      </c>
      <c r="AV25" s="3"/>
    </row>
    <row r="26" spans="1:48" ht="15">
      <c r="A26" s="16" t="s">
        <v>178</v>
      </c>
      <c r="B26" s="17"/>
      <c r="C26" s="93">
        <v>248273</v>
      </c>
      <c r="D26" s="93">
        <v>197370</v>
      </c>
      <c r="E26" s="93">
        <v>668971</v>
      </c>
      <c r="F26" s="93">
        <v>509415</v>
      </c>
      <c r="G26" s="93">
        <v>273344</v>
      </c>
      <c r="H26" s="93">
        <v>286554</v>
      </c>
      <c r="I26" s="93">
        <v>164103</v>
      </c>
      <c r="J26" s="93">
        <v>710416</v>
      </c>
      <c r="K26" s="93">
        <v>483518</v>
      </c>
      <c r="L26" s="93">
        <v>106351</v>
      </c>
      <c r="M26" s="93">
        <v>166089</v>
      </c>
      <c r="N26" s="93">
        <v>2701</v>
      </c>
      <c r="O26" s="19">
        <f>SUM(C26:N26)</f>
        <v>3817105</v>
      </c>
      <c r="P26" s="17"/>
      <c r="Q26" s="16" t="s">
        <v>158</v>
      </c>
      <c r="R26" s="17"/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19">
        <f>SUM(S26:AD26)</f>
        <v>0</v>
      </c>
      <c r="AF26" s="17"/>
      <c r="AG26" s="16" t="s">
        <v>158</v>
      </c>
      <c r="AH26" s="17"/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93">
        <v>0</v>
      </c>
      <c r="AU26" s="19">
        <f>SUM(AI26:AT26)</f>
        <v>0</v>
      </c>
      <c r="AV26" s="17"/>
    </row>
    <row r="27" spans="1:47" ht="15">
      <c r="A27" s="16" t="s">
        <v>173</v>
      </c>
      <c r="B27" s="17"/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32683</v>
      </c>
      <c r="N27" s="93">
        <v>0</v>
      </c>
      <c r="O27" s="19">
        <f>SUM(C27:N27)</f>
        <v>32683</v>
      </c>
      <c r="Q27" s="16" t="s">
        <v>173</v>
      </c>
      <c r="R27" s="17"/>
      <c r="S27" s="93">
        <v>411190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19">
        <f>SUM(S27:AD27)</f>
        <v>411190</v>
      </c>
      <c r="AF27" s="17"/>
      <c r="AG27" s="16" t="s">
        <v>37</v>
      </c>
      <c r="AH27" s="17"/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19">
        <f>SUM(AI27:AT27)</f>
        <v>0</v>
      </c>
    </row>
    <row r="28" spans="1:47" ht="15">
      <c r="A28" s="16" t="s">
        <v>37</v>
      </c>
      <c r="B28" s="17"/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250000</v>
      </c>
      <c r="I28" s="93">
        <v>500000</v>
      </c>
      <c r="J28" s="93">
        <v>510000</v>
      </c>
      <c r="K28" s="93">
        <v>0</v>
      </c>
      <c r="L28" s="93">
        <v>0</v>
      </c>
      <c r="M28" s="93">
        <v>0</v>
      </c>
      <c r="N28" s="93">
        <v>335000</v>
      </c>
      <c r="O28" s="19">
        <f>SUM(C28:N28)</f>
        <v>1595000</v>
      </c>
      <c r="Q28" s="16" t="s">
        <v>37</v>
      </c>
      <c r="R28" s="17"/>
      <c r="S28" s="93">
        <v>457000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200000</v>
      </c>
      <c r="Z28" s="93">
        <v>0</v>
      </c>
      <c r="AA28" s="93">
        <v>0</v>
      </c>
      <c r="AB28" s="93">
        <v>0</v>
      </c>
      <c r="AC28" s="93">
        <v>0</v>
      </c>
      <c r="AD28" s="93">
        <v>1675000</v>
      </c>
      <c r="AE28" s="19">
        <f>SUM(S28:AD28)</f>
        <v>2332000</v>
      </c>
      <c r="AI28" s="88" t="s">
        <v>30</v>
      </c>
      <c r="AJ28" s="88" t="s">
        <v>30</v>
      </c>
      <c r="AK28" s="88" t="s">
        <v>30</v>
      </c>
      <c r="AL28" s="88" t="s">
        <v>30</v>
      </c>
      <c r="AM28" s="88" t="s">
        <v>30</v>
      </c>
      <c r="AN28" s="88" t="s">
        <v>30</v>
      </c>
      <c r="AO28" s="88" t="s">
        <v>30</v>
      </c>
      <c r="AP28" s="88" t="s">
        <v>30</v>
      </c>
      <c r="AQ28" s="88" t="s">
        <v>30</v>
      </c>
      <c r="AR28" s="88" t="s">
        <v>30</v>
      </c>
      <c r="AS28" s="88" t="s">
        <v>30</v>
      </c>
      <c r="AT28" s="88" t="s">
        <v>30</v>
      </c>
      <c r="AU28" s="13" t="s">
        <v>30</v>
      </c>
    </row>
    <row r="29" spans="1:48" s="17" customFormat="1" ht="15">
      <c r="A29" s="3"/>
      <c r="B29" s="3"/>
      <c r="C29" s="88" t="s">
        <v>30</v>
      </c>
      <c r="D29" s="88" t="s">
        <v>30</v>
      </c>
      <c r="E29" s="88" t="s">
        <v>30</v>
      </c>
      <c r="F29" s="88" t="s">
        <v>30</v>
      </c>
      <c r="G29" s="88" t="s">
        <v>30</v>
      </c>
      <c r="H29" s="88" t="s">
        <v>30</v>
      </c>
      <c r="I29" s="88" t="s">
        <v>30</v>
      </c>
      <c r="J29" s="88" t="s">
        <v>30</v>
      </c>
      <c r="K29" s="88" t="s">
        <v>30</v>
      </c>
      <c r="L29" s="88" t="s">
        <v>30</v>
      </c>
      <c r="M29" s="88" t="s">
        <v>30</v>
      </c>
      <c r="N29" s="88" t="s">
        <v>30</v>
      </c>
      <c r="O29" s="13" t="s">
        <v>30</v>
      </c>
      <c r="P29" s="3"/>
      <c r="Q29" s="3"/>
      <c r="R29" s="3"/>
      <c r="S29" s="88" t="s">
        <v>30</v>
      </c>
      <c r="T29" s="88" t="s">
        <v>30</v>
      </c>
      <c r="U29" s="88" t="s">
        <v>30</v>
      </c>
      <c r="V29" s="88" t="s">
        <v>30</v>
      </c>
      <c r="W29" s="88" t="s">
        <v>30</v>
      </c>
      <c r="X29" s="88" t="s">
        <v>30</v>
      </c>
      <c r="Y29" s="88" t="s">
        <v>30</v>
      </c>
      <c r="Z29" s="88" t="s">
        <v>30</v>
      </c>
      <c r="AA29" s="88" t="s">
        <v>30</v>
      </c>
      <c r="AB29" s="88" t="s">
        <v>30</v>
      </c>
      <c r="AC29" s="88" t="s">
        <v>30</v>
      </c>
      <c r="AD29" s="88" t="s">
        <v>30</v>
      </c>
      <c r="AE29" s="13" t="s">
        <v>30</v>
      </c>
      <c r="AF29" s="3"/>
      <c r="AG29" s="16" t="s">
        <v>49</v>
      </c>
      <c r="AI29" s="19">
        <f aca="true" t="shared" si="6" ref="AI29:AU29">SUM(AI25:AI27)</f>
        <v>0</v>
      </c>
      <c r="AJ29" s="19">
        <f t="shared" si="6"/>
        <v>0</v>
      </c>
      <c r="AK29" s="19">
        <f t="shared" si="6"/>
        <v>0</v>
      </c>
      <c r="AL29" s="19">
        <f t="shared" si="6"/>
        <v>0</v>
      </c>
      <c r="AM29" s="19">
        <f t="shared" si="6"/>
        <v>0</v>
      </c>
      <c r="AN29" s="19">
        <f t="shared" si="6"/>
        <v>0</v>
      </c>
      <c r="AO29" s="19">
        <f t="shared" si="6"/>
        <v>0</v>
      </c>
      <c r="AP29" s="19">
        <f t="shared" si="6"/>
        <v>0</v>
      </c>
      <c r="AQ29" s="19">
        <f t="shared" si="6"/>
        <v>0</v>
      </c>
      <c r="AR29" s="19">
        <f t="shared" si="6"/>
        <v>0</v>
      </c>
      <c r="AS29" s="19">
        <f t="shared" si="6"/>
        <v>0</v>
      </c>
      <c r="AT29" s="19">
        <f t="shared" si="6"/>
        <v>0</v>
      </c>
      <c r="AU29" s="19">
        <f t="shared" si="6"/>
        <v>0</v>
      </c>
      <c r="AV29" s="3"/>
    </row>
    <row r="30" spans="1:47" s="17" customFormat="1" ht="15">
      <c r="A30" s="16" t="s">
        <v>49</v>
      </c>
      <c r="C30" s="19">
        <f aca="true" t="shared" si="7" ref="C30:O30">SUM(C26:C28)</f>
        <v>248273</v>
      </c>
      <c r="D30" s="19">
        <f t="shared" si="7"/>
        <v>197370</v>
      </c>
      <c r="E30" s="19">
        <f t="shared" si="7"/>
        <v>668971</v>
      </c>
      <c r="F30" s="19">
        <f t="shared" si="7"/>
        <v>509415</v>
      </c>
      <c r="G30" s="19">
        <f t="shared" si="7"/>
        <v>273344</v>
      </c>
      <c r="H30" s="19">
        <f t="shared" si="7"/>
        <v>536554</v>
      </c>
      <c r="I30" s="19">
        <f t="shared" si="7"/>
        <v>664103</v>
      </c>
      <c r="J30" s="19">
        <f t="shared" si="7"/>
        <v>1220416</v>
      </c>
      <c r="K30" s="19">
        <f t="shared" si="7"/>
        <v>483518</v>
      </c>
      <c r="L30" s="19">
        <f t="shared" si="7"/>
        <v>106351</v>
      </c>
      <c r="M30" s="19">
        <f t="shared" si="7"/>
        <v>198772</v>
      </c>
      <c r="N30" s="19">
        <f t="shared" si="7"/>
        <v>337701</v>
      </c>
      <c r="O30" s="19">
        <f t="shared" si="7"/>
        <v>5444788</v>
      </c>
      <c r="Q30" s="16" t="s">
        <v>49</v>
      </c>
      <c r="S30" s="19">
        <f aca="true" t="shared" si="8" ref="S30:AE30">SUM(S25:S28)</f>
        <v>1267169</v>
      </c>
      <c r="T30" s="19">
        <f t="shared" si="8"/>
        <v>70467</v>
      </c>
      <c r="U30" s="19">
        <f t="shared" si="8"/>
        <v>441597</v>
      </c>
      <c r="V30" s="19">
        <f t="shared" si="8"/>
        <v>15</v>
      </c>
      <c r="W30" s="19">
        <f t="shared" si="8"/>
        <v>15</v>
      </c>
      <c r="X30" s="19">
        <f t="shared" si="8"/>
        <v>0</v>
      </c>
      <c r="Y30" s="19">
        <f t="shared" si="8"/>
        <v>216000</v>
      </c>
      <c r="Z30" s="19">
        <f t="shared" si="8"/>
        <v>26899</v>
      </c>
      <c r="AA30" s="19">
        <f t="shared" si="8"/>
        <v>76769</v>
      </c>
      <c r="AB30" s="19">
        <f t="shared" si="8"/>
        <v>151723</v>
      </c>
      <c r="AC30" s="19">
        <f t="shared" si="8"/>
        <v>0</v>
      </c>
      <c r="AD30" s="19">
        <f t="shared" si="8"/>
        <v>2250788</v>
      </c>
      <c r="AE30" s="19">
        <f t="shared" si="8"/>
        <v>4501442</v>
      </c>
      <c r="AF30" s="3"/>
      <c r="AG30" s="3"/>
      <c r="AH30" s="3"/>
      <c r="AI30" s="13" t="s">
        <v>30</v>
      </c>
      <c r="AJ30" s="13" t="s">
        <v>30</v>
      </c>
      <c r="AK30" s="13" t="s">
        <v>30</v>
      </c>
      <c r="AL30" s="13" t="s">
        <v>30</v>
      </c>
      <c r="AM30" s="13" t="s">
        <v>30</v>
      </c>
      <c r="AN30" s="13" t="s">
        <v>30</v>
      </c>
      <c r="AO30" s="13" t="s">
        <v>30</v>
      </c>
      <c r="AP30" s="13" t="s">
        <v>30</v>
      </c>
      <c r="AQ30" s="13" t="s">
        <v>30</v>
      </c>
      <c r="AR30" s="13" t="s">
        <v>30</v>
      </c>
      <c r="AS30" s="13" t="s">
        <v>30</v>
      </c>
      <c r="AT30" s="13" t="s">
        <v>30</v>
      </c>
      <c r="AU30" s="13" t="s">
        <v>30</v>
      </c>
    </row>
    <row r="31" spans="1:47" s="17" customFormat="1" ht="15">
      <c r="A31" s="3"/>
      <c r="B31" s="3"/>
      <c r="C31" s="13" t="s">
        <v>30</v>
      </c>
      <c r="D31" s="13" t="s">
        <v>30</v>
      </c>
      <c r="E31" s="13" t="s">
        <v>30</v>
      </c>
      <c r="F31" s="13" t="s">
        <v>30</v>
      </c>
      <c r="G31" s="13" t="s">
        <v>30</v>
      </c>
      <c r="H31" s="13" t="s">
        <v>30</v>
      </c>
      <c r="I31" s="13" t="s">
        <v>30</v>
      </c>
      <c r="J31" s="13" t="s">
        <v>30</v>
      </c>
      <c r="K31" s="13" t="s">
        <v>30</v>
      </c>
      <c r="L31" s="13" t="s">
        <v>30</v>
      </c>
      <c r="M31" s="13" t="s">
        <v>30</v>
      </c>
      <c r="N31" s="13" t="s">
        <v>30</v>
      </c>
      <c r="O31" s="13" t="s">
        <v>30</v>
      </c>
      <c r="Q31" s="3"/>
      <c r="R31" s="3"/>
      <c r="S31" s="13" t="s">
        <v>30</v>
      </c>
      <c r="T31" s="13" t="s">
        <v>30</v>
      </c>
      <c r="U31" s="13" t="s">
        <v>30</v>
      </c>
      <c r="V31" s="13" t="s">
        <v>30</v>
      </c>
      <c r="W31" s="13" t="s">
        <v>30</v>
      </c>
      <c r="X31" s="13" t="s">
        <v>30</v>
      </c>
      <c r="Y31" s="13" t="s">
        <v>30</v>
      </c>
      <c r="Z31" s="13" t="s">
        <v>30</v>
      </c>
      <c r="AA31" s="13" t="s">
        <v>30</v>
      </c>
      <c r="AB31" s="13" t="s">
        <v>30</v>
      </c>
      <c r="AC31" s="13" t="s">
        <v>30</v>
      </c>
      <c r="AD31" s="13" t="s">
        <v>30</v>
      </c>
      <c r="AE31" s="13" t="s">
        <v>30</v>
      </c>
      <c r="AG31" s="3"/>
      <c r="AH31" s="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</row>
    <row r="32" spans="1:47" s="17" customFormat="1" ht="15">
      <c r="A32" s="3"/>
      <c r="B32" s="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Q32" s="3"/>
      <c r="R32" s="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6:48" ht="15">
      <c r="P33" s="17"/>
      <c r="AF33" s="17"/>
      <c r="AG33" s="5" t="s">
        <v>52</v>
      </c>
      <c r="AI33" s="15">
        <f aca="true" t="shared" si="9" ref="AI33:AU33">AI11+AI21-AI29</f>
        <v>0.15000000037252903</v>
      </c>
      <c r="AJ33" s="15">
        <f t="shared" si="9"/>
        <v>0.15000000037252903</v>
      </c>
      <c r="AK33" s="15">
        <f t="shared" si="9"/>
        <v>0.15000000037252903</v>
      </c>
      <c r="AL33" s="15">
        <f t="shared" si="9"/>
        <v>0.15000000037252903</v>
      </c>
      <c r="AM33" s="15">
        <f t="shared" si="9"/>
        <v>0.15000000037252903</v>
      </c>
      <c r="AN33" s="15">
        <f t="shared" si="9"/>
        <v>0.15000000037252903</v>
      </c>
      <c r="AO33" s="15">
        <f t="shared" si="9"/>
        <v>0.15000000037252903</v>
      </c>
      <c r="AP33" s="15">
        <f t="shared" si="9"/>
        <v>0.15000000037252903</v>
      </c>
      <c r="AQ33" s="15">
        <f t="shared" si="9"/>
        <v>0.15000000037252903</v>
      </c>
      <c r="AR33" s="15">
        <f t="shared" si="9"/>
        <v>0.15000000037252903</v>
      </c>
      <c r="AS33" s="15">
        <f t="shared" si="9"/>
        <v>0.15000000037252903</v>
      </c>
      <c r="AT33" s="15">
        <f t="shared" si="9"/>
        <v>0.15000000037252903</v>
      </c>
      <c r="AU33" s="15">
        <f t="shared" si="9"/>
        <v>0.15000000037252903</v>
      </c>
      <c r="AV33" s="17"/>
    </row>
    <row r="34" spans="1:47" s="17" customFormat="1" ht="15">
      <c r="A34" s="5" t="s">
        <v>52</v>
      </c>
      <c r="B34" s="3"/>
      <c r="C34" s="15">
        <f aca="true" t="shared" si="10" ref="C34:O34">C11+C22-C30</f>
        <v>2067150</v>
      </c>
      <c r="D34" s="15">
        <f t="shared" si="10"/>
        <v>1869798</v>
      </c>
      <c r="E34" s="15">
        <f t="shared" si="10"/>
        <v>2519832</v>
      </c>
      <c r="F34" s="15">
        <f t="shared" si="10"/>
        <v>2055466</v>
      </c>
      <c r="G34" s="15">
        <f t="shared" si="10"/>
        <v>1782140</v>
      </c>
      <c r="H34" s="15">
        <f t="shared" si="10"/>
        <v>1689477</v>
      </c>
      <c r="I34" s="15">
        <f t="shared" si="10"/>
        <v>1025391</v>
      </c>
      <c r="J34" s="15">
        <f t="shared" si="10"/>
        <v>-195008</v>
      </c>
      <c r="K34" s="15">
        <f t="shared" si="10"/>
        <v>15641</v>
      </c>
      <c r="L34" s="15">
        <f t="shared" si="10"/>
        <v>39291</v>
      </c>
      <c r="M34" s="15">
        <f t="shared" si="10"/>
        <v>540393</v>
      </c>
      <c r="N34" s="15">
        <f t="shared" si="10"/>
        <v>281997</v>
      </c>
      <c r="O34" s="15">
        <f t="shared" si="10"/>
        <v>281997</v>
      </c>
      <c r="Q34" s="5" t="s">
        <v>52</v>
      </c>
      <c r="R34" s="3"/>
      <c r="S34" s="15">
        <f aca="true" t="shared" si="11" ref="S34:AE34">S11+S21-S30</f>
        <v>-376437.54000000004</v>
      </c>
      <c r="T34" s="15">
        <f t="shared" si="11"/>
        <v>28257.579999999958</v>
      </c>
      <c r="U34" s="15">
        <f t="shared" si="11"/>
        <v>-203338.96000000005</v>
      </c>
      <c r="V34" s="15">
        <f t="shared" si="11"/>
        <v>11646.469999999943</v>
      </c>
      <c r="W34" s="15">
        <f t="shared" si="11"/>
        <v>11631.889999999943</v>
      </c>
      <c r="X34" s="15">
        <f t="shared" si="11"/>
        <v>11632.319999999943</v>
      </c>
      <c r="Y34" s="15">
        <f t="shared" si="11"/>
        <v>709937.7</v>
      </c>
      <c r="Z34" s="15">
        <f t="shared" si="11"/>
        <v>683039.7</v>
      </c>
      <c r="AA34" s="15">
        <f t="shared" si="11"/>
        <v>637583.1499999999</v>
      </c>
      <c r="AB34" s="15">
        <f t="shared" si="11"/>
        <v>546093.1499999999</v>
      </c>
      <c r="AC34" s="15">
        <f t="shared" si="11"/>
        <v>546093.1499999999</v>
      </c>
      <c r="AD34" s="15">
        <f t="shared" si="11"/>
        <v>0.14999999990686774</v>
      </c>
      <c r="AE34" s="15">
        <f t="shared" si="11"/>
        <v>0.15000000037252903</v>
      </c>
      <c r="AG34" s="3"/>
      <c r="AH34" s="3"/>
      <c r="AI34" s="13" t="s">
        <v>53</v>
      </c>
      <c r="AJ34" s="13" t="s">
        <v>53</v>
      </c>
      <c r="AK34" s="13" t="s">
        <v>53</v>
      </c>
      <c r="AL34" s="13" t="s">
        <v>53</v>
      </c>
      <c r="AM34" s="13" t="s">
        <v>53</v>
      </c>
      <c r="AN34" s="13" t="s">
        <v>53</v>
      </c>
      <c r="AO34" s="13" t="s">
        <v>53</v>
      </c>
      <c r="AP34" s="13" t="s">
        <v>53</v>
      </c>
      <c r="AQ34" s="13" t="s">
        <v>53</v>
      </c>
      <c r="AR34" s="13" t="s">
        <v>53</v>
      </c>
      <c r="AS34" s="13" t="s">
        <v>53</v>
      </c>
      <c r="AT34" s="13" t="s">
        <v>53</v>
      </c>
      <c r="AU34" s="13" t="s">
        <v>53</v>
      </c>
    </row>
    <row r="35" spans="3:48" ht="15">
      <c r="C35" s="13" t="s">
        <v>53</v>
      </c>
      <c r="D35" s="13" t="s">
        <v>53</v>
      </c>
      <c r="E35" s="13" t="s">
        <v>53</v>
      </c>
      <c r="F35" s="13" t="s">
        <v>53</v>
      </c>
      <c r="G35" s="13" t="s">
        <v>53</v>
      </c>
      <c r="H35" s="13" t="s">
        <v>53</v>
      </c>
      <c r="I35" s="13" t="s">
        <v>53</v>
      </c>
      <c r="J35" s="13" t="s">
        <v>53</v>
      </c>
      <c r="K35" s="13" t="s">
        <v>53</v>
      </c>
      <c r="L35" s="13" t="s">
        <v>53</v>
      </c>
      <c r="M35" s="13" t="s">
        <v>53</v>
      </c>
      <c r="N35" s="13" t="s">
        <v>53</v>
      </c>
      <c r="O35" s="13" t="s">
        <v>53</v>
      </c>
      <c r="P35" s="17"/>
      <c r="S35" s="13" t="s">
        <v>53</v>
      </c>
      <c r="T35" s="13" t="s">
        <v>53</v>
      </c>
      <c r="U35" s="13" t="s">
        <v>53</v>
      </c>
      <c r="V35" s="13" t="s">
        <v>53</v>
      </c>
      <c r="W35" s="13" t="s">
        <v>53</v>
      </c>
      <c r="X35" s="13" t="s">
        <v>53</v>
      </c>
      <c r="Y35" s="13" t="s">
        <v>53</v>
      </c>
      <c r="Z35" s="13" t="s">
        <v>53</v>
      </c>
      <c r="AA35" s="13" t="s">
        <v>53</v>
      </c>
      <c r="AB35" s="13" t="s">
        <v>53</v>
      </c>
      <c r="AC35" s="13" t="s">
        <v>53</v>
      </c>
      <c r="AD35" s="13" t="s">
        <v>53</v>
      </c>
      <c r="AE35" s="13" t="s">
        <v>53</v>
      </c>
      <c r="AF35" s="17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17"/>
    </row>
    <row r="36" spans="3:32" ht="15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17"/>
    </row>
    <row r="37" spans="16:48" ht="15">
      <c r="P37" s="17"/>
      <c r="AG37" s="68"/>
      <c r="AI37" s="99"/>
      <c r="AJ37" s="83"/>
      <c r="AK37" s="83"/>
      <c r="AL37" s="83"/>
      <c r="AT37" s="96" t="s">
        <v>157</v>
      </c>
      <c r="AU37" s="55"/>
      <c r="AV37" s="17"/>
    </row>
    <row r="38" spans="1:47" ht="15">
      <c r="A38" s="68"/>
      <c r="C38" s="99"/>
      <c r="D38" s="83"/>
      <c r="E38" s="83"/>
      <c r="F38" s="83"/>
      <c r="O38" s="55"/>
      <c r="Q38" s="68"/>
      <c r="S38" s="99"/>
      <c r="T38" s="83"/>
      <c r="U38" s="83"/>
      <c r="V38" s="83"/>
      <c r="AE38" s="55"/>
      <c r="AF38" s="17"/>
      <c r="AG38" s="98"/>
      <c r="AI38" s="13"/>
      <c r="AJ38" s="15"/>
      <c r="AK38" s="83"/>
      <c r="AL38" s="83"/>
      <c r="AO38" s="3" t="s">
        <v>176</v>
      </c>
      <c r="AT38" s="82">
        <f>AI6</f>
        <v>0</v>
      </c>
      <c r="AU38" s="55"/>
    </row>
    <row r="39" spans="1:47" ht="15">
      <c r="A39" s="98"/>
      <c r="C39" s="13"/>
      <c r="D39" s="15"/>
      <c r="E39" s="83"/>
      <c r="F39" s="83"/>
      <c r="O39" s="55"/>
      <c r="Q39" s="98"/>
      <c r="S39" s="13"/>
      <c r="T39" s="15"/>
      <c r="U39" s="83"/>
      <c r="V39" s="83"/>
      <c r="AE39" s="55"/>
      <c r="AI39" s="84"/>
      <c r="AK39" s="83"/>
      <c r="AL39" s="83"/>
      <c r="AU39" s="55"/>
    </row>
    <row r="40" spans="3:47" ht="15">
      <c r="C40" s="84"/>
      <c r="E40" s="83"/>
      <c r="F40" s="83"/>
      <c r="O40" s="55"/>
      <c r="S40" s="84"/>
      <c r="U40" s="83"/>
      <c r="V40" s="83"/>
      <c r="AE40" s="55"/>
      <c r="AI40" s="97"/>
      <c r="AK40" s="83"/>
      <c r="AL40" s="83"/>
      <c r="AO40" s="3" t="s">
        <v>155</v>
      </c>
      <c r="AT40" s="85">
        <v>0</v>
      </c>
      <c r="AU40" s="55"/>
    </row>
    <row r="41" spans="3:47" ht="15">
      <c r="C41" s="97"/>
      <c r="E41" s="83"/>
      <c r="F41" s="83"/>
      <c r="O41" s="55"/>
      <c r="S41" s="97"/>
      <c r="U41" s="83"/>
      <c r="V41" s="83"/>
      <c r="AE41" s="55"/>
      <c r="AI41" s="97"/>
      <c r="AT41" s="13" t="s">
        <v>30</v>
      </c>
      <c r="AU41" s="55"/>
    </row>
    <row r="42" spans="3:47" ht="15">
      <c r="C42" s="97"/>
      <c r="O42" s="55"/>
      <c r="S42" s="97"/>
      <c r="AE42" s="55"/>
      <c r="AI42" s="87"/>
      <c r="AK42" s="83"/>
      <c r="AL42" s="83"/>
      <c r="AO42" s="3" t="s">
        <v>156</v>
      </c>
      <c r="AT42" s="86">
        <f>SUM(AT38:AT40)</f>
        <v>0</v>
      </c>
      <c r="AU42" s="55"/>
    </row>
    <row r="43" spans="3:47" ht="15">
      <c r="C43" s="87"/>
      <c r="E43" s="83"/>
      <c r="F43" s="83"/>
      <c r="O43" s="55"/>
      <c r="S43" s="87"/>
      <c r="U43" s="83"/>
      <c r="V43" s="83"/>
      <c r="AE43" s="55"/>
      <c r="AI43" s="100"/>
      <c r="AJ43" s="102"/>
      <c r="AK43" s="83"/>
      <c r="AL43" s="83"/>
      <c r="AU43" s="55"/>
    </row>
    <row r="44" spans="3:47" ht="15">
      <c r="C44" s="100"/>
      <c r="D44" s="102"/>
      <c r="E44" s="83"/>
      <c r="F44" s="83"/>
      <c r="O44" s="55"/>
      <c r="S44" s="100"/>
      <c r="T44" s="102"/>
      <c r="U44" s="83"/>
      <c r="V44" s="83"/>
      <c r="AE44" s="55"/>
      <c r="AI44" s="13"/>
      <c r="AJ44" s="15"/>
      <c r="AK44" s="83"/>
      <c r="AL44" s="83"/>
      <c r="AM44" s="83"/>
      <c r="AO44" s="3" t="s">
        <v>153</v>
      </c>
      <c r="AT44" s="103">
        <v>0.85</v>
      </c>
      <c r="AU44" s="55"/>
    </row>
    <row r="45" spans="3:47" ht="15">
      <c r="C45" s="13"/>
      <c r="D45" s="15"/>
      <c r="E45" s="83"/>
      <c r="F45" s="83"/>
      <c r="G45" s="83"/>
      <c r="O45" s="55"/>
      <c r="S45" s="13"/>
      <c r="T45" s="15"/>
      <c r="U45" s="83"/>
      <c r="V45" s="83"/>
      <c r="W45" s="83"/>
      <c r="AE45" s="55"/>
      <c r="AI45" s="101"/>
      <c r="AJ45" s="15"/>
      <c r="AK45" s="83"/>
      <c r="AL45" s="83"/>
      <c r="AM45" s="83"/>
      <c r="AT45" s="13" t="s">
        <v>30</v>
      </c>
      <c r="AU45" s="55"/>
    </row>
    <row r="46" spans="3:47" ht="15">
      <c r="C46" s="101"/>
      <c r="D46" s="15"/>
      <c r="E46" s="83"/>
      <c r="F46" s="83"/>
      <c r="G46" s="83"/>
      <c r="O46" s="55"/>
      <c r="S46" s="101"/>
      <c r="T46" s="15"/>
      <c r="U46" s="83"/>
      <c r="V46" s="83"/>
      <c r="W46" s="83"/>
      <c r="AE46" s="55"/>
      <c r="AI46" s="13"/>
      <c r="AO46" s="3" t="s">
        <v>159</v>
      </c>
      <c r="AQ46" s="15"/>
      <c r="AT46" s="15">
        <f>AT42*AT44</f>
        <v>0</v>
      </c>
      <c r="AU46" s="55"/>
    </row>
    <row r="47" spans="3:47" ht="15">
      <c r="C47" s="13"/>
      <c r="O47" s="55"/>
      <c r="S47" s="13"/>
      <c r="AE47" s="55"/>
      <c r="AO47" s="83"/>
      <c r="AP47" s="83"/>
      <c r="AQ47" s="83"/>
      <c r="AS47" s="13"/>
      <c r="AT47" s="13" t="s">
        <v>53</v>
      </c>
      <c r="AU47" s="55"/>
    </row>
    <row r="48" spans="15:47" ht="15">
      <c r="O48" s="55"/>
      <c r="AE48" s="55"/>
      <c r="AI48" s="99"/>
      <c r="AO48" s="83"/>
      <c r="AP48" s="83"/>
      <c r="AQ48" s="83"/>
      <c r="AS48" s="13"/>
      <c r="AU48" s="55"/>
    </row>
    <row r="49" spans="3:35" ht="15">
      <c r="C49" s="99"/>
      <c r="I49" s="83"/>
      <c r="J49" s="83"/>
      <c r="K49" s="83"/>
      <c r="M49" s="13"/>
      <c r="O49" s="55"/>
      <c r="S49" s="99"/>
      <c r="Y49" s="83"/>
      <c r="Z49" s="83"/>
      <c r="AA49" s="83"/>
      <c r="AC49" s="13"/>
      <c r="AE49" s="55"/>
      <c r="AI49" s="13"/>
    </row>
    <row r="50" spans="3:35" ht="15">
      <c r="C50" s="13"/>
      <c r="S50" s="13"/>
      <c r="AI50" s="101"/>
    </row>
    <row r="51" spans="3:35" ht="15">
      <c r="C51" s="101"/>
      <c r="S51" s="101"/>
      <c r="AI51" s="85"/>
    </row>
    <row r="52" spans="3:35" ht="15">
      <c r="C52" s="85"/>
      <c r="S52" s="85"/>
      <c r="AI52" s="13"/>
    </row>
    <row r="53" spans="3:35" ht="15">
      <c r="C53" s="13"/>
      <c r="S53" s="13"/>
      <c r="AI53" s="101"/>
    </row>
    <row r="54" spans="3:35" ht="15">
      <c r="C54" s="101"/>
      <c r="S54" s="101"/>
      <c r="AI54" s="13"/>
    </row>
    <row r="55" spans="3:19" ht="15">
      <c r="C55" s="13"/>
      <c r="S55" s="13"/>
    </row>
  </sheetData>
  <sheetProtection/>
  <mergeCells count="9">
    <mergeCell ref="AG1:AU1"/>
    <mergeCell ref="AG2:AU2"/>
    <mergeCell ref="AG3:AU3"/>
    <mergeCell ref="A1:O1"/>
    <mergeCell ref="A2:O2"/>
    <mergeCell ref="A3:O3"/>
    <mergeCell ref="Q1:AE1"/>
    <mergeCell ref="Q2:AE2"/>
    <mergeCell ref="Q3:AE3"/>
  </mergeCells>
  <printOptions horizontalCentered="1"/>
  <pageMargins left="0.5" right="0.5" top="0.75" bottom="0.75" header="0.5" footer="0.5"/>
  <pageSetup horizontalDpi="600" verticalDpi="600" orientation="landscape" scale="55" r:id="rId1"/>
  <colBreaks count="1" manualBreakCount="1">
    <brk id="1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V49"/>
  <sheetViews>
    <sheetView view="pageBreakPreview" zoomScale="75" zoomScaleSheetLayoutView="75" zoomScalePageLayoutView="0" workbookViewId="0" topLeftCell="A1">
      <selection activeCell="A1" sqref="A1:O1"/>
    </sheetView>
  </sheetViews>
  <sheetFormatPr defaultColWidth="8.140625" defaultRowHeight="12.75"/>
  <cols>
    <col min="1" max="1" width="40.57421875" style="3" customWidth="1"/>
    <col min="2" max="2" width="2.7109375" style="3" customWidth="1"/>
    <col min="3" max="3" width="13.28125" style="3" bestFit="1" customWidth="1"/>
    <col min="4" max="7" width="13.00390625" style="3" bestFit="1" customWidth="1"/>
    <col min="8" max="8" width="15.28125" style="3" bestFit="1" customWidth="1"/>
    <col min="9" max="11" width="13.00390625" style="3" bestFit="1" customWidth="1"/>
    <col min="12" max="12" width="12.7109375" style="3" customWidth="1"/>
    <col min="13" max="13" width="12.8515625" style="3" customWidth="1"/>
    <col min="14" max="14" width="13.28125" style="3" bestFit="1" customWidth="1"/>
    <col min="15" max="15" width="13.00390625" style="3" customWidth="1"/>
    <col min="16" max="16" width="2.7109375" style="3" customWidth="1"/>
    <col min="17" max="17" width="40.57421875" style="3" customWidth="1"/>
    <col min="18" max="18" width="2.7109375" style="3" customWidth="1"/>
    <col min="19" max="19" width="13.28125" style="3" bestFit="1" customWidth="1"/>
    <col min="20" max="23" width="13.00390625" style="3" bestFit="1" customWidth="1"/>
    <col min="24" max="24" width="15.28125" style="3" bestFit="1" customWidth="1"/>
    <col min="25" max="27" width="13.00390625" style="3" bestFit="1" customWidth="1"/>
    <col min="28" max="28" width="12.7109375" style="3" customWidth="1"/>
    <col min="29" max="29" width="12.8515625" style="3" customWidth="1"/>
    <col min="30" max="30" width="13.28125" style="3" bestFit="1" customWidth="1"/>
    <col min="31" max="31" width="13.00390625" style="3" customWidth="1"/>
    <col min="32" max="32" width="2.7109375" style="3" customWidth="1"/>
    <col min="33" max="33" width="40.57421875" style="3" customWidth="1"/>
    <col min="34" max="34" width="2.7109375" style="3" customWidth="1"/>
    <col min="35" max="35" width="13.28125" style="3" bestFit="1" customWidth="1"/>
    <col min="36" max="39" width="13.00390625" style="3" bestFit="1" customWidth="1"/>
    <col min="40" max="40" width="15.28125" style="3" bestFit="1" customWidth="1"/>
    <col min="41" max="43" width="13.00390625" style="3" bestFit="1" customWidth="1"/>
    <col min="44" max="44" width="12.7109375" style="3" customWidth="1"/>
    <col min="45" max="45" width="12.8515625" style="3" customWidth="1"/>
    <col min="46" max="46" width="13.28125" style="3" bestFit="1" customWidth="1"/>
    <col min="47" max="47" width="13.00390625" style="3" customWidth="1"/>
    <col min="48" max="48" width="2.7109375" style="3" customWidth="1"/>
    <col min="49" max="16384" width="8.140625" style="3" customWidth="1"/>
  </cols>
  <sheetData>
    <row r="1" spans="1:47" ht="15">
      <c r="A1" s="106" t="s">
        <v>150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Q1" s="106" t="s">
        <v>150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G1" s="106" t="s">
        <v>150</v>
      </c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</row>
    <row r="2" spans="1:47" ht="15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Q2" s="107" t="s">
        <v>5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G2" s="107" t="s">
        <v>5</v>
      </c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</row>
    <row r="3" spans="1:47" ht="15">
      <c r="A3" s="107">
        <v>2009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Q3" s="107">
        <v>2010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G3" s="107">
        <v>2011</v>
      </c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</row>
    <row r="4" spans="1:43" ht="15">
      <c r="A4" s="89" t="s">
        <v>13</v>
      </c>
      <c r="B4" s="83"/>
      <c r="C4" s="89" t="s">
        <v>164</v>
      </c>
      <c r="D4" s="83"/>
      <c r="E4" s="83"/>
      <c r="F4" s="83"/>
      <c r="G4" s="89"/>
      <c r="H4" s="90"/>
      <c r="I4" s="83"/>
      <c r="J4" s="83"/>
      <c r="K4" s="83"/>
      <c r="Q4" s="89" t="s">
        <v>13</v>
      </c>
      <c r="R4" s="83"/>
      <c r="S4" s="89" t="s">
        <v>164</v>
      </c>
      <c r="T4" s="83"/>
      <c r="U4" s="83"/>
      <c r="V4" s="83"/>
      <c r="W4" s="89"/>
      <c r="X4" s="90"/>
      <c r="Y4" s="83"/>
      <c r="Z4" s="83"/>
      <c r="AA4" s="83"/>
      <c r="AG4" s="89" t="s">
        <v>13</v>
      </c>
      <c r="AH4" s="83"/>
      <c r="AI4" s="89" t="s">
        <v>164</v>
      </c>
      <c r="AJ4" s="83"/>
      <c r="AK4" s="83"/>
      <c r="AL4" s="83"/>
      <c r="AM4" s="89"/>
      <c r="AN4" s="90"/>
      <c r="AO4" s="83"/>
      <c r="AP4" s="83"/>
      <c r="AQ4" s="83"/>
    </row>
    <row r="5" spans="1:43" ht="15">
      <c r="A5" s="83"/>
      <c r="B5" s="83"/>
      <c r="C5" s="89"/>
      <c r="D5" s="83"/>
      <c r="E5" s="83"/>
      <c r="F5" s="83"/>
      <c r="H5" s="83"/>
      <c r="I5" s="83"/>
      <c r="J5" s="83"/>
      <c r="K5" s="83"/>
      <c r="Q5" s="83"/>
      <c r="R5" s="83"/>
      <c r="S5" s="88" t="s">
        <v>183</v>
      </c>
      <c r="T5" s="83"/>
      <c r="U5" s="83"/>
      <c r="V5" s="83"/>
      <c r="X5" s="83"/>
      <c r="Y5" s="83"/>
      <c r="Z5" s="83"/>
      <c r="AA5" s="83"/>
      <c r="AG5" s="83"/>
      <c r="AH5" s="83"/>
      <c r="AI5" s="89"/>
      <c r="AJ5" s="83"/>
      <c r="AK5" s="83"/>
      <c r="AL5" s="83"/>
      <c r="AN5" s="83"/>
      <c r="AO5" s="83"/>
      <c r="AP5" s="83"/>
      <c r="AQ5" s="83"/>
    </row>
    <row r="6" spans="1:43" ht="15">
      <c r="A6" s="89" t="s">
        <v>14</v>
      </c>
      <c r="B6" s="91"/>
      <c r="C6" s="92">
        <v>2925821</v>
      </c>
      <c r="D6" s="83"/>
      <c r="E6" s="83"/>
      <c r="F6" s="83"/>
      <c r="H6" s="83"/>
      <c r="I6" s="83"/>
      <c r="J6" s="83"/>
      <c r="K6" s="83"/>
      <c r="Q6" s="89" t="s">
        <v>14</v>
      </c>
      <c r="R6" s="91"/>
      <c r="S6" s="92">
        <v>3920804</v>
      </c>
      <c r="T6" s="83"/>
      <c r="U6" s="83"/>
      <c r="V6" s="83"/>
      <c r="X6" s="83"/>
      <c r="Y6" s="83"/>
      <c r="Z6" s="83"/>
      <c r="AA6" s="83"/>
      <c r="AG6" s="89" t="s">
        <v>14</v>
      </c>
      <c r="AH6" s="91"/>
      <c r="AI6" s="92">
        <v>3920804</v>
      </c>
      <c r="AJ6" s="83"/>
      <c r="AK6" s="83"/>
      <c r="AL6" s="83"/>
      <c r="AN6" s="83"/>
      <c r="AO6" s="83"/>
      <c r="AP6" s="83"/>
      <c r="AQ6" s="83"/>
    </row>
    <row r="7" s="55" customFormat="1" ht="15"/>
    <row r="8" spans="1:47" ht="15">
      <c r="A8" s="83"/>
      <c r="B8" s="8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83"/>
      <c r="Q8" s="83"/>
      <c r="R8" s="83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83"/>
      <c r="AG8" s="83"/>
      <c r="AH8" s="83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83"/>
    </row>
    <row r="9" spans="3:47" ht="15">
      <c r="C9" s="13" t="s">
        <v>16</v>
      </c>
      <c r="D9" s="13" t="s">
        <v>17</v>
      </c>
      <c r="E9" s="13" t="s">
        <v>18</v>
      </c>
      <c r="F9" s="13" t="s">
        <v>19</v>
      </c>
      <c r="G9" s="13" t="s">
        <v>20</v>
      </c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  <c r="M9" s="13" t="s">
        <v>26</v>
      </c>
      <c r="N9" s="13" t="s">
        <v>27</v>
      </c>
      <c r="O9" s="13" t="s">
        <v>28</v>
      </c>
      <c r="S9" s="13" t="s">
        <v>16</v>
      </c>
      <c r="T9" s="13" t="s">
        <v>17</v>
      </c>
      <c r="U9" s="13" t="s">
        <v>18</v>
      </c>
      <c r="V9" s="13" t="s">
        <v>19</v>
      </c>
      <c r="W9" s="13" t="s">
        <v>20</v>
      </c>
      <c r="X9" s="13" t="s">
        <v>21</v>
      </c>
      <c r="Y9" s="13" t="s">
        <v>22</v>
      </c>
      <c r="Z9" s="13" t="s">
        <v>23</v>
      </c>
      <c r="AA9" s="13" t="s">
        <v>24</v>
      </c>
      <c r="AB9" s="13" t="s">
        <v>25</v>
      </c>
      <c r="AC9" s="13" t="s">
        <v>26</v>
      </c>
      <c r="AD9" s="13" t="s">
        <v>27</v>
      </c>
      <c r="AE9" s="13" t="s">
        <v>28</v>
      </c>
      <c r="AI9" s="13" t="s">
        <v>16</v>
      </c>
      <c r="AJ9" s="13" t="s">
        <v>17</v>
      </c>
      <c r="AK9" s="13" t="s">
        <v>18</v>
      </c>
      <c r="AL9" s="13" t="s">
        <v>19</v>
      </c>
      <c r="AM9" s="13" t="s">
        <v>20</v>
      </c>
      <c r="AN9" s="13" t="s">
        <v>21</v>
      </c>
      <c r="AO9" s="13" t="s">
        <v>22</v>
      </c>
      <c r="AP9" s="13" t="s">
        <v>23</v>
      </c>
      <c r="AQ9" s="13" t="s">
        <v>24</v>
      </c>
      <c r="AR9" s="13" t="s">
        <v>25</v>
      </c>
      <c r="AS9" s="13" t="s">
        <v>26</v>
      </c>
      <c r="AT9" s="13" t="s">
        <v>27</v>
      </c>
      <c r="AU9" s="13" t="s">
        <v>28</v>
      </c>
    </row>
    <row r="10" spans="1:47" ht="15">
      <c r="A10" s="5" t="s">
        <v>29</v>
      </c>
      <c r="C10" s="13" t="s">
        <v>30</v>
      </c>
      <c r="D10" s="13" t="s">
        <v>30</v>
      </c>
      <c r="E10" s="13" t="s">
        <v>30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  <c r="K10" s="13" t="s">
        <v>30</v>
      </c>
      <c r="L10" s="13" t="s">
        <v>30</v>
      </c>
      <c r="M10" s="13" t="s">
        <v>30</v>
      </c>
      <c r="N10" s="13" t="s">
        <v>30</v>
      </c>
      <c r="O10" s="13" t="s">
        <v>30</v>
      </c>
      <c r="Q10" s="5" t="s">
        <v>29</v>
      </c>
      <c r="S10" s="13" t="s">
        <v>30</v>
      </c>
      <c r="T10" s="13" t="s">
        <v>30</v>
      </c>
      <c r="U10" s="13" t="s">
        <v>30</v>
      </c>
      <c r="V10" s="13" t="s">
        <v>30</v>
      </c>
      <c r="W10" s="13" t="s">
        <v>30</v>
      </c>
      <c r="X10" s="13" t="s">
        <v>30</v>
      </c>
      <c r="Y10" s="13" t="s">
        <v>30</v>
      </c>
      <c r="Z10" s="13" t="s">
        <v>30</v>
      </c>
      <c r="AA10" s="13" t="s">
        <v>30</v>
      </c>
      <c r="AB10" s="13" t="s">
        <v>30</v>
      </c>
      <c r="AC10" s="13" t="s">
        <v>30</v>
      </c>
      <c r="AD10" s="13" t="s">
        <v>30</v>
      </c>
      <c r="AE10" s="13" t="s">
        <v>30</v>
      </c>
      <c r="AG10" s="5" t="s">
        <v>29</v>
      </c>
      <c r="AI10" s="13" t="s">
        <v>30</v>
      </c>
      <c r="AJ10" s="13" t="s">
        <v>30</v>
      </c>
      <c r="AK10" s="13" t="s">
        <v>30</v>
      </c>
      <c r="AL10" s="13" t="s">
        <v>30</v>
      </c>
      <c r="AM10" s="13" t="s">
        <v>30</v>
      </c>
      <c r="AN10" s="13" t="s">
        <v>30</v>
      </c>
      <c r="AO10" s="13" t="s">
        <v>30</v>
      </c>
      <c r="AP10" s="13" t="s">
        <v>30</v>
      </c>
      <c r="AQ10" s="13" t="s">
        <v>30</v>
      </c>
      <c r="AR10" s="13" t="s">
        <v>30</v>
      </c>
      <c r="AS10" s="13" t="s">
        <v>30</v>
      </c>
      <c r="AT10" s="13" t="s">
        <v>30</v>
      </c>
      <c r="AU10" s="13" t="s">
        <v>30</v>
      </c>
    </row>
    <row r="11" spans="1:47" ht="15">
      <c r="A11" s="5" t="s">
        <v>31</v>
      </c>
      <c r="C11" s="14">
        <v>1194986</v>
      </c>
      <c r="D11" s="15">
        <f aca="true" t="shared" si="0" ref="D11:N11">C35</f>
        <v>2581905</v>
      </c>
      <c r="E11" s="15">
        <f t="shared" si="0"/>
        <v>1950386</v>
      </c>
      <c r="F11" s="15">
        <f t="shared" si="0"/>
        <v>1516422</v>
      </c>
      <c r="G11" s="15">
        <f t="shared" si="0"/>
        <v>991617</v>
      </c>
      <c r="H11" s="15">
        <f t="shared" si="0"/>
        <v>203640</v>
      </c>
      <c r="I11" s="15">
        <f t="shared" si="0"/>
        <v>199539</v>
      </c>
      <c r="J11" s="15">
        <f t="shared" si="0"/>
        <v>70061</v>
      </c>
      <c r="K11" s="15">
        <f t="shared" si="0"/>
        <v>119452</v>
      </c>
      <c r="L11" s="15">
        <f t="shared" si="0"/>
        <v>-10262</v>
      </c>
      <c r="M11" s="15">
        <f t="shared" si="0"/>
        <v>-15314</v>
      </c>
      <c r="N11" s="15">
        <f t="shared" si="0"/>
        <v>-5993</v>
      </c>
      <c r="O11" s="15">
        <f>C11</f>
        <v>1194986</v>
      </c>
      <c r="Q11" s="5" t="s">
        <v>31</v>
      </c>
      <c r="S11" s="14">
        <f>O35</f>
        <v>79042</v>
      </c>
      <c r="T11" s="15">
        <f aca="true" t="shared" si="1" ref="T11:AD11">S35</f>
        <v>-30622.27000000002</v>
      </c>
      <c r="U11" s="15">
        <f t="shared" si="1"/>
        <v>-32159.52000000002</v>
      </c>
      <c r="V11" s="15">
        <f t="shared" si="1"/>
        <v>-32188.780000000017</v>
      </c>
      <c r="W11" s="15">
        <f t="shared" si="1"/>
        <v>-32218.100000000017</v>
      </c>
      <c r="X11" s="15">
        <f t="shared" si="1"/>
        <v>-32247.46000000002</v>
      </c>
      <c r="Y11" s="15">
        <f t="shared" si="1"/>
        <v>3609.2299999999814</v>
      </c>
      <c r="Z11" s="15">
        <f t="shared" si="1"/>
        <v>3609.7599999999816</v>
      </c>
      <c r="AA11" s="15">
        <f t="shared" si="1"/>
        <v>3609.7599999999816</v>
      </c>
      <c r="AB11" s="15">
        <f t="shared" si="1"/>
        <v>8610.48999999999</v>
      </c>
      <c r="AC11" s="15">
        <f t="shared" si="1"/>
        <v>-17226.440000000002</v>
      </c>
      <c r="AD11" s="15">
        <f t="shared" si="1"/>
        <v>-17226.440000000002</v>
      </c>
      <c r="AE11" s="15">
        <f>S11</f>
        <v>79042</v>
      </c>
      <c r="AG11" s="5" t="s">
        <v>31</v>
      </c>
      <c r="AI11" s="14">
        <f>AE35</f>
        <v>8609.560000000522</v>
      </c>
      <c r="AJ11" s="15">
        <f aca="true" t="shared" si="2" ref="AJ11:AT11">AI32</f>
        <v>-166594.84999999945</v>
      </c>
      <c r="AK11" s="15">
        <f t="shared" si="2"/>
        <v>-341799.2599999994</v>
      </c>
      <c r="AL11" s="15">
        <f t="shared" si="2"/>
        <v>-517003.6699999994</v>
      </c>
      <c r="AM11" s="15">
        <f t="shared" si="2"/>
        <v>-692208.0799999994</v>
      </c>
      <c r="AN11" s="15">
        <f t="shared" si="2"/>
        <v>-867412.4899999993</v>
      </c>
      <c r="AO11" s="15">
        <f t="shared" si="2"/>
        <v>623724.8000000006</v>
      </c>
      <c r="AP11" s="15">
        <f t="shared" si="2"/>
        <v>448520.3900000007</v>
      </c>
      <c r="AQ11" s="15">
        <f t="shared" si="2"/>
        <v>273315.9800000008</v>
      </c>
      <c r="AR11" s="15">
        <f t="shared" si="2"/>
        <v>98111.57000000088</v>
      </c>
      <c r="AS11" s="15">
        <f t="shared" si="2"/>
        <v>-77092.8399999991</v>
      </c>
      <c r="AT11" s="15">
        <f t="shared" si="2"/>
        <v>-252297.24999999907</v>
      </c>
      <c r="AU11" s="15">
        <f>AI11</f>
        <v>8609.560000000522</v>
      </c>
    </row>
    <row r="12" spans="3:47" ht="15">
      <c r="C12" s="13" t="s">
        <v>30</v>
      </c>
      <c r="D12" s="13" t="s">
        <v>30</v>
      </c>
      <c r="E12" s="13" t="s">
        <v>30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  <c r="M12" s="13" t="s">
        <v>30</v>
      </c>
      <c r="N12" s="13" t="s">
        <v>30</v>
      </c>
      <c r="O12" s="13" t="s">
        <v>30</v>
      </c>
      <c r="S12" s="13" t="s">
        <v>30</v>
      </c>
      <c r="T12" s="13" t="s">
        <v>30</v>
      </c>
      <c r="U12" s="13" t="s">
        <v>30</v>
      </c>
      <c r="V12" s="13" t="s">
        <v>30</v>
      </c>
      <c r="W12" s="13" t="s">
        <v>30</v>
      </c>
      <c r="X12" s="13" t="s">
        <v>30</v>
      </c>
      <c r="Y12" s="13" t="s">
        <v>30</v>
      </c>
      <c r="Z12" s="13" t="s">
        <v>30</v>
      </c>
      <c r="AA12" s="13" t="s">
        <v>30</v>
      </c>
      <c r="AB12" s="13" t="s">
        <v>30</v>
      </c>
      <c r="AC12" s="13" t="s">
        <v>30</v>
      </c>
      <c r="AD12" s="13" t="s">
        <v>30</v>
      </c>
      <c r="AE12" s="13" t="s">
        <v>30</v>
      </c>
      <c r="AI12" s="13" t="s">
        <v>30</v>
      </c>
      <c r="AJ12" s="13" t="s">
        <v>30</v>
      </c>
      <c r="AK12" s="13" t="s">
        <v>30</v>
      </c>
      <c r="AL12" s="13" t="s">
        <v>30</v>
      </c>
      <c r="AM12" s="13" t="s">
        <v>30</v>
      </c>
      <c r="AN12" s="13" t="s">
        <v>30</v>
      </c>
      <c r="AO12" s="13" t="s">
        <v>30</v>
      </c>
      <c r="AP12" s="13" t="s">
        <v>30</v>
      </c>
      <c r="AQ12" s="13" t="s">
        <v>30</v>
      </c>
      <c r="AR12" s="13" t="s">
        <v>30</v>
      </c>
      <c r="AS12" s="13" t="s">
        <v>30</v>
      </c>
      <c r="AT12" s="13" t="s">
        <v>30</v>
      </c>
      <c r="AU12" s="13" t="s">
        <v>30</v>
      </c>
    </row>
    <row r="13" spans="1:46" ht="15">
      <c r="A13" s="5" t="s">
        <v>29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Q13" s="5" t="s">
        <v>29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G13" s="5" t="s">
        <v>29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</row>
    <row r="14" spans="1:46" ht="15">
      <c r="A14" s="5" t="s">
        <v>32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Q14" s="5" t="s">
        <v>32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G14" s="5" t="s">
        <v>32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</row>
    <row r="15" spans="1:47" s="17" customFormat="1" ht="15">
      <c r="A15" s="16" t="s">
        <v>160</v>
      </c>
      <c r="C15" s="95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17">
        <v>0</v>
      </c>
      <c r="L15" s="95">
        <v>0</v>
      </c>
      <c r="M15" s="93">
        <v>861615</v>
      </c>
      <c r="N15" s="95">
        <v>0</v>
      </c>
      <c r="O15" s="19">
        <f>SUM(C15:N15)</f>
        <v>861615</v>
      </c>
      <c r="Q15" s="16" t="s">
        <v>167</v>
      </c>
      <c r="S15" s="95">
        <v>0</v>
      </c>
      <c r="T15" s="93">
        <v>0</v>
      </c>
      <c r="U15" s="93">
        <v>0</v>
      </c>
      <c r="V15" s="93">
        <v>0</v>
      </c>
      <c r="W15" s="93">
        <v>0</v>
      </c>
      <c r="X15" s="93">
        <v>673789</v>
      </c>
      <c r="Y15" s="93">
        <v>0</v>
      </c>
      <c r="Z15" s="93">
        <v>0</v>
      </c>
      <c r="AA15" s="17">
        <v>0</v>
      </c>
      <c r="AB15" s="95">
        <v>0</v>
      </c>
      <c r="AC15" s="93">
        <v>0</v>
      </c>
      <c r="AD15" s="95">
        <v>2666269</v>
      </c>
      <c r="AE15" s="19">
        <f>SUM(S15:AD15)</f>
        <v>3340058</v>
      </c>
      <c r="AG15" s="16" t="s">
        <v>169</v>
      </c>
      <c r="AI15" s="95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f>AT45/2</f>
        <v>1666341.7</v>
      </c>
      <c r="AO15" s="93">
        <v>0</v>
      </c>
      <c r="AP15" s="93">
        <v>0</v>
      </c>
      <c r="AQ15" s="17">
        <v>0</v>
      </c>
      <c r="AR15" s="95">
        <v>0</v>
      </c>
      <c r="AS15" s="93">
        <v>0</v>
      </c>
      <c r="AT15" s="95">
        <f>AT45/2</f>
        <v>1666341.7</v>
      </c>
      <c r="AU15" s="19">
        <f>SUM(AI15:AT15)</f>
        <v>3332683.4</v>
      </c>
    </row>
    <row r="16" spans="1:47" s="17" customFormat="1" ht="15">
      <c r="A16" s="16" t="s">
        <v>161</v>
      </c>
      <c r="C16" s="95">
        <v>0</v>
      </c>
      <c r="D16" s="93">
        <v>0</v>
      </c>
      <c r="E16" s="93">
        <v>2636366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5">
        <v>0</v>
      </c>
      <c r="M16" s="93">
        <v>0</v>
      </c>
      <c r="N16" s="95">
        <v>0</v>
      </c>
      <c r="O16" s="19">
        <f>SUM(C16:N16)</f>
        <v>2636366</v>
      </c>
      <c r="Q16" s="16" t="s">
        <v>168</v>
      </c>
      <c r="S16" s="95">
        <v>749413</v>
      </c>
      <c r="T16" s="93">
        <v>0</v>
      </c>
      <c r="U16" s="93">
        <v>0</v>
      </c>
      <c r="V16" s="93">
        <v>0</v>
      </c>
      <c r="W16" s="93">
        <v>0</v>
      </c>
      <c r="X16" s="93">
        <v>451814</v>
      </c>
      <c r="Y16" s="93">
        <v>0</v>
      </c>
      <c r="Z16" s="93">
        <v>0</v>
      </c>
      <c r="AA16" s="93">
        <v>0</v>
      </c>
      <c r="AB16" s="95">
        <v>0</v>
      </c>
      <c r="AC16" s="93">
        <v>0</v>
      </c>
      <c r="AD16" s="95">
        <v>0</v>
      </c>
      <c r="AE16" s="19">
        <f>SUM(S16:AD16)</f>
        <v>1201227</v>
      </c>
      <c r="AG16" s="16" t="s">
        <v>170</v>
      </c>
      <c r="AI16" s="95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5">
        <v>0</v>
      </c>
      <c r="AS16" s="93">
        <v>0</v>
      </c>
      <c r="AT16" s="95">
        <v>0</v>
      </c>
      <c r="AU16" s="19">
        <f>SUM(AI16:AT16)</f>
        <v>0</v>
      </c>
    </row>
    <row r="17" spans="1:47" s="17" customFormat="1" ht="15">
      <c r="A17" s="16" t="s">
        <v>39</v>
      </c>
      <c r="C17" s="93">
        <v>52</v>
      </c>
      <c r="D17" s="93">
        <v>38</v>
      </c>
      <c r="E17" s="93">
        <v>277438</v>
      </c>
      <c r="F17" s="93">
        <v>214535</v>
      </c>
      <c r="G17" s="93">
        <v>39</v>
      </c>
      <c r="H17" s="93">
        <v>357235</v>
      </c>
      <c r="I17" s="93">
        <v>36</v>
      </c>
      <c r="J17" s="93">
        <v>36</v>
      </c>
      <c r="K17" s="93">
        <v>60543</v>
      </c>
      <c r="L17" s="93">
        <v>1</v>
      </c>
      <c r="M17" s="93">
        <v>1</v>
      </c>
      <c r="N17" s="93">
        <v>97624</v>
      </c>
      <c r="O17" s="19">
        <f>SUM(C17:N17)</f>
        <v>1007578</v>
      </c>
      <c r="Q17" s="16" t="s">
        <v>182</v>
      </c>
      <c r="S17" s="95">
        <v>1655906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19">
        <f>SUM(S17:AD17)</f>
        <v>1655906</v>
      </c>
      <c r="AG17" s="16" t="s">
        <v>39</v>
      </c>
      <c r="AI17" s="93">
        <v>370628.92</v>
      </c>
      <c r="AJ17" s="93">
        <v>370628.92</v>
      </c>
      <c r="AK17" s="93">
        <v>370628.92</v>
      </c>
      <c r="AL17" s="93">
        <v>370628.92</v>
      </c>
      <c r="AM17" s="93">
        <v>370628.92</v>
      </c>
      <c r="AN17" s="93">
        <v>370628.92</v>
      </c>
      <c r="AO17" s="93">
        <v>370628.92</v>
      </c>
      <c r="AP17" s="93">
        <v>370628.92</v>
      </c>
      <c r="AQ17" s="93">
        <v>370628.92</v>
      </c>
      <c r="AR17" s="93">
        <v>370628.92</v>
      </c>
      <c r="AS17" s="93">
        <v>370628.92</v>
      </c>
      <c r="AT17" s="93">
        <v>370628.92</v>
      </c>
      <c r="AU17" s="19">
        <f>SUM(AI17:AT17)</f>
        <v>4447547.04</v>
      </c>
    </row>
    <row r="18" spans="1:47" s="17" customFormat="1" ht="15.75">
      <c r="A18" s="16" t="s">
        <v>173</v>
      </c>
      <c r="C18" s="93">
        <v>2077860</v>
      </c>
      <c r="D18" s="93">
        <v>0</v>
      </c>
      <c r="E18" s="93">
        <v>0</v>
      </c>
      <c r="F18" s="93">
        <v>0</v>
      </c>
      <c r="G18" s="93">
        <v>0</v>
      </c>
      <c r="H18" s="93">
        <v>19408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19">
        <f>SUM(C18:N18)</f>
        <v>2097268</v>
      </c>
      <c r="Q18" s="16" t="s">
        <v>39</v>
      </c>
      <c r="S18" s="105">
        <v>0.73</v>
      </c>
      <c r="T18" s="105">
        <f>199.07+0.68</f>
        <v>199.75</v>
      </c>
      <c r="U18" s="105">
        <f>0.74</f>
        <v>0.74</v>
      </c>
      <c r="V18" s="105">
        <f>0.68</f>
        <v>0.68</v>
      </c>
      <c r="W18" s="105">
        <v>0.64</v>
      </c>
      <c r="X18" s="105">
        <f>0.69+455000+643000+450000</f>
        <v>1548000.69</v>
      </c>
      <c r="Y18" s="105">
        <v>0.53</v>
      </c>
      <c r="Z18" s="105">
        <v>0</v>
      </c>
      <c r="AA18" s="105">
        <f>0.19+0.24+0.3</f>
        <v>0.73</v>
      </c>
      <c r="AB18" s="105">
        <f>64163.07</f>
        <v>64163.07</v>
      </c>
      <c r="AC18" s="105">
        <v>200000</v>
      </c>
      <c r="AD18" s="105">
        <v>2441457</v>
      </c>
      <c r="AE18" s="19">
        <f>SUM(S18:AD18)</f>
        <v>4253824.5600000005</v>
      </c>
      <c r="AG18" s="16" t="s">
        <v>37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19">
        <f>SUM(AI18:AT18)</f>
        <v>0</v>
      </c>
    </row>
    <row r="19" spans="1:47" s="17" customFormat="1" ht="15">
      <c r="A19" s="16" t="s">
        <v>37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350000</v>
      </c>
      <c r="I19" s="24">
        <v>600000</v>
      </c>
      <c r="J19" s="24">
        <v>510000</v>
      </c>
      <c r="K19" s="24">
        <v>0</v>
      </c>
      <c r="L19" s="24">
        <v>0</v>
      </c>
      <c r="M19" s="24">
        <v>0</v>
      </c>
      <c r="N19" s="24">
        <v>525000</v>
      </c>
      <c r="O19" s="19">
        <f>SUM(C19:N19)</f>
        <v>1985000</v>
      </c>
      <c r="Q19" s="16" t="s">
        <v>37</v>
      </c>
      <c r="S19" s="24">
        <v>704000</v>
      </c>
      <c r="T19" s="24">
        <v>900000</v>
      </c>
      <c r="U19" s="24">
        <v>0</v>
      </c>
      <c r="V19" s="24">
        <v>0</v>
      </c>
      <c r="W19" s="24">
        <v>450000</v>
      </c>
      <c r="X19" s="24">
        <v>220000</v>
      </c>
      <c r="Y19" s="24">
        <v>0</v>
      </c>
      <c r="Z19" s="24">
        <v>0</v>
      </c>
      <c r="AA19" s="24">
        <v>255000</v>
      </c>
      <c r="AB19" s="24">
        <v>220000</v>
      </c>
      <c r="AC19" s="24">
        <v>0</v>
      </c>
      <c r="AD19" s="24">
        <v>0</v>
      </c>
      <c r="AE19" s="19">
        <f>SUM(S19:AD19)</f>
        <v>2749000</v>
      </c>
      <c r="AG19" s="3"/>
      <c r="AH19" s="3"/>
      <c r="AI19" s="88" t="s">
        <v>30</v>
      </c>
      <c r="AJ19" s="88" t="s">
        <v>30</v>
      </c>
      <c r="AK19" s="88" t="s">
        <v>30</v>
      </c>
      <c r="AL19" s="88" t="s">
        <v>30</v>
      </c>
      <c r="AM19" s="88" t="s">
        <v>30</v>
      </c>
      <c r="AN19" s="88" t="s">
        <v>30</v>
      </c>
      <c r="AO19" s="88" t="s">
        <v>30</v>
      </c>
      <c r="AP19" s="88" t="s">
        <v>30</v>
      </c>
      <c r="AQ19" s="88" t="s">
        <v>30</v>
      </c>
      <c r="AR19" s="88" t="s">
        <v>30</v>
      </c>
      <c r="AS19" s="88" t="s">
        <v>30</v>
      </c>
      <c r="AT19" s="88" t="s">
        <v>30</v>
      </c>
      <c r="AU19" s="13" t="s">
        <v>30</v>
      </c>
    </row>
    <row r="20" spans="1:47" s="17" customFormat="1" ht="15">
      <c r="A20" s="3"/>
      <c r="B20" s="3"/>
      <c r="C20" s="88" t="s">
        <v>30</v>
      </c>
      <c r="D20" s="88" t="s">
        <v>30</v>
      </c>
      <c r="E20" s="88" t="s">
        <v>30</v>
      </c>
      <c r="F20" s="88" t="s">
        <v>30</v>
      </c>
      <c r="G20" s="88" t="s">
        <v>30</v>
      </c>
      <c r="H20" s="88" t="s">
        <v>30</v>
      </c>
      <c r="I20" s="88" t="s">
        <v>30</v>
      </c>
      <c r="J20" s="88" t="s">
        <v>30</v>
      </c>
      <c r="K20" s="88" t="s">
        <v>30</v>
      </c>
      <c r="L20" s="88" t="s">
        <v>30</v>
      </c>
      <c r="M20" s="88" t="s">
        <v>30</v>
      </c>
      <c r="N20" s="88" t="s">
        <v>30</v>
      </c>
      <c r="O20" s="13" t="s">
        <v>30</v>
      </c>
      <c r="Q20" s="3"/>
      <c r="R20" s="3"/>
      <c r="S20" s="88" t="s">
        <v>30</v>
      </c>
      <c r="T20" s="88" t="s">
        <v>30</v>
      </c>
      <c r="U20" s="88" t="s">
        <v>30</v>
      </c>
      <c r="V20" s="88" t="s">
        <v>30</v>
      </c>
      <c r="W20" s="88" t="s">
        <v>30</v>
      </c>
      <c r="X20" s="88" t="s">
        <v>30</v>
      </c>
      <c r="Y20" s="88" t="s">
        <v>30</v>
      </c>
      <c r="Z20" s="88" t="s">
        <v>30</v>
      </c>
      <c r="AA20" s="88" t="s">
        <v>30</v>
      </c>
      <c r="AB20" s="88" t="s">
        <v>30</v>
      </c>
      <c r="AC20" s="88" t="s">
        <v>30</v>
      </c>
      <c r="AD20" s="88" t="s">
        <v>30</v>
      </c>
      <c r="AE20" s="13" t="s">
        <v>30</v>
      </c>
      <c r="AG20" s="3"/>
      <c r="AH20" s="3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13"/>
    </row>
    <row r="21" spans="1:47" s="17" customFormat="1" ht="15">
      <c r="A21" s="3"/>
      <c r="B21" s="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3"/>
      <c r="Q21" s="3"/>
      <c r="R21" s="3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13"/>
      <c r="AG21" s="16" t="s">
        <v>43</v>
      </c>
      <c r="AI21" s="19">
        <f aca="true" t="shared" si="3" ref="AI21:AU21">SUM(AI15:AI18)</f>
        <v>370628.92</v>
      </c>
      <c r="AJ21" s="19">
        <f t="shared" si="3"/>
        <v>370628.92</v>
      </c>
      <c r="AK21" s="19">
        <f t="shared" si="3"/>
        <v>370628.92</v>
      </c>
      <c r="AL21" s="19">
        <f t="shared" si="3"/>
        <v>370628.92</v>
      </c>
      <c r="AM21" s="19">
        <f t="shared" si="3"/>
        <v>370628.92</v>
      </c>
      <c r="AN21" s="19">
        <f t="shared" si="3"/>
        <v>2036970.6199999999</v>
      </c>
      <c r="AO21" s="19">
        <f t="shared" si="3"/>
        <v>370628.92</v>
      </c>
      <c r="AP21" s="19">
        <f t="shared" si="3"/>
        <v>370628.92</v>
      </c>
      <c r="AQ21" s="19">
        <f t="shared" si="3"/>
        <v>370628.92</v>
      </c>
      <c r="AR21" s="19">
        <f t="shared" si="3"/>
        <v>370628.92</v>
      </c>
      <c r="AS21" s="19">
        <f t="shared" si="3"/>
        <v>370628.92</v>
      </c>
      <c r="AT21" s="19">
        <f t="shared" si="3"/>
        <v>2036970.6199999999</v>
      </c>
      <c r="AU21" s="19">
        <f t="shared" si="3"/>
        <v>7780230.4399999995</v>
      </c>
    </row>
    <row r="22" spans="1:47" s="17" customFormat="1" ht="15">
      <c r="A22" s="16" t="s">
        <v>43</v>
      </c>
      <c r="C22" s="19">
        <f aca="true" t="shared" si="4" ref="C22:O22">SUM(C15:C19)</f>
        <v>2077912</v>
      </c>
      <c r="D22" s="19">
        <f t="shared" si="4"/>
        <v>38</v>
      </c>
      <c r="E22" s="19">
        <f t="shared" si="4"/>
        <v>2913804</v>
      </c>
      <c r="F22" s="19">
        <f t="shared" si="4"/>
        <v>214535</v>
      </c>
      <c r="G22" s="19">
        <f t="shared" si="4"/>
        <v>39</v>
      </c>
      <c r="H22" s="19">
        <f t="shared" si="4"/>
        <v>726643</v>
      </c>
      <c r="I22" s="19">
        <f t="shared" si="4"/>
        <v>600036</v>
      </c>
      <c r="J22" s="19">
        <f t="shared" si="4"/>
        <v>510036</v>
      </c>
      <c r="K22" s="19">
        <f t="shared" si="4"/>
        <v>60543</v>
      </c>
      <c r="L22" s="19">
        <f t="shared" si="4"/>
        <v>1</v>
      </c>
      <c r="M22" s="19">
        <f t="shared" si="4"/>
        <v>861616</v>
      </c>
      <c r="N22" s="19">
        <f t="shared" si="4"/>
        <v>622624</v>
      </c>
      <c r="O22" s="19">
        <f t="shared" si="4"/>
        <v>8587827</v>
      </c>
      <c r="Q22" s="16" t="s">
        <v>43</v>
      </c>
      <c r="S22" s="19">
        <f aca="true" t="shared" si="5" ref="S22:AE22">SUM(S15:S19)</f>
        <v>3109319.73</v>
      </c>
      <c r="T22" s="19">
        <f t="shared" si="5"/>
        <v>900199.75</v>
      </c>
      <c r="U22" s="19">
        <f t="shared" si="5"/>
        <v>0.74</v>
      </c>
      <c r="V22" s="19">
        <f t="shared" si="5"/>
        <v>0.68</v>
      </c>
      <c r="W22" s="19">
        <f t="shared" si="5"/>
        <v>450000.64</v>
      </c>
      <c r="X22" s="19">
        <f t="shared" si="5"/>
        <v>2893603.69</v>
      </c>
      <c r="Y22" s="19">
        <f t="shared" si="5"/>
        <v>0.53</v>
      </c>
      <c r="Z22" s="19">
        <f t="shared" si="5"/>
        <v>0</v>
      </c>
      <c r="AA22" s="19">
        <f t="shared" si="5"/>
        <v>255000.73</v>
      </c>
      <c r="AB22" s="19">
        <f t="shared" si="5"/>
        <v>284163.07</v>
      </c>
      <c r="AC22" s="19">
        <f t="shared" si="5"/>
        <v>200000</v>
      </c>
      <c r="AD22" s="19">
        <f t="shared" si="5"/>
        <v>5107726</v>
      </c>
      <c r="AE22" s="19">
        <f t="shared" si="5"/>
        <v>13200015.56</v>
      </c>
      <c r="AG22" s="3"/>
      <c r="AH22" s="3"/>
      <c r="AI22" s="88" t="s">
        <v>30</v>
      </c>
      <c r="AJ22" s="88" t="s">
        <v>30</v>
      </c>
      <c r="AK22" s="88" t="s">
        <v>30</v>
      </c>
      <c r="AL22" s="88" t="s">
        <v>30</v>
      </c>
      <c r="AM22" s="88" t="s">
        <v>30</v>
      </c>
      <c r="AN22" s="88" t="s">
        <v>30</v>
      </c>
      <c r="AO22" s="88" t="s">
        <v>30</v>
      </c>
      <c r="AP22" s="88" t="s">
        <v>30</v>
      </c>
      <c r="AQ22" s="88" t="s">
        <v>30</v>
      </c>
      <c r="AR22" s="88" t="s">
        <v>30</v>
      </c>
      <c r="AS22" s="88" t="s">
        <v>30</v>
      </c>
      <c r="AT22" s="88" t="s">
        <v>30</v>
      </c>
      <c r="AU22" s="13" t="s">
        <v>30</v>
      </c>
    </row>
    <row r="23" spans="3:48" ht="15">
      <c r="C23" s="88" t="s">
        <v>30</v>
      </c>
      <c r="D23" s="88" t="s">
        <v>30</v>
      </c>
      <c r="E23" s="88" t="s">
        <v>30</v>
      </c>
      <c r="F23" s="88" t="s">
        <v>30</v>
      </c>
      <c r="G23" s="88" t="s">
        <v>30</v>
      </c>
      <c r="H23" s="88" t="s">
        <v>30</v>
      </c>
      <c r="I23" s="88" t="s">
        <v>30</v>
      </c>
      <c r="J23" s="88" t="s">
        <v>30</v>
      </c>
      <c r="K23" s="88" t="s">
        <v>30</v>
      </c>
      <c r="L23" s="88" t="s">
        <v>30</v>
      </c>
      <c r="M23" s="88" t="s">
        <v>30</v>
      </c>
      <c r="N23" s="88" t="s">
        <v>30</v>
      </c>
      <c r="O23" s="13" t="s">
        <v>30</v>
      </c>
      <c r="P23" s="17"/>
      <c r="S23" s="88" t="s">
        <v>30</v>
      </c>
      <c r="T23" s="88" t="s">
        <v>30</v>
      </c>
      <c r="U23" s="88" t="s">
        <v>30</v>
      </c>
      <c r="V23" s="88" t="s">
        <v>30</v>
      </c>
      <c r="W23" s="88" t="s">
        <v>30</v>
      </c>
      <c r="X23" s="88" t="s">
        <v>30</v>
      </c>
      <c r="Y23" s="88" t="s">
        <v>30</v>
      </c>
      <c r="Z23" s="88" t="s">
        <v>30</v>
      </c>
      <c r="AA23" s="88" t="s">
        <v>30</v>
      </c>
      <c r="AB23" s="88" t="s">
        <v>30</v>
      </c>
      <c r="AC23" s="88" t="s">
        <v>30</v>
      </c>
      <c r="AD23" s="88" t="s">
        <v>30</v>
      </c>
      <c r="AE23" s="13" t="s">
        <v>30</v>
      </c>
      <c r="AF23" s="17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V23" s="17"/>
    </row>
    <row r="24" spans="3:46" ht="1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F24" s="17"/>
      <c r="AG24" s="5" t="s">
        <v>44</v>
      </c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</row>
    <row r="25" spans="1:48" s="17" customFormat="1" ht="15">
      <c r="A25" s="5" t="s">
        <v>44</v>
      </c>
      <c r="B25" s="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3"/>
      <c r="P25" s="3"/>
      <c r="Q25" s="5" t="s">
        <v>44</v>
      </c>
      <c r="R25" s="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3"/>
      <c r="AF25" s="3"/>
      <c r="AG25" s="16" t="s">
        <v>178</v>
      </c>
      <c r="AI25" s="93">
        <v>545833.33</v>
      </c>
      <c r="AJ25" s="93">
        <v>545833.33</v>
      </c>
      <c r="AK25" s="93">
        <v>545833.33</v>
      </c>
      <c r="AL25" s="93">
        <v>545833.33</v>
      </c>
      <c r="AM25" s="93">
        <v>545833.33</v>
      </c>
      <c r="AN25" s="93">
        <v>545833.33</v>
      </c>
      <c r="AO25" s="93">
        <v>545833.33</v>
      </c>
      <c r="AP25" s="93">
        <v>545833.33</v>
      </c>
      <c r="AQ25" s="93">
        <v>545833.33</v>
      </c>
      <c r="AR25" s="93">
        <v>545833.33</v>
      </c>
      <c r="AS25" s="93">
        <v>545833.33</v>
      </c>
      <c r="AT25" s="93">
        <v>545833.33</v>
      </c>
      <c r="AU25" s="19">
        <f>SUM(AI25:AT25)</f>
        <v>6549999.96</v>
      </c>
      <c r="AV25" s="3"/>
    </row>
    <row r="26" spans="1:48" ht="15">
      <c r="A26" s="16" t="s">
        <v>178</v>
      </c>
      <c r="B26" s="17"/>
      <c r="C26" s="93">
        <f>486910+89179</f>
        <v>576089</v>
      </c>
      <c r="D26" s="93">
        <f>601757+29800</f>
        <v>631557</v>
      </c>
      <c r="E26" s="93">
        <v>847951</v>
      </c>
      <c r="F26" s="93">
        <v>739340</v>
      </c>
      <c r="G26" s="93">
        <v>788016</v>
      </c>
      <c r="H26" s="93">
        <v>730744</v>
      </c>
      <c r="I26" s="93">
        <v>729514</v>
      </c>
      <c r="J26" s="93">
        <v>460645</v>
      </c>
      <c r="K26" s="93">
        <v>190257</v>
      </c>
      <c r="L26" s="93">
        <v>5053</v>
      </c>
      <c r="M26" s="93">
        <v>178292</v>
      </c>
      <c r="N26" s="93">
        <v>518181</v>
      </c>
      <c r="O26" s="19">
        <f>SUM(C26:N26)</f>
        <v>6395639</v>
      </c>
      <c r="P26" s="17"/>
      <c r="Q26" s="16" t="s">
        <v>178</v>
      </c>
      <c r="R26" s="17"/>
      <c r="S26" s="93">
        <v>1566595</v>
      </c>
      <c r="T26" s="93">
        <v>901737</v>
      </c>
      <c r="U26" s="93">
        <v>30</v>
      </c>
      <c r="V26" s="93">
        <v>30</v>
      </c>
      <c r="W26" s="93">
        <v>450030</v>
      </c>
      <c r="X26" s="93">
        <v>952649</v>
      </c>
      <c r="Y26" s="93">
        <v>0</v>
      </c>
      <c r="Z26" s="93">
        <v>0</v>
      </c>
      <c r="AA26" s="93">
        <v>250000</v>
      </c>
      <c r="AB26" s="93">
        <v>310000</v>
      </c>
      <c r="AC26" s="93">
        <v>200000</v>
      </c>
      <c r="AD26" s="93">
        <v>367082</v>
      </c>
      <c r="AE26" s="19">
        <f>SUM(S26:AD26)</f>
        <v>4998153</v>
      </c>
      <c r="AG26" s="16" t="s">
        <v>37</v>
      </c>
      <c r="AH26" s="17"/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93">
        <v>0</v>
      </c>
      <c r="AU26" s="19">
        <f>SUM(AI26:AT26)</f>
        <v>0</v>
      </c>
      <c r="AV26" s="17"/>
    </row>
    <row r="27" spans="1:47" ht="15">
      <c r="A27" s="16" t="s">
        <v>173</v>
      </c>
      <c r="B27" s="17"/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674003</v>
      </c>
      <c r="N27" s="93">
        <v>19408</v>
      </c>
      <c r="O27" s="19">
        <f>SUM(C27:N27)</f>
        <v>693411</v>
      </c>
      <c r="Q27" s="16" t="s">
        <v>182</v>
      </c>
      <c r="R27" s="17"/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640098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1015808</v>
      </c>
      <c r="AE27" s="19">
        <f>SUM(S27:AD27)</f>
        <v>1655906</v>
      </c>
      <c r="AI27" s="88" t="s">
        <v>30</v>
      </c>
      <c r="AJ27" s="88" t="s">
        <v>30</v>
      </c>
      <c r="AK27" s="88" t="s">
        <v>30</v>
      </c>
      <c r="AL27" s="88" t="s">
        <v>30</v>
      </c>
      <c r="AM27" s="88" t="s">
        <v>30</v>
      </c>
      <c r="AN27" s="88" t="s">
        <v>30</v>
      </c>
      <c r="AO27" s="88" t="s">
        <v>30</v>
      </c>
      <c r="AP27" s="88" t="s">
        <v>30</v>
      </c>
      <c r="AQ27" s="88" t="s">
        <v>30</v>
      </c>
      <c r="AR27" s="88" t="s">
        <v>30</v>
      </c>
      <c r="AS27" s="88" t="s">
        <v>30</v>
      </c>
      <c r="AT27" s="88" t="s">
        <v>30</v>
      </c>
      <c r="AU27" s="13" t="s">
        <v>30</v>
      </c>
    </row>
    <row r="28" spans="1:47" ht="15">
      <c r="A28" s="16" t="s">
        <v>177</v>
      </c>
      <c r="B28" s="17"/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19">
        <f>SUM(C28:N28)</f>
        <v>0</v>
      </c>
      <c r="Q28" s="16" t="s">
        <v>173</v>
      </c>
      <c r="R28" s="17"/>
      <c r="S28" s="93">
        <v>1432389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19">
        <f>SUM(S28:AD28)</f>
        <v>1432389</v>
      </c>
      <c r="AG28" s="16" t="s">
        <v>49</v>
      </c>
      <c r="AH28" s="17"/>
      <c r="AI28" s="19">
        <f aca="true" t="shared" si="6" ref="AI28:AU28">SUM(AI25:AI26)</f>
        <v>545833.33</v>
      </c>
      <c r="AJ28" s="19">
        <f t="shared" si="6"/>
        <v>545833.33</v>
      </c>
      <c r="AK28" s="19">
        <f t="shared" si="6"/>
        <v>545833.33</v>
      </c>
      <c r="AL28" s="19">
        <f t="shared" si="6"/>
        <v>545833.33</v>
      </c>
      <c r="AM28" s="19">
        <f t="shared" si="6"/>
        <v>545833.33</v>
      </c>
      <c r="AN28" s="19">
        <f t="shared" si="6"/>
        <v>545833.33</v>
      </c>
      <c r="AO28" s="19">
        <f t="shared" si="6"/>
        <v>545833.33</v>
      </c>
      <c r="AP28" s="19">
        <f t="shared" si="6"/>
        <v>545833.33</v>
      </c>
      <c r="AQ28" s="19">
        <f t="shared" si="6"/>
        <v>545833.33</v>
      </c>
      <c r="AR28" s="19">
        <f t="shared" si="6"/>
        <v>545833.33</v>
      </c>
      <c r="AS28" s="19">
        <f t="shared" si="6"/>
        <v>545833.33</v>
      </c>
      <c r="AT28" s="19">
        <f t="shared" si="6"/>
        <v>545833.33</v>
      </c>
      <c r="AU28" s="19">
        <f t="shared" si="6"/>
        <v>6549999.96</v>
      </c>
    </row>
    <row r="29" spans="1:48" s="17" customFormat="1" ht="15">
      <c r="A29" s="16" t="s">
        <v>37</v>
      </c>
      <c r="C29" s="93">
        <v>114904</v>
      </c>
      <c r="D29" s="93">
        <v>0</v>
      </c>
      <c r="E29" s="93">
        <v>2499817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19">
        <f>SUM(C29:N29)</f>
        <v>2614721</v>
      </c>
      <c r="P29" s="3"/>
      <c r="Q29" s="16" t="s">
        <v>37</v>
      </c>
      <c r="S29" s="93">
        <v>220000</v>
      </c>
      <c r="T29" s="93">
        <v>0</v>
      </c>
      <c r="U29" s="93">
        <v>0</v>
      </c>
      <c r="V29" s="93">
        <v>0</v>
      </c>
      <c r="W29" s="93">
        <v>0</v>
      </c>
      <c r="X29" s="93">
        <v>1265000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f>3479000+220000</f>
        <v>3699000</v>
      </c>
      <c r="AE29" s="19">
        <f>SUM(S29:AD29)</f>
        <v>5184000</v>
      </c>
      <c r="AG29" s="3"/>
      <c r="AH29" s="3"/>
      <c r="AI29" s="13" t="s">
        <v>30</v>
      </c>
      <c r="AJ29" s="13" t="s">
        <v>30</v>
      </c>
      <c r="AK29" s="13" t="s">
        <v>30</v>
      </c>
      <c r="AL29" s="13" t="s">
        <v>30</v>
      </c>
      <c r="AM29" s="13" t="s">
        <v>30</v>
      </c>
      <c r="AN29" s="13" t="s">
        <v>30</v>
      </c>
      <c r="AO29" s="13" t="s">
        <v>30</v>
      </c>
      <c r="AP29" s="13" t="s">
        <v>30</v>
      </c>
      <c r="AQ29" s="13" t="s">
        <v>30</v>
      </c>
      <c r="AR29" s="13" t="s">
        <v>30</v>
      </c>
      <c r="AS29" s="13" t="s">
        <v>30</v>
      </c>
      <c r="AT29" s="13" t="s">
        <v>30</v>
      </c>
      <c r="AU29" s="13" t="s">
        <v>30</v>
      </c>
      <c r="AV29" s="3"/>
    </row>
    <row r="30" spans="1:47" s="17" customFormat="1" ht="15">
      <c r="A30" s="3"/>
      <c r="B30" s="3"/>
      <c r="C30" s="88" t="s">
        <v>30</v>
      </c>
      <c r="D30" s="88" t="s">
        <v>30</v>
      </c>
      <c r="E30" s="88" t="s">
        <v>30</v>
      </c>
      <c r="F30" s="88" t="s">
        <v>30</v>
      </c>
      <c r="G30" s="88" t="s">
        <v>30</v>
      </c>
      <c r="H30" s="88" t="s">
        <v>30</v>
      </c>
      <c r="I30" s="88" t="s">
        <v>30</v>
      </c>
      <c r="J30" s="88" t="s">
        <v>30</v>
      </c>
      <c r="K30" s="88" t="s">
        <v>30</v>
      </c>
      <c r="L30" s="88" t="s">
        <v>30</v>
      </c>
      <c r="M30" s="88" t="s">
        <v>30</v>
      </c>
      <c r="N30" s="88" t="s">
        <v>30</v>
      </c>
      <c r="O30" s="13" t="s">
        <v>30</v>
      </c>
      <c r="Q30" s="3"/>
      <c r="R30" s="3"/>
      <c r="S30" s="88" t="s">
        <v>30</v>
      </c>
      <c r="T30" s="88" t="s">
        <v>30</v>
      </c>
      <c r="U30" s="88" t="s">
        <v>30</v>
      </c>
      <c r="V30" s="88" t="s">
        <v>30</v>
      </c>
      <c r="W30" s="88" t="s">
        <v>30</v>
      </c>
      <c r="X30" s="88" t="s">
        <v>30</v>
      </c>
      <c r="Y30" s="88" t="s">
        <v>30</v>
      </c>
      <c r="Z30" s="88" t="s">
        <v>30</v>
      </c>
      <c r="AA30" s="88" t="s">
        <v>30</v>
      </c>
      <c r="AB30" s="88" t="s">
        <v>30</v>
      </c>
      <c r="AC30" s="88" t="s">
        <v>30</v>
      </c>
      <c r="AD30" s="88" t="s">
        <v>30</v>
      </c>
      <c r="AE30" s="13" t="s">
        <v>30</v>
      </c>
      <c r="AF30" s="3"/>
      <c r="AG30" s="3"/>
      <c r="AH30" s="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s="17" customFormat="1" ht="15">
      <c r="A31" s="16" t="s">
        <v>49</v>
      </c>
      <c r="C31" s="19">
        <f aca="true" t="shared" si="7" ref="C31:O31">SUM(C26:C29)</f>
        <v>690993</v>
      </c>
      <c r="D31" s="19">
        <f t="shared" si="7"/>
        <v>631557</v>
      </c>
      <c r="E31" s="19">
        <f t="shared" si="7"/>
        <v>3347768</v>
      </c>
      <c r="F31" s="19">
        <f t="shared" si="7"/>
        <v>739340</v>
      </c>
      <c r="G31" s="19">
        <f t="shared" si="7"/>
        <v>788016</v>
      </c>
      <c r="H31" s="19">
        <f t="shared" si="7"/>
        <v>730744</v>
      </c>
      <c r="I31" s="19">
        <f t="shared" si="7"/>
        <v>729514</v>
      </c>
      <c r="J31" s="19">
        <f t="shared" si="7"/>
        <v>460645</v>
      </c>
      <c r="K31" s="19">
        <f t="shared" si="7"/>
        <v>190257</v>
      </c>
      <c r="L31" s="19">
        <f t="shared" si="7"/>
        <v>5053</v>
      </c>
      <c r="M31" s="19">
        <f t="shared" si="7"/>
        <v>852295</v>
      </c>
      <c r="N31" s="19">
        <f t="shared" si="7"/>
        <v>537589</v>
      </c>
      <c r="O31" s="19">
        <f t="shared" si="7"/>
        <v>9703771</v>
      </c>
      <c r="Q31" s="16" t="s">
        <v>49</v>
      </c>
      <c r="S31" s="19">
        <f aca="true" t="shared" si="8" ref="S31:AE31">SUM(S26:S29)</f>
        <v>3218984</v>
      </c>
      <c r="T31" s="19">
        <f t="shared" si="8"/>
        <v>901737</v>
      </c>
      <c r="U31" s="19">
        <f t="shared" si="8"/>
        <v>30</v>
      </c>
      <c r="V31" s="19">
        <f t="shared" si="8"/>
        <v>30</v>
      </c>
      <c r="W31" s="19">
        <f t="shared" si="8"/>
        <v>450030</v>
      </c>
      <c r="X31" s="19">
        <f t="shared" si="8"/>
        <v>2857747</v>
      </c>
      <c r="Y31" s="19">
        <f t="shared" si="8"/>
        <v>0</v>
      </c>
      <c r="Z31" s="19">
        <f t="shared" si="8"/>
        <v>0</v>
      </c>
      <c r="AA31" s="19">
        <f t="shared" si="8"/>
        <v>250000</v>
      </c>
      <c r="AB31" s="19">
        <f t="shared" si="8"/>
        <v>310000</v>
      </c>
      <c r="AC31" s="19">
        <f t="shared" si="8"/>
        <v>200000</v>
      </c>
      <c r="AD31" s="19">
        <f t="shared" si="8"/>
        <v>5081890</v>
      </c>
      <c r="AE31" s="19">
        <f t="shared" si="8"/>
        <v>13270448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s="17" customFormat="1" ht="15">
      <c r="A32" s="3"/>
      <c r="B32" s="3"/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Q32" s="3"/>
      <c r="R32" s="3"/>
      <c r="S32" s="13" t="s">
        <v>30</v>
      </c>
      <c r="T32" s="13" t="s">
        <v>30</v>
      </c>
      <c r="U32" s="13" t="s">
        <v>30</v>
      </c>
      <c r="V32" s="13" t="s">
        <v>30</v>
      </c>
      <c r="W32" s="13" t="s">
        <v>30</v>
      </c>
      <c r="X32" s="13" t="s">
        <v>30</v>
      </c>
      <c r="Y32" s="13" t="s">
        <v>30</v>
      </c>
      <c r="Z32" s="13" t="s">
        <v>30</v>
      </c>
      <c r="AA32" s="13" t="s">
        <v>30</v>
      </c>
      <c r="AB32" s="13" t="s">
        <v>30</v>
      </c>
      <c r="AC32" s="13" t="s">
        <v>30</v>
      </c>
      <c r="AD32" s="13" t="s">
        <v>30</v>
      </c>
      <c r="AE32" s="13" t="s">
        <v>30</v>
      </c>
      <c r="AF32" s="3"/>
      <c r="AG32" s="5" t="s">
        <v>52</v>
      </c>
      <c r="AH32" s="3"/>
      <c r="AI32" s="15">
        <f aca="true" t="shared" si="9" ref="AI32:AU32">AI11+AI21-AI28</f>
        <v>-166594.84999999945</v>
      </c>
      <c r="AJ32" s="15">
        <f t="shared" si="9"/>
        <v>-341799.2599999994</v>
      </c>
      <c r="AK32" s="15">
        <f t="shared" si="9"/>
        <v>-517003.6699999994</v>
      </c>
      <c r="AL32" s="15">
        <f t="shared" si="9"/>
        <v>-692208.0799999994</v>
      </c>
      <c r="AM32" s="15">
        <f t="shared" si="9"/>
        <v>-867412.4899999993</v>
      </c>
      <c r="AN32" s="15">
        <f t="shared" si="9"/>
        <v>623724.8000000006</v>
      </c>
      <c r="AO32" s="15">
        <f t="shared" si="9"/>
        <v>448520.3900000007</v>
      </c>
      <c r="AP32" s="15">
        <f t="shared" si="9"/>
        <v>273315.9800000008</v>
      </c>
      <c r="AQ32" s="15">
        <f t="shared" si="9"/>
        <v>98111.57000000088</v>
      </c>
      <c r="AR32" s="15">
        <f t="shared" si="9"/>
        <v>-77092.8399999991</v>
      </c>
      <c r="AS32" s="15">
        <f t="shared" si="9"/>
        <v>-252297.24999999907</v>
      </c>
      <c r="AT32" s="15">
        <f t="shared" si="9"/>
        <v>1238840.040000001</v>
      </c>
      <c r="AU32" s="15">
        <f t="shared" si="9"/>
        <v>1238840.04</v>
      </c>
    </row>
    <row r="33" spans="3:48" ht="1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7"/>
      <c r="AI33" s="13" t="s">
        <v>53</v>
      </c>
      <c r="AJ33" s="13" t="s">
        <v>53</v>
      </c>
      <c r="AK33" s="13" t="s">
        <v>53</v>
      </c>
      <c r="AL33" s="13" t="s">
        <v>53</v>
      </c>
      <c r="AM33" s="13" t="s">
        <v>53</v>
      </c>
      <c r="AN33" s="13" t="s">
        <v>53</v>
      </c>
      <c r="AO33" s="13" t="s">
        <v>53</v>
      </c>
      <c r="AP33" s="13" t="s">
        <v>53</v>
      </c>
      <c r="AQ33" s="13" t="s">
        <v>53</v>
      </c>
      <c r="AR33" s="13" t="s">
        <v>53</v>
      </c>
      <c r="AS33" s="13" t="s">
        <v>53</v>
      </c>
      <c r="AT33" s="13" t="s">
        <v>53</v>
      </c>
      <c r="AU33" s="13" t="s">
        <v>53</v>
      </c>
      <c r="AV33" s="17"/>
    </row>
    <row r="34" spans="1:47" s="17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G34" s="3"/>
      <c r="AH34" s="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</row>
    <row r="35" spans="1:48" ht="15">
      <c r="A35" s="5" t="s">
        <v>52</v>
      </c>
      <c r="C35" s="15">
        <f aca="true" t="shared" si="10" ref="C35:O35">C11+C22-C31</f>
        <v>2581905</v>
      </c>
      <c r="D35" s="15">
        <f t="shared" si="10"/>
        <v>1950386</v>
      </c>
      <c r="E35" s="15">
        <f t="shared" si="10"/>
        <v>1516422</v>
      </c>
      <c r="F35" s="15">
        <f t="shared" si="10"/>
        <v>991617</v>
      </c>
      <c r="G35" s="15">
        <f t="shared" si="10"/>
        <v>203640</v>
      </c>
      <c r="H35" s="15">
        <f t="shared" si="10"/>
        <v>199539</v>
      </c>
      <c r="I35" s="15">
        <f t="shared" si="10"/>
        <v>70061</v>
      </c>
      <c r="J35" s="15">
        <f t="shared" si="10"/>
        <v>119452</v>
      </c>
      <c r="K35" s="15">
        <f t="shared" si="10"/>
        <v>-10262</v>
      </c>
      <c r="L35" s="15">
        <f t="shared" si="10"/>
        <v>-15314</v>
      </c>
      <c r="M35" s="15">
        <f t="shared" si="10"/>
        <v>-5993</v>
      </c>
      <c r="N35" s="15">
        <f t="shared" si="10"/>
        <v>79042</v>
      </c>
      <c r="O35" s="15">
        <f t="shared" si="10"/>
        <v>79042</v>
      </c>
      <c r="P35" s="17"/>
      <c r="Q35" s="5" t="s">
        <v>52</v>
      </c>
      <c r="S35" s="15">
        <f aca="true" t="shared" si="11" ref="S35:AE35">S11+S22-S31</f>
        <v>-30622.27000000002</v>
      </c>
      <c r="T35" s="15">
        <f t="shared" si="11"/>
        <v>-32159.52000000002</v>
      </c>
      <c r="U35" s="15">
        <f t="shared" si="11"/>
        <v>-32188.780000000017</v>
      </c>
      <c r="V35" s="15">
        <f t="shared" si="11"/>
        <v>-32218.100000000017</v>
      </c>
      <c r="W35" s="15">
        <f t="shared" si="11"/>
        <v>-32247.46000000002</v>
      </c>
      <c r="X35" s="15">
        <f t="shared" si="11"/>
        <v>3609.2299999999814</v>
      </c>
      <c r="Y35" s="15">
        <f t="shared" si="11"/>
        <v>3609.7599999999816</v>
      </c>
      <c r="Z35" s="15">
        <f t="shared" si="11"/>
        <v>3609.7599999999816</v>
      </c>
      <c r="AA35" s="15">
        <f t="shared" si="11"/>
        <v>8610.48999999999</v>
      </c>
      <c r="AB35" s="15">
        <f t="shared" si="11"/>
        <v>-17226.440000000002</v>
      </c>
      <c r="AC35" s="15">
        <f t="shared" si="11"/>
        <v>-17226.440000000002</v>
      </c>
      <c r="AD35" s="15">
        <f t="shared" si="11"/>
        <v>8609.55999999959</v>
      </c>
      <c r="AE35" s="15">
        <f t="shared" si="11"/>
        <v>8609.560000000522</v>
      </c>
      <c r="AF35" s="17"/>
      <c r="AV35" s="17"/>
    </row>
    <row r="36" spans="3:46" ht="15">
      <c r="C36" s="13" t="s">
        <v>53</v>
      </c>
      <c r="D36" s="13" t="s">
        <v>53</v>
      </c>
      <c r="E36" s="13" t="s">
        <v>53</v>
      </c>
      <c r="F36" s="13" t="s">
        <v>53</v>
      </c>
      <c r="G36" s="13" t="s">
        <v>53</v>
      </c>
      <c r="H36" s="13" t="s">
        <v>53</v>
      </c>
      <c r="I36" s="13" t="s">
        <v>53</v>
      </c>
      <c r="J36" s="13" t="s">
        <v>53</v>
      </c>
      <c r="K36" s="13" t="s">
        <v>53</v>
      </c>
      <c r="L36" s="13" t="s">
        <v>53</v>
      </c>
      <c r="M36" s="13" t="s">
        <v>53</v>
      </c>
      <c r="N36" s="13" t="s">
        <v>53</v>
      </c>
      <c r="O36" s="13" t="s">
        <v>53</v>
      </c>
      <c r="P36" s="17"/>
      <c r="S36" s="13" t="s">
        <v>53</v>
      </c>
      <c r="T36" s="13" t="s">
        <v>53</v>
      </c>
      <c r="U36" s="13" t="s">
        <v>53</v>
      </c>
      <c r="V36" s="13" t="s">
        <v>53</v>
      </c>
      <c r="W36" s="13" t="s">
        <v>53</v>
      </c>
      <c r="X36" s="13" t="s">
        <v>53</v>
      </c>
      <c r="Y36" s="13" t="s">
        <v>53</v>
      </c>
      <c r="Z36" s="13" t="s">
        <v>53</v>
      </c>
      <c r="AA36" s="13" t="s">
        <v>53</v>
      </c>
      <c r="AB36" s="13" t="s">
        <v>53</v>
      </c>
      <c r="AC36" s="13" t="s">
        <v>53</v>
      </c>
      <c r="AD36" s="13" t="s">
        <v>53</v>
      </c>
      <c r="AE36" s="13" t="s">
        <v>53</v>
      </c>
      <c r="AF36" s="17"/>
      <c r="AG36" s="68"/>
      <c r="AI36" s="99"/>
      <c r="AJ36" s="83"/>
      <c r="AK36" s="83"/>
      <c r="AL36" s="83"/>
      <c r="AT36" s="96" t="s">
        <v>157</v>
      </c>
    </row>
    <row r="37" spans="3:48" ht="1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17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7"/>
      <c r="AG37" s="98"/>
      <c r="AI37" s="13"/>
      <c r="AJ37" s="15"/>
      <c r="AK37" s="83"/>
      <c r="AL37" s="83"/>
      <c r="AO37" s="3" t="s">
        <v>176</v>
      </c>
      <c r="AT37" s="82">
        <f>AI6</f>
        <v>3920804</v>
      </c>
      <c r="AV37" s="17"/>
    </row>
    <row r="38" spans="32:38" ht="15">
      <c r="AF38" s="17"/>
      <c r="AI38" s="84"/>
      <c r="AK38" s="83"/>
      <c r="AL38" s="83"/>
    </row>
    <row r="39" spans="1:46" ht="15">
      <c r="A39" s="68"/>
      <c r="C39" s="99"/>
      <c r="D39" s="83"/>
      <c r="E39" s="83"/>
      <c r="F39" s="83"/>
      <c r="P39" s="17"/>
      <c r="Q39" s="68"/>
      <c r="S39" s="99"/>
      <c r="T39" s="83"/>
      <c r="U39" s="83"/>
      <c r="V39" s="83"/>
      <c r="AI39" s="13"/>
      <c r="AJ39" s="15"/>
      <c r="AK39" s="83"/>
      <c r="AL39" s="83"/>
      <c r="AO39" s="3" t="s">
        <v>155</v>
      </c>
      <c r="AT39" s="85">
        <v>0</v>
      </c>
    </row>
    <row r="40" spans="1:46" ht="15">
      <c r="A40" s="98"/>
      <c r="C40" s="13"/>
      <c r="D40" s="15"/>
      <c r="E40" s="83"/>
      <c r="F40" s="83"/>
      <c r="Q40" s="98"/>
      <c r="S40" s="13"/>
      <c r="T40" s="15"/>
      <c r="U40" s="83"/>
      <c r="V40" s="83"/>
      <c r="AF40" s="17"/>
      <c r="AI40" s="101"/>
      <c r="AJ40" s="13"/>
      <c r="AT40" s="13" t="s">
        <v>30</v>
      </c>
    </row>
    <row r="41" spans="3:46" ht="15">
      <c r="C41" s="84"/>
      <c r="E41" s="83"/>
      <c r="F41" s="83"/>
      <c r="S41" s="84"/>
      <c r="U41" s="83"/>
      <c r="V41" s="83"/>
      <c r="AI41" s="13"/>
      <c r="AJ41" s="15"/>
      <c r="AK41" s="83"/>
      <c r="AL41" s="83"/>
      <c r="AO41" s="3" t="s">
        <v>156</v>
      </c>
      <c r="AT41" s="86">
        <f>SUM(AT37:AT39)</f>
        <v>3920804</v>
      </c>
    </row>
    <row r="42" spans="3:38" ht="15">
      <c r="C42" s="13"/>
      <c r="D42" s="15"/>
      <c r="E42" s="83"/>
      <c r="F42" s="83"/>
      <c r="S42" s="13"/>
      <c r="T42" s="15"/>
      <c r="U42" s="83"/>
      <c r="V42" s="83"/>
      <c r="AJ42" s="13"/>
      <c r="AK42" s="83"/>
      <c r="AL42" s="83"/>
    </row>
    <row r="43" spans="3:46" ht="15">
      <c r="C43" s="101"/>
      <c r="D43" s="13"/>
      <c r="S43" s="101"/>
      <c r="T43" s="13"/>
      <c r="AI43" s="99"/>
      <c r="AJ43" s="15"/>
      <c r="AK43" s="83"/>
      <c r="AL43" s="83"/>
      <c r="AM43" s="83"/>
      <c r="AO43" s="3" t="s">
        <v>153</v>
      </c>
      <c r="AT43" s="103">
        <v>0.85</v>
      </c>
    </row>
    <row r="44" spans="3:46" ht="15">
      <c r="C44" s="13"/>
      <c r="D44" s="15"/>
      <c r="E44" s="83"/>
      <c r="F44" s="83"/>
      <c r="S44" s="13"/>
      <c r="T44" s="15"/>
      <c r="U44" s="83"/>
      <c r="V44" s="83"/>
      <c r="AI44" s="13"/>
      <c r="AJ44" s="15"/>
      <c r="AK44" s="83"/>
      <c r="AL44" s="83"/>
      <c r="AM44" s="83"/>
      <c r="AT44" s="13" t="s">
        <v>30</v>
      </c>
    </row>
    <row r="45" spans="4:46" ht="15">
      <c r="D45" s="13"/>
      <c r="E45" s="83"/>
      <c r="F45" s="83"/>
      <c r="T45" s="13"/>
      <c r="U45" s="83"/>
      <c r="V45" s="83"/>
      <c r="AI45" s="84"/>
      <c r="AO45" s="3" t="s">
        <v>159</v>
      </c>
      <c r="AQ45" s="15"/>
      <c r="AT45" s="15">
        <f>AT41*AT43</f>
        <v>3332683.4</v>
      </c>
    </row>
    <row r="46" spans="3:46" ht="15">
      <c r="C46" s="99"/>
      <c r="D46" s="15"/>
      <c r="E46" s="83"/>
      <c r="F46" s="83"/>
      <c r="G46" s="83"/>
      <c r="S46" s="99"/>
      <c r="T46" s="15"/>
      <c r="U46" s="83"/>
      <c r="V46" s="83"/>
      <c r="W46" s="83"/>
      <c r="AI46" s="97"/>
      <c r="AQ46" s="15"/>
      <c r="AT46" s="13" t="s">
        <v>53</v>
      </c>
    </row>
    <row r="47" spans="3:23" ht="15">
      <c r="C47" s="13"/>
      <c r="D47" s="15"/>
      <c r="E47" s="83"/>
      <c r="F47" s="83"/>
      <c r="G47" s="83"/>
      <c r="S47" s="13"/>
      <c r="T47" s="15"/>
      <c r="U47" s="83"/>
      <c r="V47" s="83"/>
      <c r="W47" s="83"/>
    </row>
    <row r="48" spans="3:19" ht="15">
      <c r="C48" s="84"/>
      <c r="S48" s="84"/>
    </row>
    <row r="49" spans="3:19" ht="15">
      <c r="C49" s="97"/>
      <c r="S49" s="97"/>
    </row>
  </sheetData>
  <sheetProtection/>
  <mergeCells count="9">
    <mergeCell ref="AG1:AU1"/>
    <mergeCell ref="AG2:AU2"/>
    <mergeCell ref="AG3:AU3"/>
    <mergeCell ref="A1:O1"/>
    <mergeCell ref="A2:O2"/>
    <mergeCell ref="A3:O3"/>
    <mergeCell ref="Q1:AE1"/>
    <mergeCell ref="Q2:AE2"/>
    <mergeCell ref="Q3:AE3"/>
  </mergeCells>
  <printOptions horizontalCentered="1"/>
  <pageMargins left="0.5" right="0.5" top="0.75" bottom="0.75" header="0.5" footer="0.5"/>
  <pageSetup horizontalDpi="600" verticalDpi="600" orientation="landscape" scale="55" r:id="rId1"/>
  <colBreaks count="1" manualBreakCount="1">
    <brk id="16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U51"/>
  <sheetViews>
    <sheetView view="pageBreakPreview" zoomScale="75" zoomScaleSheetLayoutView="75" zoomScalePageLayoutView="0" workbookViewId="0" topLeftCell="A1">
      <selection activeCell="A1" sqref="A1:O1"/>
    </sheetView>
  </sheetViews>
  <sheetFormatPr defaultColWidth="8.140625" defaultRowHeight="12.75"/>
  <cols>
    <col min="1" max="1" width="40.7109375" style="3" customWidth="1"/>
    <col min="2" max="2" width="4.7109375" style="3" customWidth="1"/>
    <col min="3" max="7" width="12.8515625" style="3" bestFit="1" customWidth="1"/>
    <col min="8" max="8" width="15.140625" style="3" bestFit="1" customWidth="1"/>
    <col min="9" max="11" width="12.8515625" style="3" bestFit="1" customWidth="1"/>
    <col min="12" max="12" width="12.7109375" style="3" customWidth="1"/>
    <col min="13" max="13" width="12.8515625" style="3" customWidth="1"/>
    <col min="14" max="15" width="12.8515625" style="3" bestFit="1" customWidth="1"/>
    <col min="16" max="16" width="2.7109375" style="3" customWidth="1"/>
    <col min="17" max="17" width="40.7109375" style="3" customWidth="1"/>
    <col min="18" max="18" width="4.7109375" style="3" customWidth="1"/>
    <col min="19" max="23" width="12.8515625" style="3" bestFit="1" customWidth="1"/>
    <col min="24" max="24" width="15.140625" style="3" bestFit="1" customWidth="1"/>
    <col min="25" max="27" width="12.8515625" style="3" bestFit="1" customWidth="1"/>
    <col min="28" max="28" width="12.7109375" style="3" customWidth="1"/>
    <col min="29" max="29" width="12.8515625" style="3" customWidth="1"/>
    <col min="30" max="31" width="12.8515625" style="3" bestFit="1" customWidth="1"/>
    <col min="32" max="32" width="2.7109375" style="3" customWidth="1"/>
    <col min="33" max="33" width="40.7109375" style="3" customWidth="1"/>
    <col min="34" max="34" width="4.7109375" style="3" customWidth="1"/>
    <col min="35" max="39" width="12.8515625" style="3" bestFit="1" customWidth="1"/>
    <col min="40" max="40" width="15.140625" style="3" bestFit="1" customWidth="1"/>
    <col min="41" max="43" width="12.8515625" style="3" bestFit="1" customWidth="1"/>
    <col min="44" max="44" width="12.7109375" style="3" customWidth="1"/>
    <col min="45" max="45" width="12.8515625" style="3" customWidth="1"/>
    <col min="46" max="47" width="12.8515625" style="3" bestFit="1" customWidth="1"/>
    <col min="48" max="48" width="2.7109375" style="3" customWidth="1"/>
    <col min="49" max="16384" width="8.140625" style="3" customWidth="1"/>
  </cols>
  <sheetData>
    <row r="1" spans="1:47" ht="15">
      <c r="A1" s="106" t="s">
        <v>150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Q1" s="106" t="s">
        <v>150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G1" s="106" t="s">
        <v>150</v>
      </c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</row>
    <row r="2" spans="1:47" ht="15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Q2" s="107" t="s">
        <v>5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G2" s="107" t="s">
        <v>5</v>
      </c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</row>
    <row r="3" spans="1:47" ht="15" customHeight="1">
      <c r="A3" s="107">
        <v>2009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68"/>
      <c r="Q3" s="107">
        <v>2010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G3" s="107">
        <v>2011</v>
      </c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</row>
    <row r="4" spans="1:43" ht="15">
      <c r="A4" s="89" t="s">
        <v>13</v>
      </c>
      <c r="B4" s="83"/>
      <c r="C4" s="89" t="s">
        <v>165</v>
      </c>
      <c r="D4" s="83"/>
      <c r="E4" s="83"/>
      <c r="F4" s="83"/>
      <c r="G4" s="89"/>
      <c r="H4" s="90"/>
      <c r="I4" s="83"/>
      <c r="J4" s="83"/>
      <c r="K4" s="83"/>
      <c r="Q4" s="89" t="s">
        <v>13</v>
      </c>
      <c r="R4" s="83"/>
      <c r="S4" s="89" t="s">
        <v>165</v>
      </c>
      <c r="T4" s="83"/>
      <c r="U4" s="83"/>
      <c r="V4" s="83"/>
      <c r="W4" s="89"/>
      <c r="X4" s="90"/>
      <c r="Y4" s="83"/>
      <c r="Z4" s="83"/>
      <c r="AA4" s="83"/>
      <c r="AG4" s="89" t="s">
        <v>13</v>
      </c>
      <c r="AH4" s="83"/>
      <c r="AI4" s="89" t="s">
        <v>165</v>
      </c>
      <c r="AJ4" s="83"/>
      <c r="AK4" s="83"/>
      <c r="AL4" s="83"/>
      <c r="AM4" s="89"/>
      <c r="AN4" s="90"/>
      <c r="AO4" s="83"/>
      <c r="AP4" s="83"/>
      <c r="AQ4" s="83"/>
    </row>
    <row r="5" spans="1:43" ht="15">
      <c r="A5" s="83"/>
      <c r="B5" s="83"/>
      <c r="C5" s="89"/>
      <c r="D5" s="83"/>
      <c r="E5" s="83"/>
      <c r="F5" s="83"/>
      <c r="H5" s="83"/>
      <c r="I5" s="83"/>
      <c r="J5" s="83"/>
      <c r="K5" s="83"/>
      <c r="Q5" s="83"/>
      <c r="R5" s="83"/>
      <c r="S5" s="88" t="s">
        <v>183</v>
      </c>
      <c r="T5" s="83"/>
      <c r="U5" s="83"/>
      <c r="V5" s="83"/>
      <c r="X5" s="83"/>
      <c r="Y5" s="83"/>
      <c r="Z5" s="83"/>
      <c r="AA5" s="83"/>
      <c r="AG5" s="83"/>
      <c r="AH5" s="83"/>
      <c r="AI5" s="89"/>
      <c r="AJ5" s="83"/>
      <c r="AK5" s="83"/>
      <c r="AL5" s="83"/>
      <c r="AN5" s="83"/>
      <c r="AO5" s="83"/>
      <c r="AP5" s="83"/>
      <c r="AQ5" s="83"/>
    </row>
    <row r="6" spans="1:43" ht="15">
      <c r="A6" s="89" t="s">
        <v>14</v>
      </c>
      <c r="B6" s="91"/>
      <c r="C6" s="92">
        <v>821746</v>
      </c>
      <c r="D6" s="83"/>
      <c r="E6" s="83"/>
      <c r="F6" s="83"/>
      <c r="H6" s="83"/>
      <c r="I6" s="83"/>
      <c r="J6" s="83"/>
      <c r="K6" s="83"/>
      <c r="Q6" s="89" t="s">
        <v>14</v>
      </c>
      <c r="R6" s="91"/>
      <c r="S6" s="92">
        <v>641668</v>
      </c>
      <c r="T6" s="83"/>
      <c r="U6" s="83"/>
      <c r="V6" s="83"/>
      <c r="X6" s="83"/>
      <c r="Y6" s="83"/>
      <c r="Z6" s="83"/>
      <c r="AA6" s="83"/>
      <c r="AG6" s="89" t="s">
        <v>14</v>
      </c>
      <c r="AH6" s="91"/>
      <c r="AI6" s="92">
        <v>641668</v>
      </c>
      <c r="AJ6" s="83"/>
      <c r="AK6" s="83"/>
      <c r="AL6" s="83"/>
      <c r="AN6" s="83"/>
      <c r="AO6" s="83"/>
      <c r="AP6" s="83"/>
      <c r="AQ6" s="83"/>
    </row>
    <row r="7" s="55" customFormat="1" ht="15"/>
    <row r="8" spans="1:47" ht="15">
      <c r="A8" s="83"/>
      <c r="B8" s="8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83"/>
      <c r="Q8" s="83"/>
      <c r="R8" s="83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83"/>
      <c r="AG8" s="83"/>
      <c r="AH8" s="83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83"/>
    </row>
    <row r="9" spans="3:47" ht="15">
      <c r="C9" s="13" t="s">
        <v>16</v>
      </c>
      <c r="D9" s="13" t="s">
        <v>17</v>
      </c>
      <c r="E9" s="13" t="s">
        <v>18</v>
      </c>
      <c r="F9" s="13" t="s">
        <v>19</v>
      </c>
      <c r="G9" s="13" t="s">
        <v>20</v>
      </c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  <c r="M9" s="13" t="s">
        <v>26</v>
      </c>
      <c r="N9" s="13" t="s">
        <v>27</v>
      </c>
      <c r="O9" s="13" t="s">
        <v>28</v>
      </c>
      <c r="S9" s="13" t="s">
        <v>16</v>
      </c>
      <c r="T9" s="13" t="s">
        <v>17</v>
      </c>
      <c r="U9" s="13" t="s">
        <v>18</v>
      </c>
      <c r="V9" s="13" t="s">
        <v>19</v>
      </c>
      <c r="W9" s="13" t="s">
        <v>20</v>
      </c>
      <c r="X9" s="13" t="s">
        <v>21</v>
      </c>
      <c r="Y9" s="13" t="s">
        <v>22</v>
      </c>
      <c r="Z9" s="13" t="s">
        <v>23</v>
      </c>
      <c r="AA9" s="13" t="s">
        <v>24</v>
      </c>
      <c r="AB9" s="13" t="s">
        <v>25</v>
      </c>
      <c r="AC9" s="13" t="s">
        <v>26</v>
      </c>
      <c r="AD9" s="13" t="s">
        <v>27</v>
      </c>
      <c r="AE9" s="13" t="s">
        <v>28</v>
      </c>
      <c r="AI9" s="13" t="s">
        <v>16</v>
      </c>
      <c r="AJ9" s="13" t="s">
        <v>17</v>
      </c>
      <c r="AK9" s="13" t="s">
        <v>18</v>
      </c>
      <c r="AL9" s="13" t="s">
        <v>19</v>
      </c>
      <c r="AM9" s="13" t="s">
        <v>20</v>
      </c>
      <c r="AN9" s="13" t="s">
        <v>21</v>
      </c>
      <c r="AO9" s="13" t="s">
        <v>22</v>
      </c>
      <c r="AP9" s="13" t="s">
        <v>23</v>
      </c>
      <c r="AQ9" s="13" t="s">
        <v>24</v>
      </c>
      <c r="AR9" s="13" t="s">
        <v>25</v>
      </c>
      <c r="AS9" s="13" t="s">
        <v>26</v>
      </c>
      <c r="AT9" s="13" t="s">
        <v>27</v>
      </c>
      <c r="AU9" s="13" t="s">
        <v>28</v>
      </c>
    </row>
    <row r="10" spans="1:47" ht="15">
      <c r="A10" s="5" t="s">
        <v>29</v>
      </c>
      <c r="C10" s="13" t="s">
        <v>30</v>
      </c>
      <c r="D10" s="13" t="s">
        <v>30</v>
      </c>
      <c r="E10" s="13" t="s">
        <v>30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  <c r="K10" s="13" t="s">
        <v>30</v>
      </c>
      <c r="L10" s="13" t="s">
        <v>30</v>
      </c>
      <c r="M10" s="13" t="s">
        <v>30</v>
      </c>
      <c r="N10" s="13" t="s">
        <v>30</v>
      </c>
      <c r="O10" s="13" t="s">
        <v>30</v>
      </c>
      <c r="Q10" s="5" t="s">
        <v>29</v>
      </c>
      <c r="S10" s="13" t="s">
        <v>30</v>
      </c>
      <c r="T10" s="13" t="s">
        <v>30</v>
      </c>
      <c r="U10" s="13" t="s">
        <v>30</v>
      </c>
      <c r="V10" s="13" t="s">
        <v>30</v>
      </c>
      <c r="W10" s="13" t="s">
        <v>30</v>
      </c>
      <c r="X10" s="13" t="s">
        <v>30</v>
      </c>
      <c r="Y10" s="13" t="s">
        <v>30</v>
      </c>
      <c r="Z10" s="13" t="s">
        <v>30</v>
      </c>
      <c r="AA10" s="13" t="s">
        <v>30</v>
      </c>
      <c r="AB10" s="13" t="s">
        <v>30</v>
      </c>
      <c r="AC10" s="13" t="s">
        <v>30</v>
      </c>
      <c r="AD10" s="13" t="s">
        <v>30</v>
      </c>
      <c r="AE10" s="13" t="s">
        <v>30</v>
      </c>
      <c r="AG10" s="5" t="s">
        <v>29</v>
      </c>
      <c r="AI10" s="13" t="s">
        <v>30</v>
      </c>
      <c r="AJ10" s="13" t="s">
        <v>30</v>
      </c>
      <c r="AK10" s="13" t="s">
        <v>30</v>
      </c>
      <c r="AL10" s="13" t="s">
        <v>30</v>
      </c>
      <c r="AM10" s="13" t="s">
        <v>30</v>
      </c>
      <c r="AN10" s="13" t="s">
        <v>30</v>
      </c>
      <c r="AO10" s="13" t="s">
        <v>30</v>
      </c>
      <c r="AP10" s="13" t="s">
        <v>30</v>
      </c>
      <c r="AQ10" s="13" t="s">
        <v>30</v>
      </c>
      <c r="AR10" s="13" t="s">
        <v>30</v>
      </c>
      <c r="AS10" s="13" t="s">
        <v>30</v>
      </c>
      <c r="AT10" s="13" t="s">
        <v>30</v>
      </c>
      <c r="AU10" s="13" t="s">
        <v>30</v>
      </c>
    </row>
    <row r="11" spans="1:47" ht="15">
      <c r="A11" s="5" t="s">
        <v>31</v>
      </c>
      <c r="C11" s="14">
        <v>1348054</v>
      </c>
      <c r="D11" s="15">
        <f aca="true" t="shared" si="0" ref="D11:N11">C34</f>
        <v>1201070</v>
      </c>
      <c r="E11" s="15">
        <f t="shared" si="0"/>
        <v>860589</v>
      </c>
      <c r="F11" s="15">
        <f t="shared" si="0"/>
        <v>1398747</v>
      </c>
      <c r="G11" s="15">
        <f t="shared" si="0"/>
        <v>1356679</v>
      </c>
      <c r="H11" s="15">
        <f t="shared" si="0"/>
        <v>688891</v>
      </c>
      <c r="I11" s="15">
        <f t="shared" si="0"/>
        <v>632902</v>
      </c>
      <c r="J11" s="15">
        <f t="shared" si="0"/>
        <v>573553</v>
      </c>
      <c r="K11" s="15">
        <f t="shared" si="0"/>
        <v>184178</v>
      </c>
      <c r="L11" s="15">
        <f t="shared" si="0"/>
        <v>153775</v>
      </c>
      <c r="M11" s="15">
        <f t="shared" si="0"/>
        <v>94965</v>
      </c>
      <c r="N11" s="15">
        <f t="shared" si="0"/>
        <v>434317</v>
      </c>
      <c r="O11" s="15">
        <f>C11</f>
        <v>1348054</v>
      </c>
      <c r="Q11" s="5" t="s">
        <v>31</v>
      </c>
      <c r="S11" s="14">
        <f>O34</f>
        <v>425036</v>
      </c>
      <c r="T11" s="15">
        <f aca="true" t="shared" si="1" ref="T11:AD11">S33</f>
        <v>60991.609999999986</v>
      </c>
      <c r="U11" s="15">
        <f t="shared" si="1"/>
        <v>26133.039999999986</v>
      </c>
      <c r="V11" s="15">
        <f t="shared" si="1"/>
        <v>-33549.880000000005</v>
      </c>
      <c r="W11" s="15">
        <f t="shared" si="1"/>
        <v>11975.299999999988</v>
      </c>
      <c r="X11" s="15">
        <f t="shared" si="1"/>
        <v>-9761.280000000013</v>
      </c>
      <c r="Y11" s="15">
        <f t="shared" si="1"/>
        <v>45208.06999999995</v>
      </c>
      <c r="Z11" s="15">
        <f t="shared" si="1"/>
        <v>45981.19999999995</v>
      </c>
      <c r="AA11" s="15">
        <f t="shared" si="1"/>
        <v>67744.19999999995</v>
      </c>
      <c r="AB11" s="15">
        <f t="shared" si="1"/>
        <v>121957.04999999993</v>
      </c>
      <c r="AC11" s="15">
        <f t="shared" si="1"/>
        <v>83508.04999999993</v>
      </c>
      <c r="AD11" s="15">
        <f t="shared" si="1"/>
        <v>-74062.45000000007</v>
      </c>
      <c r="AE11" s="15">
        <f>S11</f>
        <v>425036</v>
      </c>
      <c r="AG11" s="5" t="s">
        <v>31</v>
      </c>
      <c r="AI11" s="14">
        <f>AE33</f>
        <v>238955.0499999998</v>
      </c>
      <c r="AJ11" s="15">
        <f aca="true" t="shared" si="2" ref="AJ11:AT11">AI34</f>
        <v>174246.7999999998</v>
      </c>
      <c r="AK11" s="15">
        <f t="shared" si="2"/>
        <v>109538.5499999998</v>
      </c>
      <c r="AL11" s="15">
        <f t="shared" si="2"/>
        <v>44830.2999999998</v>
      </c>
      <c r="AM11" s="15">
        <f t="shared" si="2"/>
        <v>-19877.9500000002</v>
      </c>
      <c r="AN11" s="15">
        <f t="shared" si="2"/>
        <v>-84586.2000000002</v>
      </c>
      <c r="AO11" s="15">
        <f t="shared" si="2"/>
        <v>123414.44999999976</v>
      </c>
      <c r="AP11" s="15">
        <f t="shared" si="2"/>
        <v>58706.199999999764</v>
      </c>
      <c r="AQ11" s="15">
        <f t="shared" si="2"/>
        <v>-6002.050000000236</v>
      </c>
      <c r="AR11" s="15">
        <f t="shared" si="2"/>
        <v>-70710.30000000024</v>
      </c>
      <c r="AS11" s="15">
        <f t="shared" si="2"/>
        <v>-135418.55000000022</v>
      </c>
      <c r="AT11" s="15">
        <f t="shared" si="2"/>
        <v>-200126.80000000022</v>
      </c>
      <c r="AU11" s="15">
        <f>AI11</f>
        <v>238955.0499999998</v>
      </c>
    </row>
    <row r="12" spans="3:47" ht="15">
      <c r="C12" s="13" t="s">
        <v>30</v>
      </c>
      <c r="D12" s="13" t="s">
        <v>30</v>
      </c>
      <c r="E12" s="13" t="s">
        <v>30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  <c r="M12" s="13" t="s">
        <v>30</v>
      </c>
      <c r="N12" s="13" t="s">
        <v>30</v>
      </c>
      <c r="O12" s="13" t="s">
        <v>30</v>
      </c>
      <c r="S12" s="13" t="s">
        <v>30</v>
      </c>
      <c r="T12" s="13" t="s">
        <v>30</v>
      </c>
      <c r="U12" s="13" t="s">
        <v>30</v>
      </c>
      <c r="V12" s="13" t="s">
        <v>30</v>
      </c>
      <c r="W12" s="13" t="s">
        <v>30</v>
      </c>
      <c r="X12" s="13" t="s">
        <v>30</v>
      </c>
      <c r="Y12" s="13" t="s">
        <v>30</v>
      </c>
      <c r="Z12" s="13" t="s">
        <v>30</v>
      </c>
      <c r="AA12" s="13" t="s">
        <v>30</v>
      </c>
      <c r="AB12" s="13" t="s">
        <v>30</v>
      </c>
      <c r="AC12" s="13" t="s">
        <v>30</v>
      </c>
      <c r="AD12" s="13" t="s">
        <v>30</v>
      </c>
      <c r="AE12" s="13" t="s">
        <v>30</v>
      </c>
      <c r="AI12" s="13" t="s">
        <v>30</v>
      </c>
      <c r="AJ12" s="13" t="s">
        <v>30</v>
      </c>
      <c r="AK12" s="13" t="s">
        <v>30</v>
      </c>
      <c r="AL12" s="13" t="s">
        <v>30</v>
      </c>
      <c r="AM12" s="13" t="s">
        <v>30</v>
      </c>
      <c r="AN12" s="13" t="s">
        <v>30</v>
      </c>
      <c r="AO12" s="13" t="s">
        <v>30</v>
      </c>
      <c r="AP12" s="13" t="s">
        <v>30</v>
      </c>
      <c r="AQ12" s="13" t="s">
        <v>30</v>
      </c>
      <c r="AR12" s="13" t="s">
        <v>30</v>
      </c>
      <c r="AS12" s="13" t="s">
        <v>30</v>
      </c>
      <c r="AT12" s="13" t="s">
        <v>30</v>
      </c>
      <c r="AU12" s="13" t="s">
        <v>30</v>
      </c>
    </row>
    <row r="13" spans="1:46" ht="15">
      <c r="A13" s="5" t="s">
        <v>29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Q13" s="5" t="s">
        <v>29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G13" s="5" t="s">
        <v>29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</row>
    <row r="14" spans="1:46" ht="15">
      <c r="A14" s="5" t="s">
        <v>32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Q14" s="5" t="s">
        <v>32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G14" s="5" t="s">
        <v>32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</row>
    <row r="15" spans="1:47" s="17" customFormat="1" ht="15">
      <c r="A15" s="16" t="s">
        <v>160</v>
      </c>
      <c r="C15" s="95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5">
        <v>0</v>
      </c>
      <c r="M15" s="93">
        <v>196171</v>
      </c>
      <c r="N15" s="95">
        <v>0</v>
      </c>
      <c r="O15" s="19">
        <f>SUM(C15:N15)</f>
        <v>196171</v>
      </c>
      <c r="Q15" s="16" t="s">
        <v>167</v>
      </c>
      <c r="S15" s="95">
        <v>0</v>
      </c>
      <c r="T15" s="93">
        <v>0</v>
      </c>
      <c r="U15" s="93">
        <v>0</v>
      </c>
      <c r="V15" s="93">
        <v>0</v>
      </c>
      <c r="W15" s="93">
        <v>0</v>
      </c>
      <c r="X15" s="93">
        <v>376338</v>
      </c>
      <c r="Y15" s="93">
        <v>0</v>
      </c>
      <c r="Z15" s="93">
        <v>0</v>
      </c>
      <c r="AA15" s="93">
        <v>0</v>
      </c>
      <c r="AB15" s="95">
        <v>0</v>
      </c>
      <c r="AC15" s="93">
        <v>0</v>
      </c>
      <c r="AD15" s="95">
        <v>169080</v>
      </c>
      <c r="AE15" s="19">
        <f>SUM(S15:AD15)</f>
        <v>545418</v>
      </c>
      <c r="AG15" s="16" t="s">
        <v>169</v>
      </c>
      <c r="AI15" s="95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f>AT47/2</f>
        <v>272708.89999999997</v>
      </c>
      <c r="AO15" s="93">
        <v>0</v>
      </c>
      <c r="AP15" s="93">
        <v>0</v>
      </c>
      <c r="AQ15" s="93">
        <v>0</v>
      </c>
      <c r="AR15" s="95">
        <v>0</v>
      </c>
      <c r="AS15" s="93">
        <v>0</v>
      </c>
      <c r="AT15" s="95">
        <f>AT47/2</f>
        <v>272708.89999999997</v>
      </c>
      <c r="AU15" s="19">
        <f>SUM(AI15:AT15)</f>
        <v>545417.7999999999</v>
      </c>
    </row>
    <row r="16" spans="1:47" s="17" customFormat="1" ht="15">
      <c r="A16" s="16" t="s">
        <v>161</v>
      </c>
      <c r="C16" s="95">
        <v>0</v>
      </c>
      <c r="D16" s="93">
        <v>0</v>
      </c>
      <c r="E16" s="93">
        <v>521831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5">
        <v>0</v>
      </c>
      <c r="M16" s="93">
        <v>0</v>
      </c>
      <c r="N16" s="95">
        <v>0</v>
      </c>
      <c r="O16" s="19">
        <f>SUM(C16:N16)</f>
        <v>521831</v>
      </c>
      <c r="Q16" s="16" t="s">
        <v>168</v>
      </c>
      <c r="S16" s="95">
        <v>546437</v>
      </c>
      <c r="T16" s="93">
        <v>0</v>
      </c>
      <c r="U16" s="93">
        <v>0</v>
      </c>
      <c r="V16" s="93">
        <v>0</v>
      </c>
      <c r="W16" s="93">
        <v>0</v>
      </c>
      <c r="X16" s="93">
        <v>-112658</v>
      </c>
      <c r="Y16" s="93">
        <v>0</v>
      </c>
      <c r="Z16" s="93">
        <v>0</v>
      </c>
      <c r="AA16" s="93">
        <v>0</v>
      </c>
      <c r="AB16" s="95">
        <v>0</v>
      </c>
      <c r="AC16" s="93">
        <v>0</v>
      </c>
      <c r="AD16" s="95">
        <v>0</v>
      </c>
      <c r="AE16" s="19">
        <f>SUM(S16:AD16)</f>
        <v>433779</v>
      </c>
      <c r="AG16" s="16" t="s">
        <v>170</v>
      </c>
      <c r="AI16" s="95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5">
        <v>0</v>
      </c>
      <c r="AS16" s="93">
        <v>0</v>
      </c>
      <c r="AT16" s="95">
        <v>0</v>
      </c>
      <c r="AU16" s="19">
        <f>SUM(AI16:AT16)</f>
        <v>0</v>
      </c>
    </row>
    <row r="17" spans="1:47" s="17" customFormat="1" ht="15.75">
      <c r="A17" s="16" t="s">
        <v>179</v>
      </c>
      <c r="C17" s="93">
        <v>325</v>
      </c>
      <c r="D17" s="93">
        <v>240</v>
      </c>
      <c r="E17" s="93">
        <v>269</v>
      </c>
      <c r="F17" s="93">
        <v>326</v>
      </c>
      <c r="G17" s="93">
        <v>660</v>
      </c>
      <c r="H17" s="93">
        <v>868</v>
      </c>
      <c r="I17" s="93">
        <v>148</v>
      </c>
      <c r="J17" s="93">
        <v>990</v>
      </c>
      <c r="K17" s="93">
        <v>33266</v>
      </c>
      <c r="L17" s="93">
        <v>1529</v>
      </c>
      <c r="M17" s="93">
        <v>159</v>
      </c>
      <c r="N17" s="93">
        <v>14828</v>
      </c>
      <c r="O17" s="19">
        <f>SUM(C17:N17)</f>
        <v>53608</v>
      </c>
      <c r="Q17" s="16" t="s">
        <v>179</v>
      </c>
      <c r="S17" s="105">
        <v>142.61</v>
      </c>
      <c r="T17" s="105">
        <v>12.43</v>
      </c>
      <c r="U17" s="105">
        <v>11.08</v>
      </c>
      <c r="V17" s="105">
        <v>1386.18</v>
      </c>
      <c r="W17" s="105">
        <v>7.42</v>
      </c>
      <c r="X17" s="105">
        <v>20.35</v>
      </c>
      <c r="Y17" s="105">
        <f>55+4.83+1.01+1.75+1.54</f>
        <v>64.13</v>
      </c>
      <c r="Z17" s="105">
        <f>11+1500</f>
        <v>1511</v>
      </c>
      <c r="AA17" s="105">
        <f>1000+250+250+500+1000+100+250+11.26+117065+0.98+1.38+1.23</f>
        <v>120429.84999999999</v>
      </c>
      <c r="AB17" s="105">
        <f>11862+1000+14+2778+3095</f>
        <v>18749</v>
      </c>
      <c r="AC17" s="105">
        <v>0</v>
      </c>
      <c r="AD17" s="105">
        <v>1508</v>
      </c>
      <c r="AE17" s="19">
        <f>SUM(S17:AD17)</f>
        <v>143842.05</v>
      </c>
      <c r="AG17" s="16" t="s">
        <v>180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19">
        <f>SUM(AI17:AT17)</f>
        <v>0</v>
      </c>
    </row>
    <row r="18" spans="1:47" s="17" customFormat="1" ht="15">
      <c r="A18" s="16" t="s">
        <v>37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19">
        <f>SUM(C18:N18)</f>
        <v>0</v>
      </c>
      <c r="Q18" s="16" t="s">
        <v>37</v>
      </c>
      <c r="S18" s="24">
        <v>0</v>
      </c>
      <c r="T18" s="24">
        <v>0</v>
      </c>
      <c r="U18" s="24">
        <v>75000</v>
      </c>
      <c r="V18" s="24">
        <v>80000</v>
      </c>
      <c r="W18" s="24">
        <v>40000</v>
      </c>
      <c r="X18" s="24">
        <v>320000</v>
      </c>
      <c r="Y18" s="24">
        <v>50000</v>
      </c>
      <c r="Z18" s="24">
        <v>70000</v>
      </c>
      <c r="AA18" s="24">
        <v>0</v>
      </c>
      <c r="AB18" s="24">
        <v>0</v>
      </c>
      <c r="AC18" s="24">
        <v>0</v>
      </c>
      <c r="AD18" s="24">
        <v>350000</v>
      </c>
      <c r="AE18" s="19">
        <f>SUM(S18:AD18)</f>
        <v>985000</v>
      </c>
      <c r="AG18" s="16" t="s">
        <v>179</v>
      </c>
      <c r="AI18" s="93">
        <v>59495.17</v>
      </c>
      <c r="AJ18" s="93">
        <v>59495.17</v>
      </c>
      <c r="AK18" s="93">
        <v>59495.17</v>
      </c>
      <c r="AL18" s="93">
        <v>59495.17</v>
      </c>
      <c r="AM18" s="93">
        <v>59495.17</v>
      </c>
      <c r="AN18" s="93">
        <v>59495.17</v>
      </c>
      <c r="AO18" s="93">
        <v>59495.17</v>
      </c>
      <c r="AP18" s="93">
        <v>59495.17</v>
      </c>
      <c r="AQ18" s="93">
        <v>59495.17</v>
      </c>
      <c r="AR18" s="93">
        <v>59495.17</v>
      </c>
      <c r="AS18" s="93">
        <v>59495.17</v>
      </c>
      <c r="AT18" s="93">
        <v>59495.17</v>
      </c>
      <c r="AU18" s="19">
        <f>SUM(AI18:AT18)</f>
        <v>713942.04</v>
      </c>
    </row>
    <row r="19" spans="1:47" s="17" customFormat="1" ht="15">
      <c r="A19" s="16" t="s">
        <v>166</v>
      </c>
      <c r="C19" s="24">
        <v>0</v>
      </c>
      <c r="D19" s="24">
        <v>0</v>
      </c>
      <c r="E19" s="24">
        <v>64397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9">
        <f>SUM(C19:N19)</f>
        <v>64397</v>
      </c>
      <c r="Q19" s="3"/>
      <c r="R19" s="3"/>
      <c r="S19" s="88" t="s">
        <v>30</v>
      </c>
      <c r="T19" s="88" t="s">
        <v>30</v>
      </c>
      <c r="U19" s="88" t="s">
        <v>30</v>
      </c>
      <c r="V19" s="88" t="s">
        <v>30</v>
      </c>
      <c r="W19" s="88" t="s">
        <v>30</v>
      </c>
      <c r="X19" s="88" t="s">
        <v>30</v>
      </c>
      <c r="Y19" s="88" t="s">
        <v>30</v>
      </c>
      <c r="Z19" s="88" t="s">
        <v>30</v>
      </c>
      <c r="AA19" s="88" t="s">
        <v>30</v>
      </c>
      <c r="AB19" s="88" t="s">
        <v>30</v>
      </c>
      <c r="AC19" s="88" t="s">
        <v>30</v>
      </c>
      <c r="AD19" s="88" t="s">
        <v>30</v>
      </c>
      <c r="AE19" s="13" t="s">
        <v>30</v>
      </c>
      <c r="AG19" s="16" t="s">
        <v>37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19">
        <f>SUM(AI19:AT19)</f>
        <v>0</v>
      </c>
    </row>
    <row r="20" spans="1:47" s="17" customFormat="1" ht="15">
      <c r="A20" s="3"/>
      <c r="B20" s="3"/>
      <c r="C20" s="88" t="s">
        <v>30</v>
      </c>
      <c r="D20" s="88" t="s">
        <v>30</v>
      </c>
      <c r="E20" s="88" t="s">
        <v>30</v>
      </c>
      <c r="F20" s="88" t="s">
        <v>30</v>
      </c>
      <c r="G20" s="88" t="s">
        <v>30</v>
      </c>
      <c r="H20" s="88" t="s">
        <v>30</v>
      </c>
      <c r="I20" s="88" t="s">
        <v>30</v>
      </c>
      <c r="J20" s="88" t="s">
        <v>30</v>
      </c>
      <c r="K20" s="88" t="s">
        <v>30</v>
      </c>
      <c r="L20" s="88" t="s">
        <v>30</v>
      </c>
      <c r="M20" s="88" t="s">
        <v>30</v>
      </c>
      <c r="N20" s="88" t="s">
        <v>30</v>
      </c>
      <c r="O20" s="13" t="s">
        <v>30</v>
      </c>
      <c r="Q20" s="3"/>
      <c r="R20" s="3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13"/>
      <c r="AG20" s="3"/>
      <c r="AH20" s="3"/>
      <c r="AI20" s="88" t="s">
        <v>30</v>
      </c>
      <c r="AJ20" s="88" t="s">
        <v>30</v>
      </c>
      <c r="AK20" s="88" t="s">
        <v>30</v>
      </c>
      <c r="AL20" s="88" t="s">
        <v>30</v>
      </c>
      <c r="AM20" s="88" t="s">
        <v>30</v>
      </c>
      <c r="AN20" s="88" t="s">
        <v>30</v>
      </c>
      <c r="AO20" s="88" t="s">
        <v>30</v>
      </c>
      <c r="AP20" s="88" t="s">
        <v>30</v>
      </c>
      <c r="AQ20" s="88" t="s">
        <v>30</v>
      </c>
      <c r="AR20" s="88" t="s">
        <v>30</v>
      </c>
      <c r="AS20" s="88" t="s">
        <v>30</v>
      </c>
      <c r="AT20" s="88" t="s">
        <v>30</v>
      </c>
      <c r="AU20" s="13" t="s">
        <v>30</v>
      </c>
    </row>
    <row r="21" spans="1:47" s="17" customFormat="1" ht="15">
      <c r="A21" s="3"/>
      <c r="B21" s="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3"/>
      <c r="Q21" s="16" t="s">
        <v>43</v>
      </c>
      <c r="S21" s="19">
        <f aca="true" t="shared" si="3" ref="S21:AE21">SUM(S15:S18)</f>
        <v>546579.61</v>
      </c>
      <c r="T21" s="19">
        <f t="shared" si="3"/>
        <v>12.43</v>
      </c>
      <c r="U21" s="19">
        <f t="shared" si="3"/>
        <v>75011.08</v>
      </c>
      <c r="V21" s="19">
        <f t="shared" si="3"/>
        <v>81386.18</v>
      </c>
      <c r="W21" s="19">
        <f t="shared" si="3"/>
        <v>40007.42</v>
      </c>
      <c r="X21" s="19">
        <f t="shared" si="3"/>
        <v>583700.35</v>
      </c>
      <c r="Y21" s="19">
        <f t="shared" si="3"/>
        <v>50064.13</v>
      </c>
      <c r="Z21" s="19">
        <f t="shared" si="3"/>
        <v>71511</v>
      </c>
      <c r="AA21" s="19">
        <f t="shared" si="3"/>
        <v>120429.84999999999</v>
      </c>
      <c r="AB21" s="19">
        <f t="shared" si="3"/>
        <v>18749</v>
      </c>
      <c r="AC21" s="19">
        <f t="shared" si="3"/>
        <v>0</v>
      </c>
      <c r="AD21" s="19">
        <f t="shared" si="3"/>
        <v>520588</v>
      </c>
      <c r="AE21" s="19">
        <f t="shared" si="3"/>
        <v>2108039.05</v>
      </c>
      <c r="AG21" s="3"/>
      <c r="AH21" s="3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13"/>
    </row>
    <row r="22" spans="1:47" s="17" customFormat="1" ht="15">
      <c r="A22" s="16" t="s">
        <v>43</v>
      </c>
      <c r="C22" s="19">
        <f aca="true" t="shared" si="4" ref="C22:O22">SUM(C15:C19)</f>
        <v>325</v>
      </c>
      <c r="D22" s="19">
        <f t="shared" si="4"/>
        <v>240</v>
      </c>
      <c r="E22" s="19">
        <f t="shared" si="4"/>
        <v>586497</v>
      </c>
      <c r="F22" s="19">
        <f t="shared" si="4"/>
        <v>326</v>
      </c>
      <c r="G22" s="19">
        <f t="shared" si="4"/>
        <v>660</v>
      </c>
      <c r="H22" s="19">
        <f t="shared" si="4"/>
        <v>868</v>
      </c>
      <c r="I22" s="19">
        <f t="shared" si="4"/>
        <v>148</v>
      </c>
      <c r="J22" s="19">
        <f t="shared" si="4"/>
        <v>990</v>
      </c>
      <c r="K22" s="19">
        <f t="shared" si="4"/>
        <v>33266</v>
      </c>
      <c r="L22" s="19">
        <f t="shared" si="4"/>
        <v>1529</v>
      </c>
      <c r="M22" s="19">
        <f t="shared" si="4"/>
        <v>196330</v>
      </c>
      <c r="N22" s="19">
        <f t="shared" si="4"/>
        <v>14828</v>
      </c>
      <c r="O22" s="19">
        <f t="shared" si="4"/>
        <v>836007</v>
      </c>
      <c r="Q22" s="3"/>
      <c r="R22" s="3"/>
      <c r="S22" s="88" t="s">
        <v>30</v>
      </c>
      <c r="T22" s="88" t="s">
        <v>30</v>
      </c>
      <c r="U22" s="88" t="s">
        <v>30</v>
      </c>
      <c r="V22" s="88" t="s">
        <v>30</v>
      </c>
      <c r="W22" s="88" t="s">
        <v>30</v>
      </c>
      <c r="X22" s="88" t="s">
        <v>30</v>
      </c>
      <c r="Y22" s="88" t="s">
        <v>30</v>
      </c>
      <c r="Z22" s="88" t="s">
        <v>30</v>
      </c>
      <c r="AA22" s="88" t="s">
        <v>30</v>
      </c>
      <c r="AB22" s="88" t="s">
        <v>30</v>
      </c>
      <c r="AC22" s="88" t="s">
        <v>30</v>
      </c>
      <c r="AD22" s="88" t="s">
        <v>30</v>
      </c>
      <c r="AE22" s="13" t="s">
        <v>30</v>
      </c>
      <c r="AG22" s="16" t="s">
        <v>43</v>
      </c>
      <c r="AI22" s="19">
        <f aca="true" t="shared" si="5" ref="AI22:AU22">SUM(AI15:AI19)</f>
        <v>59495.17</v>
      </c>
      <c r="AJ22" s="19">
        <f t="shared" si="5"/>
        <v>59495.17</v>
      </c>
      <c r="AK22" s="19">
        <f t="shared" si="5"/>
        <v>59495.17</v>
      </c>
      <c r="AL22" s="19">
        <f t="shared" si="5"/>
        <v>59495.17</v>
      </c>
      <c r="AM22" s="19">
        <f t="shared" si="5"/>
        <v>59495.17</v>
      </c>
      <c r="AN22" s="19">
        <f t="shared" si="5"/>
        <v>332204.06999999995</v>
      </c>
      <c r="AO22" s="19">
        <f t="shared" si="5"/>
        <v>59495.17</v>
      </c>
      <c r="AP22" s="19">
        <f t="shared" si="5"/>
        <v>59495.17</v>
      </c>
      <c r="AQ22" s="19">
        <f t="shared" si="5"/>
        <v>59495.17</v>
      </c>
      <c r="AR22" s="19">
        <f t="shared" si="5"/>
        <v>59495.17</v>
      </c>
      <c r="AS22" s="19">
        <f t="shared" si="5"/>
        <v>59495.17</v>
      </c>
      <c r="AT22" s="19">
        <f t="shared" si="5"/>
        <v>332204.06999999995</v>
      </c>
      <c r="AU22" s="19">
        <f t="shared" si="5"/>
        <v>1259359.8399999999</v>
      </c>
    </row>
    <row r="23" spans="1:47" s="17" customFormat="1" ht="15">
      <c r="A23" s="3"/>
      <c r="B23" s="3"/>
      <c r="C23" s="88" t="s">
        <v>30</v>
      </c>
      <c r="D23" s="88" t="s">
        <v>30</v>
      </c>
      <c r="E23" s="88" t="s">
        <v>30</v>
      </c>
      <c r="F23" s="88" t="s">
        <v>30</v>
      </c>
      <c r="G23" s="88" t="s">
        <v>30</v>
      </c>
      <c r="H23" s="88" t="s">
        <v>30</v>
      </c>
      <c r="I23" s="88" t="s">
        <v>30</v>
      </c>
      <c r="J23" s="88" t="s">
        <v>30</v>
      </c>
      <c r="K23" s="88" t="s">
        <v>30</v>
      </c>
      <c r="L23" s="88" t="s">
        <v>30</v>
      </c>
      <c r="M23" s="88" t="s">
        <v>30</v>
      </c>
      <c r="N23" s="88" t="s">
        <v>30</v>
      </c>
      <c r="O23" s="13" t="s">
        <v>30</v>
      </c>
      <c r="Q23" s="3"/>
      <c r="R23" s="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3"/>
      <c r="AG23" s="3"/>
      <c r="AH23" s="3"/>
      <c r="AI23" s="88" t="s">
        <v>30</v>
      </c>
      <c r="AJ23" s="88" t="s">
        <v>30</v>
      </c>
      <c r="AK23" s="88" t="s">
        <v>30</v>
      </c>
      <c r="AL23" s="88" t="s">
        <v>30</v>
      </c>
      <c r="AM23" s="88" t="s">
        <v>30</v>
      </c>
      <c r="AN23" s="88" t="s">
        <v>30</v>
      </c>
      <c r="AO23" s="88" t="s">
        <v>30</v>
      </c>
      <c r="AP23" s="88" t="s">
        <v>30</v>
      </c>
      <c r="AQ23" s="88" t="s">
        <v>30</v>
      </c>
      <c r="AR23" s="88" t="s">
        <v>30</v>
      </c>
      <c r="AS23" s="88" t="s">
        <v>30</v>
      </c>
      <c r="AT23" s="88" t="s">
        <v>30</v>
      </c>
      <c r="AU23" s="13" t="s">
        <v>30</v>
      </c>
    </row>
    <row r="24" spans="3:46" ht="1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Q24" s="5" t="s">
        <v>44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</row>
    <row r="25" spans="1:46" ht="15">
      <c r="A25" s="5" t="s">
        <v>44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Q25" s="16" t="s">
        <v>178</v>
      </c>
      <c r="R25" s="17"/>
      <c r="S25" s="93">
        <f>11826+228798</f>
        <v>240624</v>
      </c>
      <c r="T25" s="93">
        <f>7710+27161</f>
        <v>34871</v>
      </c>
      <c r="U25" s="93">
        <f>7938+126756</f>
        <v>134694</v>
      </c>
      <c r="V25" s="93">
        <f>7977+27884</f>
        <v>35861</v>
      </c>
      <c r="W25" s="93">
        <f>8015+53729</f>
        <v>61744</v>
      </c>
      <c r="X25" s="93">
        <f>8129+325602</f>
        <v>333731</v>
      </c>
      <c r="Y25" s="93">
        <f>11984+37307</f>
        <v>49291</v>
      </c>
      <c r="Z25" s="93">
        <f>14912+34836</f>
        <v>49748</v>
      </c>
      <c r="AA25" s="93">
        <f>9486+56731</f>
        <v>66217</v>
      </c>
      <c r="AB25" s="93">
        <v>57198</v>
      </c>
      <c r="AC25" s="93">
        <v>157570.5</v>
      </c>
      <c r="AD25" s="93">
        <v>157570.5</v>
      </c>
      <c r="AE25" s="19">
        <f>SUM(S25:AD25)</f>
        <v>1379120</v>
      </c>
      <c r="AG25" s="5" t="s">
        <v>44</v>
      </c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</row>
    <row r="26" spans="1:47" s="17" customFormat="1" ht="15">
      <c r="A26" s="16" t="s">
        <v>178</v>
      </c>
      <c r="C26" s="93">
        <v>147309</v>
      </c>
      <c r="D26" s="93">
        <v>340721</v>
      </c>
      <c r="E26" s="93">
        <v>48339</v>
      </c>
      <c r="F26" s="93">
        <v>42394</v>
      </c>
      <c r="G26" s="93">
        <v>668448</v>
      </c>
      <c r="H26" s="93">
        <v>56857</v>
      </c>
      <c r="I26" s="93">
        <v>59497</v>
      </c>
      <c r="J26" s="93">
        <v>390365</v>
      </c>
      <c r="K26" s="93">
        <v>63669</v>
      </c>
      <c r="L26" s="93">
        <v>60339</v>
      </c>
      <c r="M26" s="93">
        <v>-143022</v>
      </c>
      <c r="N26" s="93">
        <v>24109</v>
      </c>
      <c r="O26" s="19">
        <f>SUM(C26:N26)</f>
        <v>1759025</v>
      </c>
      <c r="Q26" s="16" t="s">
        <v>37</v>
      </c>
      <c r="S26" s="93">
        <v>670000</v>
      </c>
      <c r="T26" s="93">
        <v>0</v>
      </c>
      <c r="U26" s="93">
        <v>0</v>
      </c>
      <c r="V26" s="93">
        <v>0</v>
      </c>
      <c r="W26" s="93">
        <v>0</v>
      </c>
      <c r="X26" s="93">
        <v>195000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50000</v>
      </c>
      <c r="AE26" s="19">
        <f>SUM(S26:AD26)</f>
        <v>915000</v>
      </c>
      <c r="AG26" s="16" t="s">
        <v>178</v>
      </c>
      <c r="AI26" s="93">
        <v>124203.42</v>
      </c>
      <c r="AJ26" s="93">
        <v>124203.42</v>
      </c>
      <c r="AK26" s="93">
        <v>124203.42</v>
      </c>
      <c r="AL26" s="93">
        <v>124203.42</v>
      </c>
      <c r="AM26" s="93">
        <v>124203.42</v>
      </c>
      <c r="AN26" s="93">
        <v>124203.42</v>
      </c>
      <c r="AO26" s="93">
        <v>124203.42</v>
      </c>
      <c r="AP26" s="93">
        <v>124203.42</v>
      </c>
      <c r="AQ26" s="93">
        <v>124203.42</v>
      </c>
      <c r="AR26" s="93">
        <v>124203.42</v>
      </c>
      <c r="AS26" s="93">
        <v>124203.42</v>
      </c>
      <c r="AT26" s="93">
        <v>124203.42</v>
      </c>
      <c r="AU26" s="19">
        <f>SUM(AI26:AT26)</f>
        <v>1490441.0399999998</v>
      </c>
    </row>
    <row r="27" spans="1:47" ht="15">
      <c r="A27" s="16" t="s">
        <v>37</v>
      </c>
      <c r="B27" s="17"/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19">
        <f>SUM(C27:N27)</f>
        <v>0</v>
      </c>
      <c r="Q27" s="16" t="s">
        <v>166</v>
      </c>
      <c r="R27" s="17"/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19">
        <f>SUM(S27:AD27)</f>
        <v>0</v>
      </c>
      <c r="AG27" s="16" t="s">
        <v>37</v>
      </c>
      <c r="AH27" s="17"/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19">
        <f>SUM(AI27:AT27)</f>
        <v>0</v>
      </c>
    </row>
    <row r="28" spans="1:47" ht="15">
      <c r="A28" s="16" t="s">
        <v>166</v>
      </c>
      <c r="B28" s="17"/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19">
        <f>SUM(C28:N28)</f>
        <v>0</v>
      </c>
      <c r="S28" s="88" t="s">
        <v>30</v>
      </c>
      <c r="T28" s="88" t="s">
        <v>30</v>
      </c>
      <c r="U28" s="88" t="s">
        <v>30</v>
      </c>
      <c r="V28" s="88" t="s">
        <v>30</v>
      </c>
      <c r="W28" s="88" t="s">
        <v>30</v>
      </c>
      <c r="X28" s="88" t="s">
        <v>30</v>
      </c>
      <c r="Y28" s="88" t="s">
        <v>30</v>
      </c>
      <c r="Z28" s="88" t="s">
        <v>30</v>
      </c>
      <c r="AA28" s="88" t="s">
        <v>30</v>
      </c>
      <c r="AB28" s="88" t="s">
        <v>30</v>
      </c>
      <c r="AC28" s="88" t="s">
        <v>30</v>
      </c>
      <c r="AD28" s="88" t="s">
        <v>30</v>
      </c>
      <c r="AE28" s="13" t="s">
        <v>30</v>
      </c>
      <c r="AG28" s="16" t="s">
        <v>166</v>
      </c>
      <c r="AH28" s="17"/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19">
        <f>SUM(AI28:AT28)</f>
        <v>0</v>
      </c>
    </row>
    <row r="29" spans="3:47" ht="15">
      <c r="C29" s="88" t="s">
        <v>30</v>
      </c>
      <c r="D29" s="88" t="s">
        <v>30</v>
      </c>
      <c r="E29" s="88" t="s">
        <v>30</v>
      </c>
      <c r="F29" s="88" t="s">
        <v>30</v>
      </c>
      <c r="G29" s="88" t="s">
        <v>30</v>
      </c>
      <c r="H29" s="88" t="s">
        <v>30</v>
      </c>
      <c r="I29" s="88" t="s">
        <v>30</v>
      </c>
      <c r="J29" s="88" t="s">
        <v>30</v>
      </c>
      <c r="K29" s="88" t="s">
        <v>30</v>
      </c>
      <c r="L29" s="88" t="s">
        <v>30</v>
      </c>
      <c r="M29" s="88" t="s">
        <v>30</v>
      </c>
      <c r="N29" s="88" t="s">
        <v>30</v>
      </c>
      <c r="O29" s="13" t="s">
        <v>30</v>
      </c>
      <c r="Q29" s="16" t="s">
        <v>49</v>
      </c>
      <c r="R29" s="17"/>
      <c r="S29" s="19">
        <f aca="true" t="shared" si="6" ref="S29:AE29">SUM(S25:S27)</f>
        <v>910624</v>
      </c>
      <c r="T29" s="19">
        <f t="shared" si="6"/>
        <v>34871</v>
      </c>
      <c r="U29" s="19">
        <f t="shared" si="6"/>
        <v>134694</v>
      </c>
      <c r="V29" s="19">
        <f t="shared" si="6"/>
        <v>35861</v>
      </c>
      <c r="W29" s="19">
        <f t="shared" si="6"/>
        <v>61744</v>
      </c>
      <c r="X29" s="19">
        <f t="shared" si="6"/>
        <v>528731</v>
      </c>
      <c r="Y29" s="19">
        <f t="shared" si="6"/>
        <v>49291</v>
      </c>
      <c r="Z29" s="19">
        <f t="shared" si="6"/>
        <v>49748</v>
      </c>
      <c r="AA29" s="19">
        <f t="shared" si="6"/>
        <v>66217</v>
      </c>
      <c r="AB29" s="19">
        <f t="shared" si="6"/>
        <v>57198</v>
      </c>
      <c r="AC29" s="19">
        <f t="shared" si="6"/>
        <v>157570.5</v>
      </c>
      <c r="AD29" s="19">
        <f t="shared" si="6"/>
        <v>207570.5</v>
      </c>
      <c r="AE29" s="19">
        <f t="shared" si="6"/>
        <v>2294120</v>
      </c>
      <c r="AI29" s="88" t="s">
        <v>30</v>
      </c>
      <c r="AJ29" s="88" t="s">
        <v>30</v>
      </c>
      <c r="AK29" s="88" t="s">
        <v>30</v>
      </c>
      <c r="AL29" s="88" t="s">
        <v>30</v>
      </c>
      <c r="AM29" s="88" t="s">
        <v>30</v>
      </c>
      <c r="AN29" s="88" t="s">
        <v>30</v>
      </c>
      <c r="AO29" s="88" t="s">
        <v>30</v>
      </c>
      <c r="AP29" s="88" t="s">
        <v>30</v>
      </c>
      <c r="AQ29" s="88" t="s">
        <v>30</v>
      </c>
      <c r="AR29" s="88" t="s">
        <v>30</v>
      </c>
      <c r="AS29" s="88" t="s">
        <v>30</v>
      </c>
      <c r="AT29" s="88" t="s">
        <v>30</v>
      </c>
      <c r="AU29" s="13" t="s">
        <v>30</v>
      </c>
    </row>
    <row r="30" spans="1:47" s="17" customFormat="1" ht="15">
      <c r="A30" s="16" t="s">
        <v>49</v>
      </c>
      <c r="C30" s="19">
        <f aca="true" t="shared" si="7" ref="C30:O30">SUM(C26:C28)</f>
        <v>147309</v>
      </c>
      <c r="D30" s="19">
        <f t="shared" si="7"/>
        <v>340721</v>
      </c>
      <c r="E30" s="19">
        <f t="shared" si="7"/>
        <v>48339</v>
      </c>
      <c r="F30" s="19">
        <f t="shared" si="7"/>
        <v>42394</v>
      </c>
      <c r="G30" s="19">
        <f t="shared" si="7"/>
        <v>668448</v>
      </c>
      <c r="H30" s="19">
        <f t="shared" si="7"/>
        <v>56857</v>
      </c>
      <c r="I30" s="19">
        <f t="shared" si="7"/>
        <v>59497</v>
      </c>
      <c r="J30" s="19">
        <f t="shared" si="7"/>
        <v>390365</v>
      </c>
      <c r="K30" s="19">
        <f t="shared" si="7"/>
        <v>63669</v>
      </c>
      <c r="L30" s="19">
        <f t="shared" si="7"/>
        <v>60339</v>
      </c>
      <c r="M30" s="19">
        <f t="shared" si="7"/>
        <v>-143022</v>
      </c>
      <c r="N30" s="19">
        <f t="shared" si="7"/>
        <v>24109</v>
      </c>
      <c r="O30" s="19">
        <f t="shared" si="7"/>
        <v>1759025</v>
      </c>
      <c r="Q30" s="3"/>
      <c r="R30" s="3"/>
      <c r="S30" s="13" t="s">
        <v>30</v>
      </c>
      <c r="T30" s="13" t="s">
        <v>30</v>
      </c>
      <c r="U30" s="13" t="s">
        <v>30</v>
      </c>
      <c r="V30" s="13" t="s">
        <v>30</v>
      </c>
      <c r="W30" s="13" t="s">
        <v>30</v>
      </c>
      <c r="X30" s="13" t="s">
        <v>30</v>
      </c>
      <c r="Y30" s="13" t="s">
        <v>30</v>
      </c>
      <c r="Z30" s="13" t="s">
        <v>30</v>
      </c>
      <c r="AA30" s="13" t="s">
        <v>30</v>
      </c>
      <c r="AB30" s="13" t="s">
        <v>30</v>
      </c>
      <c r="AC30" s="13" t="s">
        <v>30</v>
      </c>
      <c r="AD30" s="13" t="s">
        <v>30</v>
      </c>
      <c r="AE30" s="13" t="s">
        <v>30</v>
      </c>
      <c r="AG30" s="16" t="s">
        <v>49</v>
      </c>
      <c r="AI30" s="19">
        <f aca="true" t="shared" si="8" ref="AI30:AU30">SUM(AI26:AI28)</f>
        <v>124203.42</v>
      </c>
      <c r="AJ30" s="19">
        <f t="shared" si="8"/>
        <v>124203.42</v>
      </c>
      <c r="AK30" s="19">
        <f t="shared" si="8"/>
        <v>124203.42</v>
      </c>
      <c r="AL30" s="19">
        <f t="shared" si="8"/>
        <v>124203.42</v>
      </c>
      <c r="AM30" s="19">
        <f t="shared" si="8"/>
        <v>124203.42</v>
      </c>
      <c r="AN30" s="19">
        <f t="shared" si="8"/>
        <v>124203.42</v>
      </c>
      <c r="AO30" s="19">
        <f t="shared" si="8"/>
        <v>124203.42</v>
      </c>
      <c r="AP30" s="19">
        <f t="shared" si="8"/>
        <v>124203.42</v>
      </c>
      <c r="AQ30" s="19">
        <f t="shared" si="8"/>
        <v>124203.42</v>
      </c>
      <c r="AR30" s="19">
        <f t="shared" si="8"/>
        <v>124203.42</v>
      </c>
      <c r="AS30" s="19">
        <f t="shared" si="8"/>
        <v>124203.42</v>
      </c>
      <c r="AT30" s="19">
        <f t="shared" si="8"/>
        <v>124203.42</v>
      </c>
      <c r="AU30" s="19">
        <f t="shared" si="8"/>
        <v>1490441.0399999998</v>
      </c>
    </row>
    <row r="31" spans="1:47" s="17" customFormat="1" ht="15">
      <c r="A31" s="3"/>
      <c r="B31" s="3"/>
      <c r="C31" s="13" t="s">
        <v>30</v>
      </c>
      <c r="D31" s="13" t="s">
        <v>30</v>
      </c>
      <c r="E31" s="13" t="s">
        <v>30</v>
      </c>
      <c r="F31" s="13" t="s">
        <v>30</v>
      </c>
      <c r="G31" s="13" t="s">
        <v>30</v>
      </c>
      <c r="H31" s="13" t="s">
        <v>30</v>
      </c>
      <c r="I31" s="13" t="s">
        <v>30</v>
      </c>
      <c r="J31" s="13" t="s">
        <v>30</v>
      </c>
      <c r="K31" s="13" t="s">
        <v>30</v>
      </c>
      <c r="L31" s="13" t="s">
        <v>30</v>
      </c>
      <c r="M31" s="13" t="s">
        <v>30</v>
      </c>
      <c r="N31" s="13" t="s">
        <v>30</v>
      </c>
      <c r="O31" s="13" t="s">
        <v>30</v>
      </c>
      <c r="Q31" s="3"/>
      <c r="R31" s="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G31" s="3"/>
      <c r="AH31" s="3"/>
      <c r="AI31" s="13" t="s">
        <v>30</v>
      </c>
      <c r="AJ31" s="13" t="s">
        <v>30</v>
      </c>
      <c r="AK31" s="13" t="s">
        <v>30</v>
      </c>
      <c r="AL31" s="13" t="s">
        <v>30</v>
      </c>
      <c r="AM31" s="13" t="s">
        <v>30</v>
      </c>
      <c r="AN31" s="13" t="s">
        <v>30</v>
      </c>
      <c r="AO31" s="13" t="s">
        <v>30</v>
      </c>
      <c r="AP31" s="13" t="s">
        <v>30</v>
      </c>
      <c r="AQ31" s="13" t="s">
        <v>30</v>
      </c>
      <c r="AR31" s="13" t="s">
        <v>30</v>
      </c>
      <c r="AS31" s="13" t="s">
        <v>30</v>
      </c>
      <c r="AT31" s="13" t="s">
        <v>30</v>
      </c>
      <c r="AU31" s="13" t="s">
        <v>30</v>
      </c>
    </row>
    <row r="32" spans="1:47" s="17" customFormat="1" ht="15">
      <c r="A32" s="3"/>
      <c r="B32" s="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G32" s="3"/>
      <c r="AH32" s="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</row>
    <row r="33" spans="1:47" s="17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5" t="s">
        <v>52</v>
      </c>
      <c r="R33" s="3"/>
      <c r="S33" s="15">
        <f aca="true" t="shared" si="9" ref="S33:AE33">S11+S21-S29</f>
        <v>60991.609999999986</v>
      </c>
      <c r="T33" s="15">
        <f t="shared" si="9"/>
        <v>26133.039999999986</v>
      </c>
      <c r="U33" s="15">
        <f t="shared" si="9"/>
        <v>-33549.880000000005</v>
      </c>
      <c r="V33" s="15">
        <f t="shared" si="9"/>
        <v>11975.299999999988</v>
      </c>
      <c r="W33" s="15">
        <f t="shared" si="9"/>
        <v>-9761.280000000013</v>
      </c>
      <c r="X33" s="15">
        <f t="shared" si="9"/>
        <v>45208.06999999995</v>
      </c>
      <c r="Y33" s="15">
        <f t="shared" si="9"/>
        <v>45981.19999999995</v>
      </c>
      <c r="Z33" s="15">
        <f t="shared" si="9"/>
        <v>67744.19999999995</v>
      </c>
      <c r="AA33" s="15">
        <f t="shared" si="9"/>
        <v>121957.04999999993</v>
      </c>
      <c r="AB33" s="15">
        <f t="shared" si="9"/>
        <v>83508.04999999993</v>
      </c>
      <c r="AC33" s="15">
        <f t="shared" si="9"/>
        <v>-74062.45000000007</v>
      </c>
      <c r="AD33" s="15">
        <f t="shared" si="9"/>
        <v>238955.04999999993</v>
      </c>
      <c r="AE33" s="15">
        <f t="shared" si="9"/>
        <v>238955.0499999998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s="17" customFormat="1" ht="15">
      <c r="A34" s="5" t="s">
        <v>52</v>
      </c>
      <c r="B34" s="3"/>
      <c r="C34" s="15">
        <f aca="true" t="shared" si="10" ref="C34:O34">C11+C22-C30</f>
        <v>1201070</v>
      </c>
      <c r="D34" s="15">
        <f t="shared" si="10"/>
        <v>860589</v>
      </c>
      <c r="E34" s="15">
        <f t="shared" si="10"/>
        <v>1398747</v>
      </c>
      <c r="F34" s="15">
        <f t="shared" si="10"/>
        <v>1356679</v>
      </c>
      <c r="G34" s="15">
        <f t="shared" si="10"/>
        <v>688891</v>
      </c>
      <c r="H34" s="15">
        <f t="shared" si="10"/>
        <v>632902</v>
      </c>
      <c r="I34" s="15">
        <f t="shared" si="10"/>
        <v>573553</v>
      </c>
      <c r="J34" s="15">
        <f t="shared" si="10"/>
        <v>184178</v>
      </c>
      <c r="K34" s="15">
        <f t="shared" si="10"/>
        <v>153775</v>
      </c>
      <c r="L34" s="15">
        <f t="shared" si="10"/>
        <v>94965</v>
      </c>
      <c r="M34" s="15">
        <f t="shared" si="10"/>
        <v>434317</v>
      </c>
      <c r="N34" s="15">
        <f t="shared" si="10"/>
        <v>425036</v>
      </c>
      <c r="O34" s="15">
        <f t="shared" si="10"/>
        <v>425036</v>
      </c>
      <c r="Q34" s="3"/>
      <c r="R34" s="3"/>
      <c r="S34" s="13" t="s">
        <v>53</v>
      </c>
      <c r="T34" s="13" t="s">
        <v>53</v>
      </c>
      <c r="U34" s="13" t="s">
        <v>53</v>
      </c>
      <c r="V34" s="13" t="s">
        <v>53</v>
      </c>
      <c r="W34" s="13" t="s">
        <v>53</v>
      </c>
      <c r="X34" s="13" t="s">
        <v>53</v>
      </c>
      <c r="Y34" s="13" t="s">
        <v>53</v>
      </c>
      <c r="Z34" s="13" t="s">
        <v>53</v>
      </c>
      <c r="AA34" s="13" t="s">
        <v>53</v>
      </c>
      <c r="AB34" s="13" t="s">
        <v>53</v>
      </c>
      <c r="AC34" s="13" t="s">
        <v>53</v>
      </c>
      <c r="AD34" s="13" t="s">
        <v>53</v>
      </c>
      <c r="AE34" s="13" t="s">
        <v>53</v>
      </c>
      <c r="AG34" s="5" t="s">
        <v>52</v>
      </c>
      <c r="AH34" s="3"/>
      <c r="AI34" s="15">
        <f aca="true" t="shared" si="11" ref="AI34:AU34">AI11+AI22-AI30</f>
        <v>174246.7999999998</v>
      </c>
      <c r="AJ34" s="15">
        <f t="shared" si="11"/>
        <v>109538.5499999998</v>
      </c>
      <c r="AK34" s="15">
        <f t="shared" si="11"/>
        <v>44830.2999999998</v>
      </c>
      <c r="AL34" s="15">
        <f t="shared" si="11"/>
        <v>-19877.9500000002</v>
      </c>
      <c r="AM34" s="15">
        <f t="shared" si="11"/>
        <v>-84586.2000000002</v>
      </c>
      <c r="AN34" s="15">
        <f t="shared" si="11"/>
        <v>123414.44999999976</v>
      </c>
      <c r="AO34" s="15">
        <f t="shared" si="11"/>
        <v>58706.199999999764</v>
      </c>
      <c r="AP34" s="15">
        <f t="shared" si="11"/>
        <v>-6002.050000000236</v>
      </c>
      <c r="AQ34" s="15">
        <f t="shared" si="11"/>
        <v>-70710.30000000024</v>
      </c>
      <c r="AR34" s="15">
        <f t="shared" si="11"/>
        <v>-135418.55000000022</v>
      </c>
      <c r="AS34" s="15">
        <f t="shared" si="11"/>
        <v>-200126.80000000022</v>
      </c>
      <c r="AT34" s="15">
        <f t="shared" si="11"/>
        <v>7873.849999999729</v>
      </c>
      <c r="AU34" s="15">
        <f t="shared" si="11"/>
        <v>7873.84999999986</v>
      </c>
    </row>
    <row r="35" spans="1:47" s="17" customFormat="1" ht="15">
      <c r="A35" s="3"/>
      <c r="B35" s="3"/>
      <c r="C35" s="13" t="s">
        <v>53</v>
      </c>
      <c r="D35" s="13" t="s">
        <v>53</v>
      </c>
      <c r="E35" s="13" t="s">
        <v>53</v>
      </c>
      <c r="F35" s="13" t="s">
        <v>53</v>
      </c>
      <c r="G35" s="13" t="s">
        <v>53</v>
      </c>
      <c r="H35" s="13" t="s">
        <v>53</v>
      </c>
      <c r="I35" s="13" t="s">
        <v>53</v>
      </c>
      <c r="J35" s="13" t="s">
        <v>53</v>
      </c>
      <c r="K35" s="13" t="s">
        <v>53</v>
      </c>
      <c r="L35" s="13" t="s">
        <v>53</v>
      </c>
      <c r="M35" s="13" t="s">
        <v>53</v>
      </c>
      <c r="N35" s="13" t="s">
        <v>53</v>
      </c>
      <c r="O35" s="13" t="s">
        <v>53</v>
      </c>
      <c r="Q35" s="3"/>
      <c r="R35" s="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G35" s="3"/>
      <c r="AH35" s="3"/>
      <c r="AI35" s="13" t="s">
        <v>53</v>
      </c>
      <c r="AJ35" s="13" t="s">
        <v>53</v>
      </c>
      <c r="AK35" s="13" t="s">
        <v>53</v>
      </c>
      <c r="AL35" s="13" t="s">
        <v>53</v>
      </c>
      <c r="AM35" s="13" t="s">
        <v>53</v>
      </c>
      <c r="AN35" s="13" t="s">
        <v>53</v>
      </c>
      <c r="AO35" s="13" t="s">
        <v>53</v>
      </c>
      <c r="AP35" s="13" t="s">
        <v>53</v>
      </c>
      <c r="AQ35" s="13" t="s">
        <v>53</v>
      </c>
      <c r="AR35" s="13" t="s">
        <v>53</v>
      </c>
      <c r="AS35" s="13" t="s">
        <v>53</v>
      </c>
      <c r="AT35" s="13" t="s">
        <v>53</v>
      </c>
      <c r="AU35" s="13" t="s">
        <v>53</v>
      </c>
    </row>
    <row r="36" spans="3:47" ht="15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Q36" s="68"/>
      <c r="S36" s="99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</row>
    <row r="37" spans="1:47" s="17" customFormat="1" ht="15">
      <c r="A37" s="68"/>
      <c r="B37" s="3"/>
      <c r="C37" s="9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98"/>
      <c r="R37" s="3"/>
      <c r="S37" s="13"/>
      <c r="T37" s="83"/>
      <c r="U37" s="83"/>
      <c r="V37" s="83"/>
      <c r="W37" s="3"/>
      <c r="X37" s="3"/>
      <c r="Y37" s="3"/>
      <c r="Z37" s="3"/>
      <c r="AA37" s="3"/>
      <c r="AB37" s="3"/>
      <c r="AC37" s="3"/>
      <c r="AD37" s="3"/>
      <c r="AE37" s="3"/>
      <c r="AG37" s="68"/>
      <c r="AH37" s="3"/>
      <c r="AI37" s="99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6" ht="15">
      <c r="A38" s="98"/>
      <c r="C38" s="13"/>
      <c r="D38" s="83"/>
      <c r="E38" s="83"/>
      <c r="F38" s="83"/>
      <c r="S38" s="84"/>
      <c r="T38" s="15"/>
      <c r="U38" s="83"/>
      <c r="V38" s="83"/>
      <c r="AG38" s="98"/>
      <c r="AI38" s="13"/>
      <c r="AJ38" s="83"/>
      <c r="AK38" s="83"/>
      <c r="AL38" s="83"/>
      <c r="AT38" s="96" t="s">
        <v>157</v>
      </c>
    </row>
    <row r="39" spans="3:46" ht="15">
      <c r="C39" s="84"/>
      <c r="D39" s="15"/>
      <c r="E39" s="83"/>
      <c r="F39" s="83"/>
      <c r="S39" s="88"/>
      <c r="T39" s="13"/>
      <c r="U39" s="83"/>
      <c r="V39" s="83"/>
      <c r="AI39" s="84"/>
      <c r="AJ39" s="15"/>
      <c r="AK39" s="83"/>
      <c r="AL39" s="83"/>
      <c r="AO39" s="3" t="s">
        <v>176</v>
      </c>
      <c r="AT39" s="82">
        <f>AI6</f>
        <v>641668</v>
      </c>
    </row>
    <row r="40" spans="3:38" ht="15">
      <c r="C40" s="88"/>
      <c r="D40" s="13"/>
      <c r="E40" s="83"/>
      <c r="F40" s="83"/>
      <c r="S40" s="101"/>
      <c r="T40" s="15"/>
      <c r="U40" s="83"/>
      <c r="V40" s="83"/>
      <c r="AI40" s="88"/>
      <c r="AJ40" s="13"/>
      <c r="AK40" s="83"/>
      <c r="AL40" s="83"/>
    </row>
    <row r="41" spans="3:46" ht="15">
      <c r="C41" s="101"/>
      <c r="D41" s="15"/>
      <c r="E41" s="83"/>
      <c r="F41" s="83"/>
      <c r="S41" s="13"/>
      <c r="T41" s="13"/>
      <c r="AI41" s="101"/>
      <c r="AJ41" s="15"/>
      <c r="AK41" s="83"/>
      <c r="AL41" s="83"/>
      <c r="AO41" s="3" t="s">
        <v>155</v>
      </c>
      <c r="AT41" s="85">
        <v>0</v>
      </c>
    </row>
    <row r="42" spans="3:46" ht="15">
      <c r="C42" s="13"/>
      <c r="D42" s="13"/>
      <c r="T42" s="15"/>
      <c r="U42" s="83"/>
      <c r="V42" s="83"/>
      <c r="AI42" s="13"/>
      <c r="AJ42" s="13"/>
      <c r="AT42" s="13" t="s">
        <v>30</v>
      </c>
    </row>
    <row r="43" spans="4:46" ht="15">
      <c r="D43" s="15"/>
      <c r="E43" s="83"/>
      <c r="F43" s="83"/>
      <c r="S43" s="99"/>
      <c r="T43" s="13"/>
      <c r="U43" s="83"/>
      <c r="V43" s="83"/>
      <c r="AJ43" s="15"/>
      <c r="AK43" s="83"/>
      <c r="AL43" s="83"/>
      <c r="AO43" s="3" t="s">
        <v>156</v>
      </c>
      <c r="AT43" s="86">
        <f>SUM(AT39:AT41)</f>
        <v>641668</v>
      </c>
    </row>
    <row r="44" spans="3:38" ht="15">
      <c r="C44" s="99"/>
      <c r="D44" s="13"/>
      <c r="E44" s="83"/>
      <c r="F44" s="83"/>
      <c r="S44" s="13"/>
      <c r="T44" s="15"/>
      <c r="U44" s="83"/>
      <c r="V44" s="83"/>
      <c r="W44" s="83"/>
      <c r="AI44" s="99"/>
      <c r="AJ44" s="13"/>
      <c r="AK44" s="83"/>
      <c r="AL44" s="83"/>
    </row>
    <row r="45" spans="3:46" ht="15">
      <c r="C45" s="13"/>
      <c r="D45" s="15"/>
      <c r="E45" s="83"/>
      <c r="F45" s="83"/>
      <c r="G45" s="83"/>
      <c r="S45" s="84"/>
      <c r="T45" s="15"/>
      <c r="U45" s="83"/>
      <c r="V45" s="83"/>
      <c r="W45" s="83"/>
      <c r="AI45" s="13"/>
      <c r="AJ45" s="15"/>
      <c r="AK45" s="83"/>
      <c r="AL45" s="83"/>
      <c r="AM45" s="83"/>
      <c r="AO45" s="3" t="s">
        <v>153</v>
      </c>
      <c r="AT45" s="103">
        <v>0.85</v>
      </c>
    </row>
    <row r="46" spans="3:46" ht="15">
      <c r="C46" s="84"/>
      <c r="D46" s="15"/>
      <c r="E46" s="83"/>
      <c r="F46" s="83"/>
      <c r="G46" s="83"/>
      <c r="S46" s="97"/>
      <c r="T46" s="15"/>
      <c r="AI46" s="84"/>
      <c r="AJ46" s="15"/>
      <c r="AK46" s="83"/>
      <c r="AL46" s="83"/>
      <c r="AM46" s="83"/>
      <c r="AT46" s="13" t="s">
        <v>30</v>
      </c>
    </row>
    <row r="47" spans="3:46" ht="15">
      <c r="C47" s="97"/>
      <c r="D47" s="15"/>
      <c r="S47" s="100"/>
      <c r="T47" s="15"/>
      <c r="U47" s="83"/>
      <c r="V47" s="83"/>
      <c r="W47" s="83"/>
      <c r="AI47" s="97"/>
      <c r="AJ47" s="15"/>
      <c r="AO47" s="3" t="s">
        <v>159</v>
      </c>
      <c r="AQ47" s="15"/>
      <c r="AT47" s="15">
        <f>AT43*AT45</f>
        <v>545417.7999999999</v>
      </c>
    </row>
    <row r="48" spans="3:46" ht="15">
      <c r="C48" s="100"/>
      <c r="D48" s="15"/>
      <c r="E48" s="83"/>
      <c r="F48" s="83"/>
      <c r="G48" s="83"/>
      <c r="S48" s="88"/>
      <c r="AI48" s="100"/>
      <c r="AJ48" s="15"/>
      <c r="AK48" s="83"/>
      <c r="AL48" s="83"/>
      <c r="AM48" s="83"/>
      <c r="AT48" s="13" t="s">
        <v>53</v>
      </c>
    </row>
    <row r="49" spans="3:35" ht="15">
      <c r="C49" s="88"/>
      <c r="S49" s="101"/>
      <c r="AI49" s="88"/>
    </row>
    <row r="50" spans="3:35" ht="15">
      <c r="C50" s="101"/>
      <c r="S50" s="13"/>
      <c r="AI50" s="101"/>
    </row>
    <row r="51" spans="3:35" ht="15">
      <c r="C51" s="13"/>
      <c r="AI51" s="13"/>
    </row>
  </sheetData>
  <sheetProtection/>
  <mergeCells count="9">
    <mergeCell ref="AG1:AU1"/>
    <mergeCell ref="AG2:AU2"/>
    <mergeCell ref="AG3:AU3"/>
    <mergeCell ref="A1:O1"/>
    <mergeCell ref="A2:O2"/>
    <mergeCell ref="A3:O3"/>
    <mergeCell ref="Q1:AE1"/>
    <mergeCell ref="Q2:AE2"/>
    <mergeCell ref="Q3:AE3"/>
  </mergeCells>
  <printOptions horizontalCentered="1"/>
  <pageMargins left="0.5" right="0.5" top="0.75" bottom="0.75" header="0.5" footer="0.5"/>
  <pageSetup horizontalDpi="600" verticalDpi="600" orientation="landscape" scale="55" r:id="rId1"/>
  <colBreaks count="1" manualBreakCount="1">
    <brk id="16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A62"/>
  <sheetViews>
    <sheetView zoomScale="60" zoomScaleNormal="60" zoomScalePageLayoutView="0" workbookViewId="0" topLeftCell="AZ4">
      <selection activeCell="BH42" sqref="BH42"/>
    </sheetView>
  </sheetViews>
  <sheetFormatPr defaultColWidth="8.140625" defaultRowHeight="12.75"/>
  <cols>
    <col min="1" max="1" width="25.28125" style="0" hidden="1" customWidth="1"/>
    <col min="2" max="2" width="9.421875" style="0" hidden="1" customWidth="1"/>
    <col min="3" max="5" width="12.57421875" style="0" hidden="1" customWidth="1"/>
    <col min="6" max="6" width="11.7109375" style="0" hidden="1" customWidth="1"/>
    <col min="7" max="7" width="14.57421875" style="0" hidden="1" customWidth="1"/>
    <col min="8" max="8" width="12.8515625" style="0" hidden="1" customWidth="1"/>
    <col min="9" max="9" width="11.8515625" style="0" hidden="1" customWidth="1"/>
    <col min="10" max="10" width="12.7109375" style="0" hidden="1" customWidth="1"/>
    <col min="11" max="11" width="12.57421875" style="0" hidden="1" customWidth="1"/>
    <col min="12" max="13" width="12.8515625" style="0" hidden="1" customWidth="1"/>
    <col min="14" max="14" width="14.421875" style="0" hidden="1" customWidth="1"/>
    <col min="15" max="15" width="13.57421875" style="0" hidden="1" customWidth="1"/>
    <col min="16" max="16" width="6.7109375" style="0" hidden="1" customWidth="1"/>
    <col min="17" max="17" width="25.57421875" style="0" customWidth="1"/>
    <col min="18" max="18" width="8.140625" style="0" customWidth="1"/>
    <col min="19" max="19" width="12.57421875" style="0" customWidth="1"/>
    <col min="20" max="21" width="12.00390625" style="0" customWidth="1"/>
    <col min="22" max="23" width="12.8515625" style="0" customWidth="1"/>
    <col min="24" max="24" width="12.00390625" style="0" customWidth="1"/>
    <col min="25" max="25" width="12.7109375" style="0" customWidth="1"/>
    <col min="26" max="26" width="12.57421875" style="0" customWidth="1"/>
    <col min="27" max="28" width="12.7109375" style="0" customWidth="1"/>
    <col min="29" max="29" width="12.57421875" style="0" customWidth="1"/>
    <col min="30" max="30" width="14.7109375" style="0" customWidth="1"/>
    <col min="31" max="31" width="13.140625" style="0" customWidth="1"/>
    <col min="32" max="32" width="7.140625" style="0" customWidth="1"/>
    <col min="33" max="33" width="23.28125" style="0" customWidth="1"/>
    <col min="34" max="34" width="11.57421875" style="0" customWidth="1"/>
    <col min="35" max="35" width="13.57421875" style="0" customWidth="1"/>
    <col min="36" max="37" width="12.421875" style="0" customWidth="1"/>
    <col min="38" max="38" width="14.00390625" style="0" customWidth="1"/>
    <col min="39" max="39" width="14.28125" style="0" customWidth="1"/>
    <col min="40" max="40" width="13.421875" style="0" customWidth="1"/>
    <col min="41" max="41" width="12.7109375" style="0" customWidth="1"/>
    <col min="42" max="42" width="12.421875" style="0" customWidth="1"/>
    <col min="43" max="43" width="13.00390625" style="0" customWidth="1"/>
    <col min="44" max="44" width="14.57421875" style="0" customWidth="1"/>
    <col min="45" max="45" width="14.421875" style="0" customWidth="1"/>
    <col min="46" max="47" width="14.57421875" style="0" customWidth="1"/>
    <col min="48" max="48" width="8.140625" style="0" customWidth="1"/>
    <col min="49" max="49" width="18.140625" style="0" customWidth="1"/>
    <col min="50" max="50" width="8.140625" style="0" customWidth="1"/>
    <col min="51" max="52" width="11.421875" style="0" customWidth="1"/>
    <col min="53" max="53" width="11.8515625" style="0" customWidth="1"/>
    <col min="54" max="54" width="11.57421875" style="0" customWidth="1"/>
    <col min="55" max="55" width="11.7109375" style="0" customWidth="1"/>
    <col min="56" max="58" width="11.8515625" style="0" customWidth="1"/>
    <col min="59" max="60" width="11.421875" style="0" customWidth="1"/>
    <col min="61" max="61" width="11.8515625" style="0" customWidth="1"/>
    <col min="62" max="62" width="13.140625" style="0" customWidth="1"/>
    <col min="63" max="63" width="13.8515625" style="0" customWidth="1"/>
    <col min="64" max="64" width="8.140625" style="0" customWidth="1"/>
    <col min="65" max="65" width="26.7109375" style="0" customWidth="1"/>
    <col min="66" max="66" width="8.140625" style="0" customWidth="1"/>
    <col min="67" max="79" width="12.7109375" style="0" customWidth="1"/>
  </cols>
  <sheetData>
    <row r="1" spans="1:79" ht="15">
      <c r="A1" s="31" t="s">
        <v>144</v>
      </c>
      <c r="B1" s="6"/>
      <c r="C1" s="6"/>
      <c r="D1" s="6"/>
      <c r="E1" s="31"/>
      <c r="F1" s="55"/>
      <c r="G1" s="55"/>
      <c r="H1" s="6"/>
      <c r="I1" s="6"/>
      <c r="J1" s="6"/>
      <c r="K1" s="6"/>
      <c r="L1" s="31" t="s">
        <v>0</v>
      </c>
      <c r="M1" s="6"/>
      <c r="N1" s="6"/>
      <c r="O1" s="6"/>
      <c r="P1" s="55"/>
      <c r="Q1" s="31" t="str">
        <f>+A1</f>
        <v>INDIANA BOND BANK 2004 CASH FLOW FUNDING PROGRAM</v>
      </c>
      <c r="R1" s="6"/>
      <c r="S1" s="6"/>
      <c r="T1" s="6"/>
      <c r="U1" s="31"/>
      <c r="V1" s="55"/>
      <c r="W1" s="55"/>
      <c r="X1" s="55"/>
      <c r="Y1" s="6"/>
      <c r="Z1" s="6"/>
      <c r="AA1" s="6"/>
      <c r="AB1" s="6"/>
      <c r="AC1" s="6"/>
      <c r="AD1" s="6"/>
      <c r="AE1" s="6"/>
      <c r="AF1" s="55"/>
      <c r="AG1" s="31" t="str">
        <f>+A1</f>
        <v>INDIANA BOND BANK 2004 CASH FLOW FUNDING PROGRAM</v>
      </c>
      <c r="AH1" s="6"/>
      <c r="AI1" s="6"/>
      <c r="AJ1" s="6"/>
      <c r="AK1" s="31"/>
      <c r="AL1" s="55"/>
      <c r="AM1" s="55"/>
      <c r="AN1" s="55"/>
      <c r="AO1" s="6"/>
      <c r="AP1" s="6"/>
      <c r="AQ1" s="6"/>
      <c r="AR1" s="6"/>
      <c r="AS1" s="6"/>
      <c r="AT1" s="6"/>
      <c r="AU1" s="6"/>
      <c r="AW1" s="31" t="str">
        <f>+Q1</f>
        <v>INDIANA BOND BANK 2004 CASH FLOW FUNDING PROGRAM</v>
      </c>
      <c r="AX1" s="6"/>
      <c r="AY1" s="6"/>
      <c r="AZ1" s="6"/>
      <c r="BA1" s="31"/>
      <c r="BB1" s="55"/>
      <c r="BC1" s="55"/>
      <c r="BD1" s="55"/>
      <c r="BE1" s="6"/>
      <c r="BF1" s="6"/>
      <c r="BG1" s="6"/>
      <c r="BH1" s="6"/>
      <c r="BI1" s="6"/>
      <c r="BJ1" s="6"/>
      <c r="BK1" s="6"/>
      <c r="BM1" s="31" t="str">
        <f>+AG1</f>
        <v>INDIANA BOND BANK 2004 CASH FLOW FUNDING PROGRAM</v>
      </c>
      <c r="BN1" s="6"/>
      <c r="BO1" s="6"/>
      <c r="BP1" s="6"/>
      <c r="BQ1" s="31"/>
      <c r="BR1" s="55"/>
      <c r="BS1" s="55"/>
      <c r="BT1" s="55"/>
      <c r="BU1" s="6"/>
      <c r="BV1" s="6"/>
      <c r="BW1" s="6"/>
      <c r="BX1" s="6"/>
      <c r="BY1" s="6"/>
      <c r="BZ1" s="6"/>
      <c r="CA1" s="6"/>
    </row>
    <row r="2" spans="1:79" ht="15">
      <c r="A2" s="6"/>
      <c r="B2" s="6"/>
      <c r="C2" s="6"/>
      <c r="D2" s="6"/>
      <c r="E2" s="6"/>
      <c r="F2" s="31" t="s">
        <v>1</v>
      </c>
      <c r="G2" s="60" t="s">
        <v>2</v>
      </c>
      <c r="H2" s="31" t="s">
        <v>3</v>
      </c>
      <c r="I2" s="6"/>
      <c r="J2" s="6"/>
      <c r="K2" s="6"/>
      <c r="L2" s="31" t="s">
        <v>4</v>
      </c>
      <c r="M2" s="6"/>
      <c r="N2" s="56">
        <f ca="1">TODAY()</f>
        <v>40520</v>
      </c>
      <c r="O2" s="6"/>
      <c r="P2" s="55"/>
      <c r="Q2" s="6"/>
      <c r="R2" s="6"/>
      <c r="S2" s="6"/>
      <c r="T2" s="6"/>
      <c r="U2" s="6"/>
      <c r="V2" s="31" t="s">
        <v>1</v>
      </c>
      <c r="W2" s="31" t="s">
        <v>2</v>
      </c>
      <c r="X2" s="6" t="str">
        <f>H2</f>
        <v>City of Portage</v>
      </c>
      <c r="Y2" s="6"/>
      <c r="Z2" s="6"/>
      <c r="AA2" s="6"/>
      <c r="AB2" s="31" t="s">
        <v>4</v>
      </c>
      <c r="AC2" s="6"/>
      <c r="AD2" s="74">
        <f>N2</f>
        <v>40520</v>
      </c>
      <c r="AE2" s="6"/>
      <c r="AF2" s="55"/>
      <c r="AG2" s="6"/>
      <c r="AH2" s="6"/>
      <c r="AI2" s="6"/>
      <c r="AJ2" s="6"/>
      <c r="AK2" s="6"/>
      <c r="AL2" s="31" t="s">
        <v>1</v>
      </c>
      <c r="AM2" s="31" t="s">
        <v>2</v>
      </c>
      <c r="AN2" s="6" t="str">
        <f>H2</f>
        <v>City of Portage</v>
      </c>
      <c r="AO2" s="6"/>
      <c r="AP2" s="6"/>
      <c r="AQ2" s="6"/>
      <c r="AR2" s="31" t="s">
        <v>4</v>
      </c>
      <c r="AS2" s="6"/>
      <c r="AT2" s="56">
        <f>N2</f>
        <v>40520</v>
      </c>
      <c r="AU2" s="6"/>
      <c r="AW2" s="6"/>
      <c r="AX2" s="6"/>
      <c r="AY2" s="6"/>
      <c r="AZ2" s="6"/>
      <c r="BA2" s="6"/>
      <c r="BB2" s="31" t="s">
        <v>1</v>
      </c>
      <c r="BC2" s="31" t="s">
        <v>2</v>
      </c>
      <c r="BD2" s="6" t="str">
        <f>X2</f>
        <v>City of Portage</v>
      </c>
      <c r="BE2" s="6"/>
      <c r="BF2" s="6"/>
      <c r="BG2" s="6"/>
      <c r="BH2" s="31" t="s">
        <v>4</v>
      </c>
      <c r="BI2" s="6"/>
      <c r="BJ2" s="56">
        <f>AD2</f>
        <v>40520</v>
      </c>
      <c r="BK2" s="6"/>
      <c r="BM2" s="6"/>
      <c r="BN2" s="6"/>
      <c r="BO2" s="6"/>
      <c r="BP2" s="6"/>
      <c r="BQ2" s="6"/>
      <c r="BR2" s="31" t="s">
        <v>1</v>
      </c>
      <c r="BS2" s="31" t="s">
        <v>2</v>
      </c>
      <c r="BT2" s="6" t="str">
        <f>AN2</f>
        <v>City of Portage</v>
      </c>
      <c r="BU2" s="6"/>
      <c r="BV2" s="6"/>
      <c r="BW2" s="6"/>
      <c r="BX2" s="31" t="s">
        <v>4</v>
      </c>
      <c r="BY2" s="6"/>
      <c r="BZ2" s="56">
        <f>AT2</f>
        <v>40520</v>
      </c>
      <c r="CA2" s="6"/>
    </row>
    <row r="3" spans="1:79" ht="15">
      <c r="A3" s="31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55"/>
      <c r="M3" s="55"/>
      <c r="N3" s="57"/>
      <c r="O3" s="6"/>
      <c r="P3" s="55"/>
      <c r="Q3" s="31" t="s">
        <v>5</v>
      </c>
      <c r="R3" s="6"/>
      <c r="S3" s="6"/>
      <c r="T3" s="6"/>
      <c r="U3" s="6"/>
      <c r="V3" s="6"/>
      <c r="W3" s="6"/>
      <c r="X3" s="6"/>
      <c r="Y3" s="6"/>
      <c r="Z3" s="6"/>
      <c r="AA3" s="6"/>
      <c r="AB3" s="55"/>
      <c r="AC3" s="55"/>
      <c r="AD3" s="55"/>
      <c r="AE3" s="6"/>
      <c r="AF3" s="55"/>
      <c r="AG3" s="31" t="s">
        <v>5</v>
      </c>
      <c r="AH3" s="6"/>
      <c r="AI3" s="6"/>
      <c r="AJ3" s="6"/>
      <c r="AK3" s="6"/>
      <c r="AL3" s="6"/>
      <c r="AM3" s="6"/>
      <c r="AN3" s="31" t="s">
        <v>0</v>
      </c>
      <c r="AO3" s="6"/>
      <c r="AP3" s="6"/>
      <c r="AQ3" s="6"/>
      <c r="AR3" s="55"/>
      <c r="AS3" s="55"/>
      <c r="AT3" s="57"/>
      <c r="AU3" s="6"/>
      <c r="AW3" s="31" t="s">
        <v>5</v>
      </c>
      <c r="AX3" s="6"/>
      <c r="AY3" s="6"/>
      <c r="AZ3" s="6"/>
      <c r="BA3" s="6"/>
      <c r="BB3" s="6"/>
      <c r="BC3" s="6"/>
      <c r="BD3" s="31" t="s">
        <v>0</v>
      </c>
      <c r="BE3" s="6"/>
      <c r="BF3" s="6"/>
      <c r="BG3" s="6"/>
      <c r="BH3" s="55"/>
      <c r="BI3" s="55"/>
      <c r="BJ3" s="57"/>
      <c r="BK3" s="6"/>
      <c r="BM3" s="31" t="s">
        <v>5</v>
      </c>
      <c r="BN3" s="6"/>
      <c r="BO3" s="6"/>
      <c r="BP3" s="6"/>
      <c r="BQ3" s="6"/>
      <c r="BR3" s="6"/>
      <c r="BS3" s="6"/>
      <c r="BT3" s="31" t="s">
        <v>0</v>
      </c>
      <c r="BU3" s="6"/>
      <c r="BV3" s="6"/>
      <c r="BW3" s="6"/>
      <c r="BX3" s="55"/>
      <c r="BY3" s="55"/>
      <c r="BZ3" s="57"/>
      <c r="CA3" s="6"/>
    </row>
    <row r="4" spans="1:79" ht="15">
      <c r="A4" s="6"/>
      <c r="B4" s="6"/>
      <c r="C4" s="6"/>
      <c r="D4" s="6"/>
      <c r="E4" s="6"/>
      <c r="F4" s="6"/>
      <c r="G4" s="31" t="s">
        <v>6</v>
      </c>
      <c r="H4" s="31" t="s">
        <v>7</v>
      </c>
      <c r="I4" s="6"/>
      <c r="J4" s="6"/>
      <c r="K4" s="6"/>
      <c r="L4" s="31" t="s">
        <v>8</v>
      </c>
      <c r="M4" s="6"/>
      <c r="N4" s="31">
        <v>2001</v>
      </c>
      <c r="O4" s="6"/>
      <c r="P4" s="55"/>
      <c r="Q4" s="6"/>
      <c r="R4" s="6"/>
      <c r="S4" s="6"/>
      <c r="T4" s="6"/>
      <c r="U4" s="6"/>
      <c r="V4" s="6"/>
      <c r="W4" s="31" t="s">
        <v>6</v>
      </c>
      <c r="X4" s="6" t="str">
        <f>H4</f>
        <v>Donna Pappas</v>
      </c>
      <c r="Y4" s="6"/>
      <c r="Z4" s="6"/>
      <c r="AA4" s="6"/>
      <c r="AB4" s="31" t="s">
        <v>8</v>
      </c>
      <c r="AC4" s="6"/>
      <c r="AD4" s="31">
        <v>2002</v>
      </c>
      <c r="AE4" s="6"/>
      <c r="AF4" s="55"/>
      <c r="AG4" s="6"/>
      <c r="AH4" s="6"/>
      <c r="AI4" s="6"/>
      <c r="AJ4" s="6"/>
      <c r="AK4" s="6"/>
      <c r="AL4" s="6"/>
      <c r="AM4" s="31" t="s">
        <v>6</v>
      </c>
      <c r="AN4" s="6" t="str">
        <f>H4</f>
        <v>Donna Pappas</v>
      </c>
      <c r="AO4" s="6"/>
      <c r="AP4" s="6"/>
      <c r="AQ4" s="6"/>
      <c r="AR4" s="31" t="s">
        <v>8</v>
      </c>
      <c r="AS4" s="6"/>
      <c r="AT4" s="31">
        <v>2003</v>
      </c>
      <c r="AU4" s="6"/>
      <c r="AW4" s="6"/>
      <c r="AX4" s="6"/>
      <c r="AY4" s="6"/>
      <c r="AZ4" s="6"/>
      <c r="BA4" s="6"/>
      <c r="BB4" s="6"/>
      <c r="BC4" s="31" t="s">
        <v>6</v>
      </c>
      <c r="BD4" s="6" t="str">
        <f>X4</f>
        <v>Donna Pappas</v>
      </c>
      <c r="BE4" s="6"/>
      <c r="BF4" s="6"/>
      <c r="BG4" s="6"/>
      <c r="BH4" s="31" t="s">
        <v>8</v>
      </c>
      <c r="BI4" s="6"/>
      <c r="BJ4" s="31">
        <v>2004</v>
      </c>
      <c r="BK4" s="6"/>
      <c r="BM4" s="6"/>
      <c r="BN4" s="6"/>
      <c r="BO4" s="6"/>
      <c r="BP4" s="6"/>
      <c r="BQ4" s="6"/>
      <c r="BR4" s="6"/>
      <c r="BS4" s="31" t="s">
        <v>6</v>
      </c>
      <c r="BT4" s="6" t="str">
        <f>AN4</f>
        <v>Donna Pappas</v>
      </c>
      <c r="BU4" s="6"/>
      <c r="BV4" s="6"/>
      <c r="BW4" s="6"/>
      <c r="BX4" s="31" t="s">
        <v>8</v>
      </c>
      <c r="BY4" s="6"/>
      <c r="BZ4" s="31" t="s">
        <v>124</v>
      </c>
      <c r="CA4" s="6"/>
    </row>
    <row r="5" spans="1:7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1"/>
      <c r="O5" s="6"/>
      <c r="P5" s="5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55"/>
      <c r="AG5" s="6"/>
      <c r="AH5" s="6"/>
      <c r="AI5" s="6"/>
      <c r="AJ5" s="6"/>
      <c r="AK5" s="6"/>
      <c r="AL5" s="6"/>
      <c r="AM5" s="6"/>
      <c r="AN5" s="31"/>
      <c r="AO5" s="6"/>
      <c r="AP5" s="6"/>
      <c r="AQ5" s="6"/>
      <c r="AR5" s="6"/>
      <c r="AS5" s="6"/>
      <c r="AT5" s="31"/>
      <c r="AU5" s="6"/>
      <c r="AW5" s="6"/>
      <c r="AX5" s="6"/>
      <c r="AY5" s="6"/>
      <c r="AZ5" s="6"/>
      <c r="BA5" s="6"/>
      <c r="BB5" s="6"/>
      <c r="BC5" s="6"/>
      <c r="BD5" s="31"/>
      <c r="BE5" s="6"/>
      <c r="BF5" s="6"/>
      <c r="BG5" s="6"/>
      <c r="BH5" s="6"/>
      <c r="BI5" s="6"/>
      <c r="BJ5" s="31"/>
      <c r="BK5" s="6"/>
      <c r="BM5" s="6"/>
      <c r="BN5" s="6"/>
      <c r="BO5" s="6"/>
      <c r="BP5" s="6"/>
      <c r="BQ5" s="6"/>
      <c r="BR5" s="6"/>
      <c r="BS5" s="6"/>
      <c r="BT5" s="31"/>
      <c r="BU5" s="6"/>
      <c r="BV5" s="6"/>
      <c r="BW5" s="6"/>
      <c r="BX5" s="6"/>
      <c r="BY5" s="6"/>
      <c r="BZ5" s="31"/>
      <c r="CA5" s="6"/>
    </row>
    <row r="6" spans="1:79" ht="15">
      <c r="A6" s="6"/>
      <c r="B6" s="6"/>
      <c r="C6" s="6"/>
      <c r="D6" s="6"/>
      <c r="E6" s="6"/>
      <c r="F6" s="6"/>
      <c r="G6" s="31" t="s">
        <v>11</v>
      </c>
      <c r="H6" s="31" t="s">
        <v>12</v>
      </c>
      <c r="I6" s="6"/>
      <c r="J6" s="6"/>
      <c r="K6" s="6"/>
      <c r="L6" s="31" t="s">
        <v>13</v>
      </c>
      <c r="M6" s="6"/>
      <c r="N6" s="31" t="s">
        <v>112</v>
      </c>
      <c r="O6" s="6"/>
      <c r="P6" s="55"/>
      <c r="Q6" s="6"/>
      <c r="R6" s="6"/>
      <c r="S6" s="6"/>
      <c r="T6" s="6"/>
      <c r="U6" s="6"/>
      <c r="V6" s="6"/>
      <c r="W6" s="31" t="s">
        <v>11</v>
      </c>
      <c r="X6" s="6" t="str">
        <f>H6</f>
        <v>219-762-7784</v>
      </c>
      <c r="Y6" s="6"/>
      <c r="Z6" s="6"/>
      <c r="AA6" s="6"/>
      <c r="AB6" s="31" t="s">
        <v>13</v>
      </c>
      <c r="AC6" s="6"/>
      <c r="AD6" s="6" t="str">
        <f>N6</f>
        <v>MVH</v>
      </c>
      <c r="AE6" s="6"/>
      <c r="AF6" s="55"/>
      <c r="AG6" s="6"/>
      <c r="AH6" s="6"/>
      <c r="AI6" s="6"/>
      <c r="AJ6" s="6"/>
      <c r="AK6" s="6"/>
      <c r="AL6" s="6"/>
      <c r="AM6" s="31" t="s">
        <v>11</v>
      </c>
      <c r="AN6" s="6" t="str">
        <f>H6</f>
        <v>219-762-7784</v>
      </c>
      <c r="AO6" s="6"/>
      <c r="AP6" s="6"/>
      <c r="AQ6" s="6"/>
      <c r="AR6" s="31" t="s">
        <v>13</v>
      </c>
      <c r="AS6" s="6"/>
      <c r="AT6" s="31" t="str">
        <f>N6</f>
        <v>MVH</v>
      </c>
      <c r="AU6" s="6"/>
      <c r="AW6" s="6"/>
      <c r="AX6" s="6"/>
      <c r="AY6" s="6"/>
      <c r="AZ6" s="6"/>
      <c r="BA6" s="6"/>
      <c r="BB6" s="6"/>
      <c r="BC6" s="31" t="s">
        <v>11</v>
      </c>
      <c r="BD6" s="6" t="str">
        <f>X6</f>
        <v>219-762-7784</v>
      </c>
      <c r="BE6" s="6"/>
      <c r="BF6" s="6"/>
      <c r="BG6" s="6"/>
      <c r="BH6" s="31" t="s">
        <v>13</v>
      </c>
      <c r="BI6" s="6"/>
      <c r="BJ6" s="31" t="str">
        <f>AD6</f>
        <v>MVH</v>
      </c>
      <c r="BK6" s="6"/>
      <c r="BM6" s="6"/>
      <c r="BN6" s="6"/>
      <c r="BO6" s="6"/>
      <c r="BP6" s="6"/>
      <c r="BQ6" s="6"/>
      <c r="BR6" s="6"/>
      <c r="BS6" s="31" t="s">
        <v>11</v>
      </c>
      <c r="BT6" s="6" t="str">
        <f>AN6</f>
        <v>219-762-7784</v>
      </c>
      <c r="BU6" s="6"/>
      <c r="BV6" s="6"/>
      <c r="BW6" s="6"/>
      <c r="BX6" s="31" t="s">
        <v>13</v>
      </c>
      <c r="BY6" s="6"/>
      <c r="BZ6" s="31" t="str">
        <f>AT6</f>
        <v>MVH</v>
      </c>
      <c r="CA6" s="6"/>
    </row>
    <row r="7" spans="1:79" ht="15">
      <c r="A7" s="6"/>
      <c r="B7" s="6"/>
      <c r="C7" s="6"/>
      <c r="D7" s="6"/>
      <c r="E7" s="6"/>
      <c r="F7" s="6"/>
      <c r="G7" s="55"/>
      <c r="H7" s="6"/>
      <c r="I7" s="6"/>
      <c r="J7" s="6"/>
      <c r="K7" s="6"/>
      <c r="L7" s="6"/>
      <c r="M7" s="6"/>
      <c r="N7" s="31"/>
      <c r="O7" s="6"/>
      <c r="P7" s="55"/>
      <c r="Q7" s="6"/>
      <c r="R7" s="6"/>
      <c r="S7" s="6"/>
      <c r="T7" s="6"/>
      <c r="U7" s="6"/>
      <c r="V7" s="6"/>
      <c r="W7" s="55"/>
      <c r="X7" s="55"/>
      <c r="Y7" s="6"/>
      <c r="Z7" s="6"/>
      <c r="AA7" s="6"/>
      <c r="AB7" s="6"/>
      <c r="AC7" s="6"/>
      <c r="AD7" s="6"/>
      <c r="AE7" s="6"/>
      <c r="AF7" s="55"/>
      <c r="AG7" s="6"/>
      <c r="AH7" s="6"/>
      <c r="AI7" s="6"/>
      <c r="AJ7" s="6"/>
      <c r="AK7" s="6"/>
      <c r="AL7" s="6"/>
      <c r="AM7" s="55"/>
      <c r="AN7" s="55"/>
      <c r="AO7" s="6"/>
      <c r="AP7" s="6"/>
      <c r="AQ7" s="6"/>
      <c r="AR7" s="6"/>
      <c r="AS7" s="6"/>
      <c r="AT7" s="31"/>
      <c r="AU7" s="6"/>
      <c r="AW7" s="6"/>
      <c r="AX7" s="6"/>
      <c r="AY7" s="6"/>
      <c r="AZ7" s="6"/>
      <c r="BA7" s="6"/>
      <c r="BB7" s="6"/>
      <c r="BC7" s="55"/>
      <c r="BD7" s="55"/>
      <c r="BE7" s="6"/>
      <c r="BF7" s="6"/>
      <c r="BG7" s="6"/>
      <c r="BH7" s="6"/>
      <c r="BI7" s="6"/>
      <c r="BJ7" s="31"/>
      <c r="BK7" s="6"/>
      <c r="BM7" s="6"/>
      <c r="BN7" s="6"/>
      <c r="BO7" s="6"/>
      <c r="BP7" s="6"/>
      <c r="BQ7" s="6"/>
      <c r="BR7" s="6"/>
      <c r="BS7" s="55"/>
      <c r="BT7" s="55"/>
      <c r="BU7" s="6"/>
      <c r="BV7" s="6"/>
      <c r="BW7" s="6"/>
      <c r="BX7" s="6"/>
      <c r="BY7" s="6"/>
      <c r="BZ7" s="31"/>
      <c r="CA7" s="6"/>
    </row>
    <row r="8" spans="1:79" ht="15">
      <c r="A8" s="6"/>
      <c r="B8" s="6"/>
      <c r="C8" s="6"/>
      <c r="D8" s="6"/>
      <c r="E8" s="6"/>
      <c r="F8" s="6"/>
      <c r="G8" s="55"/>
      <c r="H8" s="6"/>
      <c r="I8" s="6"/>
      <c r="J8" s="6"/>
      <c r="K8" s="6"/>
      <c r="L8" s="31" t="s">
        <v>14</v>
      </c>
      <c r="M8" s="11"/>
      <c r="N8" s="58"/>
      <c r="O8" s="6"/>
      <c r="P8" s="55"/>
      <c r="Q8" s="6"/>
      <c r="R8" s="6"/>
      <c r="S8" s="6"/>
      <c r="T8" s="6"/>
      <c r="U8" s="6"/>
      <c r="V8" s="6"/>
      <c r="W8" s="55"/>
      <c r="X8" s="55"/>
      <c r="Y8" s="6"/>
      <c r="Z8" s="6"/>
      <c r="AA8" s="6"/>
      <c r="AB8" s="31" t="s">
        <v>14</v>
      </c>
      <c r="AC8" s="11"/>
      <c r="AD8" s="11">
        <v>0</v>
      </c>
      <c r="AE8" s="6"/>
      <c r="AF8" s="55"/>
      <c r="AG8" s="6"/>
      <c r="AH8" s="6"/>
      <c r="AI8" s="6"/>
      <c r="AJ8" s="6"/>
      <c r="AK8" s="6"/>
      <c r="AL8" s="6"/>
      <c r="AM8" s="55"/>
      <c r="AN8" s="55"/>
      <c r="AO8" s="6"/>
      <c r="AP8" s="6"/>
      <c r="AQ8" s="6"/>
      <c r="AR8" s="31" t="s">
        <v>125</v>
      </c>
      <c r="AS8" s="11"/>
      <c r="AT8" s="58">
        <v>738249</v>
      </c>
      <c r="AU8" s="6"/>
      <c r="AW8" s="6"/>
      <c r="AX8" s="6"/>
      <c r="AY8" s="6"/>
      <c r="AZ8" s="6"/>
      <c r="BA8" s="6"/>
      <c r="BB8" s="6"/>
      <c r="BC8" s="55"/>
      <c r="BD8" s="55"/>
      <c r="BE8" s="6"/>
      <c r="BF8" s="6"/>
      <c r="BG8" s="6"/>
      <c r="BH8" s="31" t="s">
        <v>125</v>
      </c>
      <c r="BI8" s="11"/>
      <c r="BJ8" s="58">
        <v>817434</v>
      </c>
      <c r="BK8" s="6"/>
      <c r="BM8" s="6"/>
      <c r="BN8" s="6"/>
      <c r="BO8" s="6"/>
      <c r="BP8" s="6"/>
      <c r="BQ8" s="6"/>
      <c r="BR8" s="6"/>
      <c r="BS8" s="55"/>
      <c r="BT8" s="55"/>
      <c r="BU8" s="6"/>
      <c r="BV8" s="6"/>
      <c r="BW8" s="6"/>
      <c r="BX8" s="31" t="s">
        <v>125</v>
      </c>
      <c r="BY8" s="11"/>
      <c r="BZ8" s="58">
        <v>394365</v>
      </c>
      <c r="CA8" s="6"/>
    </row>
    <row r="9" spans="1:79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55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5"/>
      <c r="P10" s="5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5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15">
      <c r="A11" s="55"/>
      <c r="B11" s="55"/>
      <c r="C11" s="59" t="s">
        <v>16</v>
      </c>
      <c r="D11" s="59" t="s">
        <v>17</v>
      </c>
      <c r="E11" s="59" t="s">
        <v>18</v>
      </c>
      <c r="F11" s="59" t="s">
        <v>19</v>
      </c>
      <c r="G11" s="59" t="s">
        <v>20</v>
      </c>
      <c r="H11" s="59" t="s">
        <v>21</v>
      </c>
      <c r="I11" s="59" t="s">
        <v>22</v>
      </c>
      <c r="J11" s="59" t="s">
        <v>23</v>
      </c>
      <c r="K11" s="59" t="s">
        <v>24</v>
      </c>
      <c r="L11" s="59" t="s">
        <v>25</v>
      </c>
      <c r="M11" s="59" t="s">
        <v>26</v>
      </c>
      <c r="N11" s="59" t="s">
        <v>27</v>
      </c>
      <c r="O11" s="59" t="s">
        <v>28</v>
      </c>
      <c r="P11" s="55"/>
      <c r="Q11" s="55"/>
      <c r="R11" s="55"/>
      <c r="S11" s="59" t="s">
        <v>16</v>
      </c>
      <c r="T11" s="59" t="s">
        <v>17</v>
      </c>
      <c r="U11" s="59" t="s">
        <v>18</v>
      </c>
      <c r="V11" s="59" t="s">
        <v>19</v>
      </c>
      <c r="W11" s="59" t="s">
        <v>20</v>
      </c>
      <c r="X11" s="59" t="s">
        <v>21</v>
      </c>
      <c r="Y11" s="59" t="s">
        <v>22</v>
      </c>
      <c r="Z11" s="59" t="s">
        <v>23</v>
      </c>
      <c r="AA11" s="59" t="s">
        <v>24</v>
      </c>
      <c r="AB11" s="59" t="s">
        <v>25</v>
      </c>
      <c r="AC11" s="59" t="s">
        <v>26</v>
      </c>
      <c r="AD11" s="59" t="s">
        <v>27</v>
      </c>
      <c r="AE11" s="59" t="s">
        <v>28</v>
      </c>
      <c r="AF11" s="55"/>
      <c r="AG11" s="55"/>
      <c r="AH11" s="55"/>
      <c r="AI11" s="59" t="s">
        <v>16</v>
      </c>
      <c r="AJ11" s="59" t="s">
        <v>17</v>
      </c>
      <c r="AK11" s="59" t="s">
        <v>18</v>
      </c>
      <c r="AL11" s="59" t="s">
        <v>19</v>
      </c>
      <c r="AM11" s="59" t="s">
        <v>20</v>
      </c>
      <c r="AN11" s="59" t="s">
        <v>21</v>
      </c>
      <c r="AO11" s="59" t="s">
        <v>22</v>
      </c>
      <c r="AP11" s="59" t="s">
        <v>23</v>
      </c>
      <c r="AQ11" s="59" t="s">
        <v>24</v>
      </c>
      <c r="AR11" s="59" t="s">
        <v>25</v>
      </c>
      <c r="AS11" s="59" t="s">
        <v>26</v>
      </c>
      <c r="AT11" s="59" t="s">
        <v>27</v>
      </c>
      <c r="AU11" s="59" t="s">
        <v>28</v>
      </c>
      <c r="AW11" s="55"/>
      <c r="AX11" s="55"/>
      <c r="AY11" s="59" t="s">
        <v>16</v>
      </c>
      <c r="AZ11" s="59" t="s">
        <v>17</v>
      </c>
      <c r="BA11" s="59" t="s">
        <v>18</v>
      </c>
      <c r="BB11" s="59" t="s">
        <v>19</v>
      </c>
      <c r="BC11" s="59" t="s">
        <v>20</v>
      </c>
      <c r="BD11" s="59" t="s">
        <v>21</v>
      </c>
      <c r="BE11" s="59" t="s">
        <v>22</v>
      </c>
      <c r="BF11" s="59" t="s">
        <v>23</v>
      </c>
      <c r="BG11" s="59" t="s">
        <v>24</v>
      </c>
      <c r="BH11" s="59" t="s">
        <v>25</v>
      </c>
      <c r="BI11" s="59" t="s">
        <v>26</v>
      </c>
      <c r="BJ11" s="59" t="s">
        <v>27</v>
      </c>
      <c r="BK11" s="59" t="s">
        <v>28</v>
      </c>
      <c r="BM11" s="55"/>
      <c r="BN11" s="55"/>
      <c r="BO11" s="59" t="s">
        <v>16</v>
      </c>
      <c r="BP11" s="59" t="s">
        <v>17</v>
      </c>
      <c r="BQ11" s="59" t="s">
        <v>18</v>
      </c>
      <c r="BR11" s="59" t="s">
        <v>19</v>
      </c>
      <c r="BS11" s="59" t="s">
        <v>20</v>
      </c>
      <c r="BT11" s="59" t="s">
        <v>21</v>
      </c>
      <c r="BU11" s="59" t="s">
        <v>22</v>
      </c>
      <c r="BV11" s="59" t="s">
        <v>23</v>
      </c>
      <c r="BW11" s="59" t="s">
        <v>24</v>
      </c>
      <c r="BX11" s="59" t="s">
        <v>25</v>
      </c>
      <c r="BY11" s="59" t="s">
        <v>26</v>
      </c>
      <c r="BZ11" s="59" t="s">
        <v>27</v>
      </c>
      <c r="CA11" s="59" t="s">
        <v>28</v>
      </c>
    </row>
    <row r="12" spans="1:79" ht="15">
      <c r="A12" s="60" t="s">
        <v>29</v>
      </c>
      <c r="B12" s="55"/>
      <c r="C12" s="59" t="s">
        <v>30</v>
      </c>
      <c r="D12" s="59" t="s">
        <v>30</v>
      </c>
      <c r="E12" s="59" t="s">
        <v>30</v>
      </c>
      <c r="F12" s="59" t="s">
        <v>30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30</v>
      </c>
      <c r="L12" s="59" t="s">
        <v>30</v>
      </c>
      <c r="M12" s="59" t="s">
        <v>30</v>
      </c>
      <c r="N12" s="59" t="s">
        <v>30</v>
      </c>
      <c r="O12" s="59" t="s">
        <v>30</v>
      </c>
      <c r="P12" s="55"/>
      <c r="Q12" s="60" t="s">
        <v>29</v>
      </c>
      <c r="R12" s="55"/>
      <c r="S12" s="59" t="s">
        <v>30</v>
      </c>
      <c r="T12" s="59" t="s">
        <v>30</v>
      </c>
      <c r="U12" s="59" t="s">
        <v>30</v>
      </c>
      <c r="V12" s="59" t="s">
        <v>30</v>
      </c>
      <c r="W12" s="59" t="s">
        <v>30</v>
      </c>
      <c r="X12" s="59" t="s">
        <v>30</v>
      </c>
      <c r="Y12" s="59" t="s">
        <v>30</v>
      </c>
      <c r="Z12" s="59" t="s">
        <v>30</v>
      </c>
      <c r="AA12" s="59" t="s">
        <v>30</v>
      </c>
      <c r="AB12" s="59" t="s">
        <v>30</v>
      </c>
      <c r="AC12" s="59" t="s">
        <v>30</v>
      </c>
      <c r="AD12" s="59" t="s">
        <v>30</v>
      </c>
      <c r="AE12" s="59" t="s">
        <v>30</v>
      </c>
      <c r="AF12" s="55"/>
      <c r="AG12" s="60" t="s">
        <v>29</v>
      </c>
      <c r="AH12" s="55"/>
      <c r="AI12" s="59" t="s">
        <v>30</v>
      </c>
      <c r="AJ12" s="59" t="s">
        <v>30</v>
      </c>
      <c r="AK12" s="59" t="s">
        <v>30</v>
      </c>
      <c r="AL12" s="59" t="s">
        <v>30</v>
      </c>
      <c r="AM12" s="59" t="s">
        <v>30</v>
      </c>
      <c r="AN12" s="59" t="s">
        <v>30</v>
      </c>
      <c r="AO12" s="59" t="s">
        <v>30</v>
      </c>
      <c r="AP12" s="59" t="s">
        <v>30</v>
      </c>
      <c r="AQ12" s="59" t="s">
        <v>30</v>
      </c>
      <c r="AR12" s="59" t="s">
        <v>30</v>
      </c>
      <c r="AS12" s="59" t="s">
        <v>30</v>
      </c>
      <c r="AT12" s="59" t="s">
        <v>30</v>
      </c>
      <c r="AU12" s="59" t="s">
        <v>30</v>
      </c>
      <c r="AW12" s="60" t="s">
        <v>29</v>
      </c>
      <c r="AX12" s="55"/>
      <c r="AY12" s="59" t="s">
        <v>30</v>
      </c>
      <c r="AZ12" s="59" t="s">
        <v>30</v>
      </c>
      <c r="BA12" s="59" t="s">
        <v>30</v>
      </c>
      <c r="BB12" s="59" t="s">
        <v>30</v>
      </c>
      <c r="BC12" s="59" t="s">
        <v>30</v>
      </c>
      <c r="BD12" s="59" t="s">
        <v>30</v>
      </c>
      <c r="BE12" s="59" t="s">
        <v>30</v>
      </c>
      <c r="BF12" s="59" t="s">
        <v>30</v>
      </c>
      <c r="BG12" s="59" t="s">
        <v>30</v>
      </c>
      <c r="BH12" s="59" t="s">
        <v>30</v>
      </c>
      <c r="BI12" s="59" t="s">
        <v>30</v>
      </c>
      <c r="BJ12" s="59" t="s">
        <v>30</v>
      </c>
      <c r="BK12" s="59" t="s">
        <v>30</v>
      </c>
      <c r="BM12" s="60" t="s">
        <v>29</v>
      </c>
      <c r="BN12" s="55"/>
      <c r="BO12" s="59" t="s">
        <v>30</v>
      </c>
      <c r="BP12" s="59" t="s">
        <v>30</v>
      </c>
      <c r="BQ12" s="59" t="s">
        <v>30</v>
      </c>
      <c r="BR12" s="59" t="s">
        <v>30</v>
      </c>
      <c r="BS12" s="59" t="s">
        <v>30</v>
      </c>
      <c r="BT12" s="59" t="s">
        <v>30</v>
      </c>
      <c r="BU12" s="59" t="s">
        <v>30</v>
      </c>
      <c r="BV12" s="59" t="s">
        <v>30</v>
      </c>
      <c r="BW12" s="59" t="s">
        <v>30</v>
      </c>
      <c r="BX12" s="59" t="s">
        <v>30</v>
      </c>
      <c r="BY12" s="59" t="s">
        <v>30</v>
      </c>
      <c r="BZ12" s="59" t="s">
        <v>30</v>
      </c>
      <c r="CA12" s="59" t="s">
        <v>30</v>
      </c>
    </row>
    <row r="13" spans="1:79" ht="15">
      <c r="A13" s="60" t="s">
        <v>31</v>
      </c>
      <c r="B13" s="55"/>
      <c r="C13" s="14">
        <v>201389.27</v>
      </c>
      <c r="D13" s="14">
        <f aca="true" t="shared" si="0" ref="D13:N13">C38</f>
        <v>487321.68</v>
      </c>
      <c r="E13" s="14">
        <f t="shared" si="0"/>
        <v>127225.57000000007</v>
      </c>
      <c r="F13" s="14">
        <f t="shared" si="0"/>
        <v>133646.80000000008</v>
      </c>
      <c r="G13" s="14">
        <f t="shared" si="0"/>
        <v>341492.97000000003</v>
      </c>
      <c r="H13" s="14">
        <f t="shared" si="0"/>
        <v>535527.42</v>
      </c>
      <c r="I13" s="14">
        <f t="shared" si="0"/>
        <v>247112.86</v>
      </c>
      <c r="J13" s="14">
        <f t="shared" si="0"/>
        <v>236298.68999999997</v>
      </c>
      <c r="K13" s="14">
        <f t="shared" si="0"/>
        <v>207966.19999999998</v>
      </c>
      <c r="L13" s="14">
        <f t="shared" si="0"/>
        <v>138318.07</v>
      </c>
      <c r="M13" s="14">
        <f t="shared" si="0"/>
        <v>108107.32</v>
      </c>
      <c r="N13" s="14">
        <f t="shared" si="0"/>
        <v>252412.82</v>
      </c>
      <c r="O13" s="14">
        <f>C13</f>
        <v>201389.27</v>
      </c>
      <c r="P13" s="55"/>
      <c r="Q13" s="60" t="s">
        <v>31</v>
      </c>
      <c r="R13" s="55"/>
      <c r="S13" s="14">
        <v>94191</v>
      </c>
      <c r="T13" s="14">
        <f aca="true" t="shared" si="1" ref="T13:AD13">S38</f>
        <v>7430.3000000000175</v>
      </c>
      <c r="U13" s="14">
        <f t="shared" si="1"/>
        <v>197169.71</v>
      </c>
      <c r="V13" s="14">
        <f t="shared" si="1"/>
        <v>105359.53999999998</v>
      </c>
      <c r="W13" s="14">
        <f t="shared" si="1"/>
        <v>107390.41999999995</v>
      </c>
      <c r="X13" s="14">
        <f t="shared" si="1"/>
        <v>188651.97999999992</v>
      </c>
      <c r="Y13" s="14">
        <f t="shared" si="1"/>
        <v>333086.9699999999</v>
      </c>
      <c r="Z13" s="14">
        <f t="shared" si="1"/>
        <v>334364.5099999999</v>
      </c>
      <c r="AA13" s="14">
        <f t="shared" si="1"/>
        <v>343713.5899999999</v>
      </c>
      <c r="AB13" s="14">
        <f t="shared" si="1"/>
        <v>324516.66999999987</v>
      </c>
      <c r="AC13" s="14">
        <f t="shared" si="1"/>
        <v>288115.3199999999</v>
      </c>
      <c r="AD13" s="14">
        <f t="shared" si="1"/>
        <v>423583.4899999999</v>
      </c>
      <c r="AE13" s="14">
        <f>S13</f>
        <v>94191</v>
      </c>
      <c r="AF13" s="55"/>
      <c r="AG13" s="60" t="s">
        <v>31</v>
      </c>
      <c r="AH13" s="55"/>
      <c r="AI13" s="14">
        <f>AE38</f>
        <v>234937.53000000026</v>
      </c>
      <c r="AJ13" s="14">
        <f aca="true" t="shared" si="2" ref="AJ13:AT13">AI38</f>
        <v>30417.620000000286</v>
      </c>
      <c r="AK13" s="14">
        <f t="shared" si="2"/>
        <v>59910.150000000285</v>
      </c>
      <c r="AL13" s="14">
        <f t="shared" si="2"/>
        <v>81937.73000000027</v>
      </c>
      <c r="AM13" s="14">
        <f t="shared" si="2"/>
        <v>56983.670000000275</v>
      </c>
      <c r="AN13" s="14">
        <f t="shared" si="2"/>
        <v>54356.080000000264</v>
      </c>
      <c r="AO13" s="14">
        <f t="shared" si="2"/>
        <v>346644.8100000003</v>
      </c>
      <c r="AP13" s="14">
        <f t="shared" si="2"/>
        <v>422838.68000000034</v>
      </c>
      <c r="AQ13" s="14">
        <f t="shared" si="2"/>
        <v>445606.9300000003</v>
      </c>
      <c r="AR13" s="14">
        <f t="shared" si="2"/>
        <v>440946.27000000025</v>
      </c>
      <c r="AS13" s="14">
        <f t="shared" si="2"/>
        <v>397450.20000000024</v>
      </c>
      <c r="AT13" s="14">
        <f t="shared" si="2"/>
        <v>183691.6500000002</v>
      </c>
      <c r="AU13" s="14">
        <f>AI13</f>
        <v>234937.53000000026</v>
      </c>
      <c r="AW13" s="60" t="s">
        <v>31</v>
      </c>
      <c r="AX13" s="55"/>
      <c r="AY13" s="14">
        <f>AU38</f>
        <v>391980.3300000001</v>
      </c>
      <c r="AZ13" s="14">
        <f aca="true" t="shared" si="3" ref="AZ13:BJ13">AY38</f>
        <v>277158.3700000001</v>
      </c>
      <c r="BA13" s="14">
        <f t="shared" si="3"/>
        <v>178142.51000000013</v>
      </c>
      <c r="BB13" s="14">
        <f t="shared" si="3"/>
        <v>170005.7100000001</v>
      </c>
      <c r="BC13" s="14">
        <f t="shared" si="3"/>
        <v>156077.71000000008</v>
      </c>
      <c r="BD13" s="14">
        <f t="shared" si="3"/>
        <v>124207.71000000008</v>
      </c>
      <c r="BE13" s="14">
        <f t="shared" si="3"/>
        <v>98231.71000000008</v>
      </c>
      <c r="BF13" s="14">
        <f t="shared" si="3"/>
        <v>9881.71000000008</v>
      </c>
      <c r="BG13" s="14">
        <f t="shared" si="3"/>
        <v>55542.71000000008</v>
      </c>
      <c r="BH13" s="14">
        <f t="shared" si="3"/>
        <v>225721.71000000008</v>
      </c>
      <c r="BI13" s="14">
        <f t="shared" si="3"/>
        <v>281914.64</v>
      </c>
      <c r="BJ13" s="14">
        <f t="shared" si="3"/>
        <v>212470.79000000004</v>
      </c>
      <c r="BK13" s="14">
        <f>AY13</f>
        <v>391980.3300000001</v>
      </c>
      <c r="BM13" s="60" t="s">
        <v>31</v>
      </c>
      <c r="BN13" s="55"/>
      <c r="BO13" s="14">
        <f>BK38</f>
        <v>353170.81999999983</v>
      </c>
      <c r="BP13" s="14">
        <f aca="true" t="shared" si="4" ref="BP13:BZ13">BO38</f>
        <v>308704.81999999983</v>
      </c>
      <c r="BQ13" s="14">
        <f t="shared" si="4"/>
        <v>252456.81999999983</v>
      </c>
      <c r="BR13" s="14">
        <f t="shared" si="4"/>
        <v>225088.81999999983</v>
      </c>
      <c r="BS13" s="14">
        <f t="shared" si="4"/>
        <v>203184.81999999983</v>
      </c>
      <c r="BT13" s="14">
        <f t="shared" si="4"/>
        <v>159249.81999999983</v>
      </c>
      <c r="BU13" s="14">
        <f t="shared" si="4"/>
        <v>328273.81999999983</v>
      </c>
      <c r="BV13" s="14">
        <f t="shared" si="4"/>
        <v>286490.81999999983</v>
      </c>
      <c r="BW13" s="14">
        <f t="shared" si="4"/>
        <v>254294.81999999983</v>
      </c>
      <c r="BX13" s="14">
        <f t="shared" si="4"/>
        <v>222741.81999999983</v>
      </c>
      <c r="BY13" s="14">
        <f t="shared" si="4"/>
        <v>176899.81999999983</v>
      </c>
      <c r="BZ13" s="14">
        <f t="shared" si="4"/>
        <v>130696.96999999983</v>
      </c>
      <c r="CA13" s="14">
        <f>BO13</f>
        <v>353170.81999999983</v>
      </c>
    </row>
    <row r="14" spans="1:79" ht="15">
      <c r="A14" s="55"/>
      <c r="B14" s="55"/>
      <c r="C14" s="59" t="s">
        <v>30</v>
      </c>
      <c r="D14" s="59" t="s">
        <v>30</v>
      </c>
      <c r="E14" s="59" t="s">
        <v>30</v>
      </c>
      <c r="F14" s="59" t="s">
        <v>30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30</v>
      </c>
      <c r="L14" s="59" t="s">
        <v>30</v>
      </c>
      <c r="M14" s="59" t="s">
        <v>30</v>
      </c>
      <c r="N14" s="59" t="s">
        <v>30</v>
      </c>
      <c r="O14" s="59" t="s">
        <v>30</v>
      </c>
      <c r="P14" s="55"/>
      <c r="Q14" s="55"/>
      <c r="R14" s="55"/>
      <c r="S14" s="59" t="s">
        <v>30</v>
      </c>
      <c r="T14" s="59" t="s">
        <v>30</v>
      </c>
      <c r="U14" s="59" t="s">
        <v>30</v>
      </c>
      <c r="V14" s="59" t="s">
        <v>30</v>
      </c>
      <c r="W14" s="59" t="s">
        <v>30</v>
      </c>
      <c r="X14" s="59" t="s">
        <v>30</v>
      </c>
      <c r="Y14" s="59" t="s">
        <v>30</v>
      </c>
      <c r="Z14" s="59" t="s">
        <v>30</v>
      </c>
      <c r="AA14" s="59" t="s">
        <v>30</v>
      </c>
      <c r="AB14" s="59" t="s">
        <v>30</v>
      </c>
      <c r="AC14" s="59" t="s">
        <v>30</v>
      </c>
      <c r="AD14" s="59" t="s">
        <v>30</v>
      </c>
      <c r="AE14" s="59" t="s">
        <v>30</v>
      </c>
      <c r="AF14" s="55"/>
      <c r="AG14" s="55"/>
      <c r="AH14" s="55"/>
      <c r="AI14" s="59" t="s">
        <v>30</v>
      </c>
      <c r="AJ14" s="59" t="s">
        <v>30</v>
      </c>
      <c r="AK14" s="59" t="s">
        <v>30</v>
      </c>
      <c r="AL14" s="59" t="s">
        <v>30</v>
      </c>
      <c r="AM14" s="59" t="s">
        <v>30</v>
      </c>
      <c r="AN14" s="59" t="s">
        <v>30</v>
      </c>
      <c r="AO14" s="59" t="s">
        <v>30</v>
      </c>
      <c r="AP14" s="59" t="s">
        <v>30</v>
      </c>
      <c r="AQ14" s="59" t="s">
        <v>30</v>
      </c>
      <c r="AR14" s="59" t="s">
        <v>30</v>
      </c>
      <c r="AS14" s="59" t="s">
        <v>30</v>
      </c>
      <c r="AT14" s="59" t="s">
        <v>30</v>
      </c>
      <c r="AU14" s="59" t="s">
        <v>30</v>
      </c>
      <c r="AW14" s="55"/>
      <c r="AX14" s="55"/>
      <c r="AY14" s="59" t="s">
        <v>30</v>
      </c>
      <c r="AZ14" s="59" t="s">
        <v>30</v>
      </c>
      <c r="BA14" s="59" t="s">
        <v>30</v>
      </c>
      <c r="BB14" s="59" t="s">
        <v>30</v>
      </c>
      <c r="BC14" s="59" t="s">
        <v>30</v>
      </c>
      <c r="BD14" s="59" t="s">
        <v>30</v>
      </c>
      <c r="BE14" s="59" t="s">
        <v>30</v>
      </c>
      <c r="BF14" s="59" t="s">
        <v>30</v>
      </c>
      <c r="BG14" s="59" t="s">
        <v>30</v>
      </c>
      <c r="BH14" s="59" t="s">
        <v>30</v>
      </c>
      <c r="BI14" s="59" t="s">
        <v>30</v>
      </c>
      <c r="BJ14" s="59" t="s">
        <v>30</v>
      </c>
      <c r="BK14" s="59" t="s">
        <v>30</v>
      </c>
      <c r="BM14" s="55"/>
      <c r="BN14" s="55"/>
      <c r="BO14" s="59" t="s">
        <v>30</v>
      </c>
      <c r="BP14" s="59" t="s">
        <v>30</v>
      </c>
      <c r="BQ14" s="59" t="s">
        <v>30</v>
      </c>
      <c r="BR14" s="59" t="s">
        <v>30</v>
      </c>
      <c r="BS14" s="59" t="s">
        <v>30</v>
      </c>
      <c r="BT14" s="59" t="s">
        <v>30</v>
      </c>
      <c r="BU14" s="59" t="s">
        <v>30</v>
      </c>
      <c r="BV14" s="59" t="s">
        <v>30</v>
      </c>
      <c r="BW14" s="59" t="s">
        <v>30</v>
      </c>
      <c r="BX14" s="59" t="s">
        <v>30</v>
      </c>
      <c r="BY14" s="59" t="s">
        <v>30</v>
      </c>
      <c r="BZ14" s="59" t="s">
        <v>30</v>
      </c>
      <c r="CA14" s="59" t="s">
        <v>30</v>
      </c>
    </row>
    <row r="15" spans="1:79" ht="15">
      <c r="A15" s="60" t="s">
        <v>29</v>
      </c>
      <c r="B15" s="5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5"/>
      <c r="P15" s="55"/>
      <c r="Q15" s="60" t="s">
        <v>29</v>
      </c>
      <c r="R15" s="55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55"/>
      <c r="AG15" s="60" t="s">
        <v>29</v>
      </c>
      <c r="AH15" s="5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W15" s="60" t="s">
        <v>29</v>
      </c>
      <c r="AX15" s="55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M15" s="60" t="s">
        <v>29</v>
      </c>
      <c r="BN15" s="55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15">
      <c r="A16" s="60" t="s">
        <v>32</v>
      </c>
      <c r="B16" s="5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5"/>
      <c r="P16" s="55"/>
      <c r="Q16" s="60" t="s">
        <v>32</v>
      </c>
      <c r="R16" s="55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55"/>
      <c r="AG16" s="60" t="s">
        <v>32</v>
      </c>
      <c r="AH16" s="5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W16" s="60" t="s">
        <v>32</v>
      </c>
      <c r="AX16" s="5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M16" s="60" t="s">
        <v>32</v>
      </c>
      <c r="BN16" s="55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76" customFormat="1" ht="15">
      <c r="A17" s="63" t="s">
        <v>33</v>
      </c>
      <c r="B17" s="24"/>
      <c r="C17" s="18"/>
      <c r="D17" s="18"/>
      <c r="E17" s="18"/>
      <c r="F17" s="18"/>
      <c r="G17" s="18">
        <v>283232.29</v>
      </c>
      <c r="H17" s="18">
        <v>53638.15</v>
      </c>
      <c r="I17" s="18"/>
      <c r="J17" s="18"/>
      <c r="K17" s="18"/>
      <c r="L17" s="18">
        <v>26827.5</v>
      </c>
      <c r="M17" s="18">
        <v>199362.35</v>
      </c>
      <c r="N17" s="18">
        <v>75044.12</v>
      </c>
      <c r="O17" s="66">
        <f>SUM(C17:N17)</f>
        <v>638104.41</v>
      </c>
      <c r="P17" s="24"/>
      <c r="Q17" s="63" t="s">
        <v>33</v>
      </c>
      <c r="R17" s="24"/>
      <c r="S17" s="18"/>
      <c r="T17" s="18"/>
      <c r="U17" s="18"/>
      <c r="V17" s="18">
        <v>18641.71</v>
      </c>
      <c r="W17" s="18">
        <v>107393.42</v>
      </c>
      <c r="X17" s="18">
        <v>145204.8</v>
      </c>
      <c r="Y17" s="18"/>
      <c r="Z17" s="18"/>
      <c r="AA17" s="18"/>
      <c r="AB17" s="18"/>
      <c r="AC17" s="18">
        <v>149362.17</v>
      </c>
      <c r="AD17" s="18">
        <v>121053.78</v>
      </c>
      <c r="AE17" s="66">
        <f>SUM(S17:AD17)</f>
        <v>541655.88</v>
      </c>
      <c r="AF17" s="24"/>
      <c r="AG17" s="63" t="s">
        <v>33</v>
      </c>
      <c r="AH17" s="24"/>
      <c r="AI17" s="62"/>
      <c r="AJ17" s="18"/>
      <c r="AK17" s="18"/>
      <c r="AL17" s="18">
        <v>16529.46</v>
      </c>
      <c r="AM17" s="18"/>
      <c r="AN17" s="18">
        <v>49454.64</v>
      </c>
      <c r="AO17" s="18">
        <v>99243.6</v>
      </c>
      <c r="AP17" s="18">
        <v>126823.25</v>
      </c>
      <c r="AQ17" s="18"/>
      <c r="AR17" s="18"/>
      <c r="AS17" s="18"/>
      <c r="AT17" s="75">
        <v>338014.33</v>
      </c>
      <c r="AU17" s="75">
        <f>SUM(AI17:AT17)</f>
        <v>630065.28</v>
      </c>
      <c r="AW17" s="63" t="s">
        <v>33</v>
      </c>
      <c r="AX17" s="24"/>
      <c r="AY17" s="62"/>
      <c r="AZ17" s="18"/>
      <c r="BA17" s="18"/>
      <c r="BB17" s="75">
        <v>0</v>
      </c>
      <c r="BC17" s="75">
        <v>0</v>
      </c>
      <c r="BD17" s="75">
        <v>21557</v>
      </c>
      <c r="BE17" s="75">
        <v>0</v>
      </c>
      <c r="BF17" s="75">
        <v>0</v>
      </c>
      <c r="BG17" s="75">
        <v>175366</v>
      </c>
      <c r="BH17" s="75">
        <v>228486</v>
      </c>
      <c r="BI17" s="75">
        <v>0</v>
      </c>
      <c r="BJ17" s="75">
        <v>392025</v>
      </c>
      <c r="BK17" s="75">
        <f aca="true" t="shared" si="5" ref="BK17:BK22">SUM(AY17:BJ17)</f>
        <v>817434</v>
      </c>
      <c r="BM17" s="63" t="s">
        <v>33</v>
      </c>
      <c r="BN17" s="24"/>
      <c r="BO17" s="62"/>
      <c r="BP17" s="18"/>
      <c r="BQ17" s="18"/>
      <c r="BR17" s="75">
        <v>0</v>
      </c>
      <c r="BS17" s="75">
        <v>0</v>
      </c>
      <c r="BT17" s="75">
        <v>197183</v>
      </c>
      <c r="BU17" s="75">
        <v>0</v>
      </c>
      <c r="BV17" s="75">
        <v>0</v>
      </c>
      <c r="BW17" s="75"/>
      <c r="BX17" s="75"/>
      <c r="BY17" s="75">
        <v>0</v>
      </c>
      <c r="BZ17" s="75">
        <v>197182</v>
      </c>
      <c r="CA17" s="75">
        <f aca="true" t="shared" si="6" ref="CA17:CA22">SUM(BO17:BZ17)</f>
        <v>394365</v>
      </c>
    </row>
    <row r="18" spans="1:79" s="76" customFormat="1" ht="15">
      <c r="A18" s="63" t="s">
        <v>35</v>
      </c>
      <c r="B18" s="2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66">
        <f>SUM(C18:N18)</f>
        <v>0</v>
      </c>
      <c r="P18" s="24"/>
      <c r="Q18" s="63" t="s">
        <v>35</v>
      </c>
      <c r="R18" s="2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6">
        <f>SUM(S18:AD18)</f>
        <v>0</v>
      </c>
      <c r="AF18" s="24"/>
      <c r="AG18" s="63" t="s">
        <v>35</v>
      </c>
      <c r="AH18" s="24"/>
      <c r="AI18" s="18" t="s">
        <v>0</v>
      </c>
      <c r="AJ18" s="18"/>
      <c r="AK18" s="18"/>
      <c r="AL18" s="18"/>
      <c r="AM18" s="18"/>
      <c r="AN18" s="18"/>
      <c r="AO18" s="18"/>
      <c r="AQ18" s="18"/>
      <c r="AR18" s="18" t="s">
        <v>0</v>
      </c>
      <c r="AS18" s="18" t="s">
        <v>0</v>
      </c>
      <c r="AT18" s="18" t="s">
        <v>0</v>
      </c>
      <c r="AU18" s="77">
        <f>SUM(AI18:AT18)</f>
        <v>0</v>
      </c>
      <c r="AW18" s="63" t="s">
        <v>35</v>
      </c>
      <c r="AX18" s="24"/>
      <c r="AY18" s="18" t="s">
        <v>0</v>
      </c>
      <c r="AZ18" s="18"/>
      <c r="BA18" s="18"/>
      <c r="BB18" s="18"/>
      <c r="BC18" s="18"/>
      <c r="BD18" s="18"/>
      <c r="BE18" s="18"/>
      <c r="BG18" s="18"/>
      <c r="BH18" s="18" t="s">
        <v>0</v>
      </c>
      <c r="BI18" s="18" t="s">
        <v>0</v>
      </c>
      <c r="BJ18" s="18" t="s">
        <v>0</v>
      </c>
      <c r="BK18" s="77">
        <f t="shared" si="5"/>
        <v>0</v>
      </c>
      <c r="BM18" s="63" t="s">
        <v>35</v>
      </c>
      <c r="BN18" s="24"/>
      <c r="BO18" s="18" t="s">
        <v>0</v>
      </c>
      <c r="BP18" s="18"/>
      <c r="BQ18" s="18"/>
      <c r="BR18" s="18"/>
      <c r="BS18" s="18"/>
      <c r="BT18" s="18"/>
      <c r="BU18" s="18"/>
      <c r="BW18" s="18"/>
      <c r="BX18" s="18" t="s">
        <v>0</v>
      </c>
      <c r="BY18" s="18" t="s">
        <v>0</v>
      </c>
      <c r="BZ18" s="18" t="s">
        <v>0</v>
      </c>
      <c r="CA18" s="77">
        <f t="shared" si="6"/>
        <v>0</v>
      </c>
    </row>
    <row r="19" spans="1:79" s="76" customFormat="1" ht="15">
      <c r="A19" s="63" t="s">
        <v>37</v>
      </c>
      <c r="B19" s="24"/>
      <c r="C19" s="24">
        <v>500000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66">
        <f>SUM(C19:N19)</f>
        <v>500000</v>
      </c>
      <c r="P19" s="24"/>
      <c r="Q19" s="63" t="s">
        <v>37</v>
      </c>
      <c r="R19" s="24"/>
      <c r="S19" s="24"/>
      <c r="T19" s="24">
        <v>250000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66">
        <f>SUM(S19:AD19)</f>
        <v>250000</v>
      </c>
      <c r="AF19" s="24"/>
      <c r="AG19" s="63" t="s">
        <v>37</v>
      </c>
      <c r="AH19" s="24"/>
      <c r="AI19" s="24"/>
      <c r="AJ19" s="24">
        <v>150000</v>
      </c>
      <c r="AK19" s="24">
        <v>100000</v>
      </c>
      <c r="AL19" s="24"/>
      <c r="AM19" s="24"/>
      <c r="AN19" s="24"/>
      <c r="AO19" s="24"/>
      <c r="AP19" s="24"/>
      <c r="AQ19" s="24"/>
      <c r="AR19" s="24"/>
      <c r="AS19" s="24"/>
      <c r="AT19" s="24">
        <v>207000</v>
      </c>
      <c r="AU19" s="18">
        <f>SUM(AI19:AT19)</f>
        <v>457000</v>
      </c>
      <c r="AW19" s="63" t="s">
        <v>37</v>
      </c>
      <c r="AX19" s="24"/>
      <c r="AY19" s="24"/>
      <c r="AZ19" s="78"/>
      <c r="BA19" s="78"/>
      <c r="BB19" s="24"/>
      <c r="BC19" s="24"/>
      <c r="BD19" s="24"/>
      <c r="BE19" s="24"/>
      <c r="BF19" s="24"/>
      <c r="BG19" s="24"/>
      <c r="BH19" s="24"/>
      <c r="BI19" s="24"/>
      <c r="BJ19" s="24"/>
      <c r="BK19" s="18">
        <f t="shared" si="5"/>
        <v>0</v>
      </c>
      <c r="BM19" s="63" t="s">
        <v>37</v>
      </c>
      <c r="BN19" s="24"/>
      <c r="BO19" s="24"/>
      <c r="BP19" s="78"/>
      <c r="BQ19" s="78"/>
      <c r="BR19" s="24"/>
      <c r="BS19" s="24"/>
      <c r="BT19" s="24"/>
      <c r="BU19" s="24"/>
      <c r="BV19" s="24"/>
      <c r="BW19" s="24"/>
      <c r="BX19" s="24"/>
      <c r="BY19" s="24"/>
      <c r="BZ19" s="24"/>
      <c r="CA19" s="18">
        <f t="shared" si="6"/>
        <v>0</v>
      </c>
    </row>
    <row r="20" spans="1:79" s="76" customFormat="1" ht="15">
      <c r="A20" s="63" t="s">
        <v>136</v>
      </c>
      <c r="B20" s="24"/>
      <c r="C20" s="24"/>
      <c r="D20" s="24"/>
      <c r="E20" s="24">
        <v>100000</v>
      </c>
      <c r="F20" s="24">
        <v>100000</v>
      </c>
      <c r="G20" s="24"/>
      <c r="H20" s="24"/>
      <c r="I20" s="24"/>
      <c r="J20" s="24"/>
      <c r="K20" s="24"/>
      <c r="L20" s="24"/>
      <c r="M20" s="24"/>
      <c r="N20" s="24"/>
      <c r="O20" s="66">
        <f>SUM(C20:N20)</f>
        <v>200000</v>
      </c>
      <c r="P20" s="24"/>
      <c r="Q20" s="63" t="s">
        <v>145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66">
        <f>SUM(S20:AD20)</f>
        <v>0</v>
      </c>
      <c r="AF20" s="24"/>
      <c r="AG20" s="63" t="s">
        <v>137</v>
      </c>
      <c r="AH20" s="24"/>
      <c r="AI20" s="18">
        <v>103000</v>
      </c>
      <c r="AJ20" s="24"/>
      <c r="AK20" s="24"/>
      <c r="AL20" s="24"/>
      <c r="AM20" s="24"/>
      <c r="AN20" s="24">
        <v>270954</v>
      </c>
      <c r="AO20" s="24"/>
      <c r="AP20" s="24"/>
      <c r="AQ20" s="24"/>
      <c r="AR20" s="24"/>
      <c r="AS20" s="24"/>
      <c r="AT20" s="24"/>
      <c r="AU20" s="18">
        <f>SUM(AI20:AT20)</f>
        <v>373954</v>
      </c>
      <c r="AW20" s="63" t="s">
        <v>137</v>
      </c>
      <c r="AX20" s="24"/>
      <c r="AY20" s="18">
        <v>410647</v>
      </c>
      <c r="AZ20" s="24"/>
      <c r="BA20" s="24"/>
      <c r="BB20" s="24"/>
      <c r="BC20" s="24"/>
      <c r="BD20" s="24">
        <v>60139</v>
      </c>
      <c r="BE20" s="24"/>
      <c r="BF20" s="24"/>
      <c r="BG20" s="24"/>
      <c r="BH20" s="24"/>
      <c r="BI20" s="24"/>
      <c r="BJ20" s="24"/>
      <c r="BK20" s="18">
        <f t="shared" si="5"/>
        <v>470786</v>
      </c>
      <c r="BM20" s="63"/>
      <c r="BN20" s="24"/>
      <c r="BO20" s="18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18">
        <f t="shared" si="6"/>
        <v>0</v>
      </c>
    </row>
    <row r="21" spans="1:79" s="76" customFormat="1" ht="15">
      <c r="A21" s="6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66"/>
      <c r="P21" s="24"/>
      <c r="Q21" s="6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66"/>
      <c r="AF21" s="24"/>
      <c r="AG21" s="63"/>
      <c r="AH21" s="24"/>
      <c r="AI21" s="18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18"/>
      <c r="AW21" s="63" t="s">
        <v>146</v>
      </c>
      <c r="AX21" s="24"/>
      <c r="AY21" s="18"/>
      <c r="AZ21" s="18">
        <v>104574.47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18">
        <f t="shared" si="5"/>
        <v>104574.47</v>
      </c>
      <c r="BM21" s="63"/>
      <c r="BN21" s="24"/>
      <c r="BO21" s="18"/>
      <c r="BP21" s="18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18">
        <f t="shared" si="6"/>
        <v>0</v>
      </c>
    </row>
    <row r="22" spans="1:79" s="76" customFormat="1" ht="15">
      <c r="A22" s="63" t="s">
        <v>39</v>
      </c>
      <c r="B22" s="24"/>
      <c r="C22" s="18">
        <f>551874.74-C19</f>
        <v>51874.73999999999</v>
      </c>
      <c r="D22" s="18">
        <v>54665.62</v>
      </c>
      <c r="E22" s="18">
        <f>166640.15-E20</f>
        <v>66640.15</v>
      </c>
      <c r="F22" s="18">
        <f>323888.1-F20</f>
        <v>223888.09999999998</v>
      </c>
      <c r="G22" s="18">
        <f>308145.93-G17</f>
        <v>24913.640000000014</v>
      </c>
      <c r="H22" s="18">
        <f>122268.3-H17</f>
        <v>68630.15</v>
      </c>
      <c r="I22" s="18">
        <v>96767.23</v>
      </c>
      <c r="J22" s="18">
        <v>116584.98</v>
      </c>
      <c r="K22" s="18">
        <v>63973.17</v>
      </c>
      <c r="L22" s="18">
        <f>120060.51-L17</f>
        <v>93233.01</v>
      </c>
      <c r="M22" s="18">
        <f>264063.64-M17</f>
        <v>64701.29000000001</v>
      </c>
      <c r="N22" s="18">
        <f>160599.63-N17</f>
        <v>85555.51000000001</v>
      </c>
      <c r="O22" s="66">
        <f>SUM(C22:N22)</f>
        <v>1011427.5900000001</v>
      </c>
      <c r="P22" s="24"/>
      <c r="Q22" s="63" t="s">
        <v>39</v>
      </c>
      <c r="R22" s="24"/>
      <c r="S22" s="18">
        <v>53679.66</v>
      </c>
      <c r="T22" s="18">
        <f>305924.31-T19</f>
        <v>55924.31</v>
      </c>
      <c r="U22" s="18">
        <v>80953.71</v>
      </c>
      <c r="V22" s="18">
        <f>121464.01-V17</f>
        <v>102822.29999999999</v>
      </c>
      <c r="W22" s="18">
        <f>184756-W17</f>
        <v>77362.58</v>
      </c>
      <c r="X22" s="18">
        <f>243623.17-X17</f>
        <v>98418.37000000002</v>
      </c>
      <c r="Y22" s="18">
        <v>93594.99</v>
      </c>
      <c r="Z22" s="18">
        <v>137537.12</v>
      </c>
      <c r="AA22" s="18">
        <v>77801.15</v>
      </c>
      <c r="AB22" s="18">
        <v>72250.07</v>
      </c>
      <c r="AC22" s="18">
        <f>239752.68-AC17</f>
        <v>90390.50999999998</v>
      </c>
      <c r="AD22" s="18">
        <f>166456.79-AD17</f>
        <v>45403.01000000001</v>
      </c>
      <c r="AE22" s="66">
        <f>SUM(S22:AD22)</f>
        <v>986137.78</v>
      </c>
      <c r="AF22" s="24"/>
      <c r="AG22" s="63" t="s">
        <v>39</v>
      </c>
      <c r="AH22" s="24"/>
      <c r="AI22" s="18">
        <f>161916.15-AI20</f>
        <v>58916.149999999994</v>
      </c>
      <c r="AJ22" s="18">
        <f>217080.38-AJ19</f>
        <v>67080.38</v>
      </c>
      <c r="AK22" s="18">
        <f>189635.8-AK19</f>
        <v>89635.79999999999</v>
      </c>
      <c r="AL22" s="18">
        <f>125867.05-AL17</f>
        <v>109337.59</v>
      </c>
      <c r="AM22" s="18">
        <v>99195.92</v>
      </c>
      <c r="AN22" s="18">
        <f>404089.9-AN20-AN17</f>
        <v>83681.26000000002</v>
      </c>
      <c r="AO22" s="18">
        <f>196218.41-AO17</f>
        <v>96974.81</v>
      </c>
      <c r="AP22" s="18">
        <f>267674.4-AP17</f>
        <v>140851.15000000002</v>
      </c>
      <c r="AQ22" s="18">
        <v>95853.58</v>
      </c>
      <c r="AR22" s="18">
        <v>82253.05</v>
      </c>
      <c r="AS22" s="18">
        <v>81892.15</v>
      </c>
      <c r="AT22" s="18">
        <f>672101.36-AT17-AT19</f>
        <v>127087.02999999997</v>
      </c>
      <c r="AU22" s="18">
        <f>SUM(AI22:AT22)</f>
        <v>1132758.8699999999</v>
      </c>
      <c r="AW22" s="63" t="s">
        <v>39</v>
      </c>
      <c r="AX22" s="24"/>
      <c r="AY22" s="18">
        <f>494276.13-AY20</f>
        <v>83629.13</v>
      </c>
      <c r="AZ22" s="18">
        <f>176420.92-AZ21</f>
        <v>71846.45000000001</v>
      </c>
      <c r="BA22" s="18">
        <v>125726.62</v>
      </c>
      <c r="BB22" s="18">
        <v>115613</v>
      </c>
      <c r="BC22" s="18">
        <v>84160</v>
      </c>
      <c r="BD22" s="18">
        <v>127936</v>
      </c>
      <c r="BE22" s="18">
        <v>86312</v>
      </c>
      <c r="BF22" s="18">
        <v>155899</v>
      </c>
      <c r="BG22" s="18">
        <v>165816</v>
      </c>
      <c r="BH22" s="18">
        <f>AR22</f>
        <v>82253.05</v>
      </c>
      <c r="BI22" s="18">
        <f>AS22</f>
        <v>81892.15</v>
      </c>
      <c r="BJ22" s="18">
        <f>AT22</f>
        <v>127087.02999999997</v>
      </c>
      <c r="BK22" s="18">
        <f t="shared" si="5"/>
        <v>1308170.43</v>
      </c>
      <c r="BM22" s="63" t="s">
        <v>39</v>
      </c>
      <c r="BN22" s="24"/>
      <c r="BO22" s="18">
        <v>83629</v>
      </c>
      <c r="BP22" s="18">
        <v>71847</v>
      </c>
      <c r="BQ22" s="18">
        <v>100727</v>
      </c>
      <c r="BR22" s="18">
        <v>106191</v>
      </c>
      <c r="BS22" s="18">
        <v>84160</v>
      </c>
      <c r="BT22" s="18">
        <v>99936</v>
      </c>
      <c r="BU22" s="18">
        <v>86312</v>
      </c>
      <c r="BV22" s="18">
        <v>95899</v>
      </c>
      <c r="BW22" s="18">
        <v>96542</v>
      </c>
      <c r="BX22" s="18">
        <v>82253</v>
      </c>
      <c r="BY22" s="18">
        <f>BI22</f>
        <v>81892.15</v>
      </c>
      <c r="BZ22" s="18">
        <v>97087</v>
      </c>
      <c r="CA22" s="18">
        <f t="shared" si="6"/>
        <v>1086475.15</v>
      </c>
    </row>
    <row r="23" spans="1:79" ht="15">
      <c r="A23" s="55"/>
      <c r="B23" s="55"/>
      <c r="C23" s="65" t="s">
        <v>30</v>
      </c>
      <c r="D23" s="65" t="s">
        <v>30</v>
      </c>
      <c r="E23" s="65" t="s">
        <v>30</v>
      </c>
      <c r="F23" s="65" t="s">
        <v>30</v>
      </c>
      <c r="G23" s="65" t="s">
        <v>30</v>
      </c>
      <c r="H23" s="65" t="s">
        <v>30</v>
      </c>
      <c r="I23" s="65" t="s">
        <v>30</v>
      </c>
      <c r="J23" s="65" t="s">
        <v>30</v>
      </c>
      <c r="K23" s="65" t="s">
        <v>30</v>
      </c>
      <c r="L23" s="65" t="s">
        <v>30</v>
      </c>
      <c r="M23" s="65" t="s">
        <v>30</v>
      </c>
      <c r="N23" s="65" t="s">
        <v>30</v>
      </c>
      <c r="O23" s="59" t="s">
        <v>30</v>
      </c>
      <c r="P23" s="55"/>
      <c r="Q23" s="55"/>
      <c r="R23" s="55"/>
      <c r="S23" s="65" t="s">
        <v>30</v>
      </c>
      <c r="T23" s="65" t="s">
        <v>30</v>
      </c>
      <c r="U23" s="65" t="s">
        <v>30</v>
      </c>
      <c r="V23" s="65" t="s">
        <v>30</v>
      </c>
      <c r="W23" s="65" t="s">
        <v>30</v>
      </c>
      <c r="X23" s="65" t="s">
        <v>30</v>
      </c>
      <c r="Y23" s="65" t="s">
        <v>30</v>
      </c>
      <c r="Z23" s="65" t="s">
        <v>30</v>
      </c>
      <c r="AA23" s="65" t="s">
        <v>30</v>
      </c>
      <c r="AB23" s="65" t="s">
        <v>30</v>
      </c>
      <c r="AC23" s="65" t="s">
        <v>30</v>
      </c>
      <c r="AD23" s="65" t="s">
        <v>30</v>
      </c>
      <c r="AE23" s="59" t="s">
        <v>30</v>
      </c>
      <c r="AF23" s="55"/>
      <c r="AG23" s="55"/>
      <c r="AH23" s="55"/>
      <c r="AI23" s="65" t="s">
        <v>30</v>
      </c>
      <c r="AJ23" s="65" t="s">
        <v>30</v>
      </c>
      <c r="AK23" s="65" t="s">
        <v>30</v>
      </c>
      <c r="AL23" s="65" t="s">
        <v>30</v>
      </c>
      <c r="AM23" s="65" t="s">
        <v>30</v>
      </c>
      <c r="AN23" s="65" t="s">
        <v>30</v>
      </c>
      <c r="AO23" s="65" t="s">
        <v>30</v>
      </c>
      <c r="AP23" s="65" t="s">
        <v>30</v>
      </c>
      <c r="AQ23" s="65" t="s">
        <v>30</v>
      </c>
      <c r="AR23" s="65" t="s">
        <v>30</v>
      </c>
      <c r="AS23" s="65" t="s">
        <v>30</v>
      </c>
      <c r="AT23" s="65" t="s">
        <v>30</v>
      </c>
      <c r="AU23" s="65" t="s">
        <v>30</v>
      </c>
      <c r="AW23" s="55"/>
      <c r="AX23" s="55"/>
      <c r="AY23" s="65" t="s">
        <v>30</v>
      </c>
      <c r="AZ23" s="65" t="s">
        <v>30</v>
      </c>
      <c r="BA23" s="65" t="s">
        <v>30</v>
      </c>
      <c r="BB23" s="65" t="s">
        <v>30</v>
      </c>
      <c r="BC23" s="65" t="s">
        <v>30</v>
      </c>
      <c r="BD23" s="65" t="s">
        <v>30</v>
      </c>
      <c r="BE23" s="65" t="s">
        <v>30</v>
      </c>
      <c r="BF23" s="65" t="s">
        <v>30</v>
      </c>
      <c r="BG23" s="65" t="s">
        <v>30</v>
      </c>
      <c r="BH23" s="65" t="s">
        <v>30</v>
      </c>
      <c r="BI23" s="65" t="s">
        <v>30</v>
      </c>
      <c r="BJ23" s="65" t="s">
        <v>30</v>
      </c>
      <c r="BK23" s="65" t="s">
        <v>30</v>
      </c>
      <c r="BM23" s="55"/>
      <c r="BN23" s="55"/>
      <c r="BO23" s="65" t="s">
        <v>30</v>
      </c>
      <c r="BP23" s="65" t="s">
        <v>30</v>
      </c>
      <c r="BQ23" s="65" t="s">
        <v>30</v>
      </c>
      <c r="BR23" s="65" t="s">
        <v>30</v>
      </c>
      <c r="BS23" s="65" t="s">
        <v>30</v>
      </c>
      <c r="BT23" s="65" t="s">
        <v>30</v>
      </c>
      <c r="BU23" s="65" t="s">
        <v>30</v>
      </c>
      <c r="BV23" s="65" t="s">
        <v>30</v>
      </c>
      <c r="BW23" s="65" t="s">
        <v>30</v>
      </c>
      <c r="BX23" s="65" t="s">
        <v>30</v>
      </c>
      <c r="BY23" s="65" t="s">
        <v>30</v>
      </c>
      <c r="BZ23" s="65" t="s">
        <v>30</v>
      </c>
      <c r="CA23" s="65" t="s">
        <v>30</v>
      </c>
    </row>
    <row r="24" spans="1:79" s="76" customFormat="1" ht="15">
      <c r="A24" s="63" t="s">
        <v>43</v>
      </c>
      <c r="B24" s="24"/>
      <c r="C24" s="66">
        <f aca="true" t="shared" si="7" ref="C24:O24">SUM(C17:C22)</f>
        <v>551874.74</v>
      </c>
      <c r="D24" s="66">
        <f t="shared" si="7"/>
        <v>54665.62</v>
      </c>
      <c r="E24" s="66">
        <f t="shared" si="7"/>
        <v>166640.15</v>
      </c>
      <c r="F24" s="66">
        <f t="shared" si="7"/>
        <v>323888.1</v>
      </c>
      <c r="G24" s="66">
        <f t="shared" si="7"/>
        <v>308145.93</v>
      </c>
      <c r="H24" s="66">
        <f t="shared" si="7"/>
        <v>122268.29999999999</v>
      </c>
      <c r="I24" s="66">
        <f t="shared" si="7"/>
        <v>96767.23</v>
      </c>
      <c r="J24" s="66">
        <f t="shared" si="7"/>
        <v>116584.98</v>
      </c>
      <c r="K24" s="66">
        <f t="shared" si="7"/>
        <v>63973.17</v>
      </c>
      <c r="L24" s="66">
        <f t="shared" si="7"/>
        <v>120060.51</v>
      </c>
      <c r="M24" s="66">
        <f t="shared" si="7"/>
        <v>264063.64</v>
      </c>
      <c r="N24" s="66">
        <f t="shared" si="7"/>
        <v>160599.63</v>
      </c>
      <c r="O24" s="66">
        <f t="shared" si="7"/>
        <v>2349532</v>
      </c>
      <c r="P24" s="24"/>
      <c r="Q24" s="63" t="s">
        <v>43</v>
      </c>
      <c r="R24" s="24"/>
      <c r="S24" s="66">
        <f aca="true" t="shared" si="8" ref="S24:AE24">SUM(S17:S22)</f>
        <v>53679.66</v>
      </c>
      <c r="T24" s="66">
        <f t="shared" si="8"/>
        <v>305924.31</v>
      </c>
      <c r="U24" s="66">
        <f t="shared" si="8"/>
        <v>80953.71</v>
      </c>
      <c r="V24" s="66">
        <f t="shared" si="8"/>
        <v>121464.00999999998</v>
      </c>
      <c r="W24" s="66">
        <f t="shared" si="8"/>
        <v>184756</v>
      </c>
      <c r="X24" s="66">
        <f t="shared" si="8"/>
        <v>243623.17</v>
      </c>
      <c r="Y24" s="66">
        <f t="shared" si="8"/>
        <v>93594.99</v>
      </c>
      <c r="Z24" s="66">
        <f t="shared" si="8"/>
        <v>137537.12</v>
      </c>
      <c r="AA24" s="66">
        <f t="shared" si="8"/>
        <v>77801.15</v>
      </c>
      <c r="AB24" s="66">
        <f t="shared" si="8"/>
        <v>72250.07</v>
      </c>
      <c r="AC24" s="66">
        <f t="shared" si="8"/>
        <v>239752.68</v>
      </c>
      <c r="AD24" s="66">
        <f t="shared" si="8"/>
        <v>166456.79</v>
      </c>
      <c r="AE24" s="66">
        <f t="shared" si="8"/>
        <v>1777793.6600000001</v>
      </c>
      <c r="AF24" s="24"/>
      <c r="AG24" s="63" t="s">
        <v>43</v>
      </c>
      <c r="AH24" s="24"/>
      <c r="AI24" s="66">
        <f aca="true" t="shared" si="9" ref="AI24:AU24">SUM(AI17:AI22)</f>
        <v>161916.15</v>
      </c>
      <c r="AJ24" s="66">
        <f t="shared" si="9"/>
        <v>217080.38</v>
      </c>
      <c r="AK24" s="66">
        <f t="shared" si="9"/>
        <v>189635.8</v>
      </c>
      <c r="AL24" s="66">
        <f t="shared" si="9"/>
        <v>125867.04999999999</v>
      </c>
      <c r="AM24" s="66">
        <f t="shared" si="9"/>
        <v>99195.92</v>
      </c>
      <c r="AN24" s="66">
        <f t="shared" si="9"/>
        <v>404089.9</v>
      </c>
      <c r="AO24" s="66">
        <f t="shared" si="9"/>
        <v>196218.41</v>
      </c>
      <c r="AP24" s="66">
        <f t="shared" si="9"/>
        <v>267674.4</v>
      </c>
      <c r="AQ24" s="66">
        <f t="shared" si="9"/>
        <v>95853.58</v>
      </c>
      <c r="AR24" s="66">
        <f t="shared" si="9"/>
        <v>82253.05</v>
      </c>
      <c r="AS24" s="66">
        <f t="shared" si="9"/>
        <v>81892.15</v>
      </c>
      <c r="AT24" s="66">
        <f t="shared" si="9"/>
        <v>672101.3600000001</v>
      </c>
      <c r="AU24" s="66">
        <f t="shared" si="9"/>
        <v>2593778.15</v>
      </c>
      <c r="AW24" s="63" t="s">
        <v>43</v>
      </c>
      <c r="AX24" s="24"/>
      <c r="AY24" s="66">
        <f aca="true" t="shared" si="10" ref="AY24:BK24">SUM(AY17:AY22)</f>
        <v>494276.13</v>
      </c>
      <c r="AZ24" s="66">
        <f t="shared" si="10"/>
        <v>176420.92</v>
      </c>
      <c r="BA24" s="66">
        <f t="shared" si="10"/>
        <v>125726.62</v>
      </c>
      <c r="BB24" s="66">
        <f t="shared" si="10"/>
        <v>115613</v>
      </c>
      <c r="BC24" s="66">
        <f t="shared" si="10"/>
        <v>84160</v>
      </c>
      <c r="BD24" s="66">
        <f t="shared" si="10"/>
        <v>209632</v>
      </c>
      <c r="BE24" s="66">
        <f t="shared" si="10"/>
        <v>86312</v>
      </c>
      <c r="BF24" s="66">
        <f t="shared" si="10"/>
        <v>155899</v>
      </c>
      <c r="BG24" s="66">
        <f t="shared" si="10"/>
        <v>341182</v>
      </c>
      <c r="BH24" s="66">
        <f t="shared" si="10"/>
        <v>310739.05</v>
      </c>
      <c r="BI24" s="66">
        <f t="shared" si="10"/>
        <v>81892.15</v>
      </c>
      <c r="BJ24" s="66">
        <f t="shared" si="10"/>
        <v>519112.02999999997</v>
      </c>
      <c r="BK24" s="66">
        <f t="shared" si="10"/>
        <v>2700964.9</v>
      </c>
      <c r="BM24" s="63" t="s">
        <v>43</v>
      </c>
      <c r="BN24" s="24"/>
      <c r="BO24" s="66">
        <f aca="true" t="shared" si="11" ref="BO24:CA24">SUM(BO17:BO22)</f>
        <v>83629</v>
      </c>
      <c r="BP24" s="66">
        <f t="shared" si="11"/>
        <v>71847</v>
      </c>
      <c r="BQ24" s="66">
        <f t="shared" si="11"/>
        <v>100727</v>
      </c>
      <c r="BR24" s="66">
        <f t="shared" si="11"/>
        <v>106191</v>
      </c>
      <c r="BS24" s="66">
        <f t="shared" si="11"/>
        <v>84160</v>
      </c>
      <c r="BT24" s="66">
        <f t="shared" si="11"/>
        <v>297119</v>
      </c>
      <c r="BU24" s="66">
        <f t="shared" si="11"/>
        <v>86312</v>
      </c>
      <c r="BV24" s="66">
        <f t="shared" si="11"/>
        <v>95899</v>
      </c>
      <c r="BW24" s="66">
        <f t="shared" si="11"/>
        <v>96542</v>
      </c>
      <c r="BX24" s="66">
        <f t="shared" si="11"/>
        <v>82253</v>
      </c>
      <c r="BY24" s="66">
        <f t="shared" si="11"/>
        <v>81892.15</v>
      </c>
      <c r="BZ24" s="66">
        <f t="shared" si="11"/>
        <v>294269</v>
      </c>
      <c r="CA24" s="66">
        <f t="shared" si="11"/>
        <v>1480840.15</v>
      </c>
    </row>
    <row r="25" spans="1:79" ht="15">
      <c r="A25" s="55"/>
      <c r="B25" s="55"/>
      <c r="C25" s="65" t="s">
        <v>30</v>
      </c>
      <c r="D25" s="65" t="s">
        <v>30</v>
      </c>
      <c r="E25" s="65" t="s">
        <v>30</v>
      </c>
      <c r="F25" s="65" t="s">
        <v>30</v>
      </c>
      <c r="G25" s="65" t="s">
        <v>30</v>
      </c>
      <c r="H25" s="65" t="s">
        <v>30</v>
      </c>
      <c r="I25" s="65" t="s">
        <v>30</v>
      </c>
      <c r="J25" s="65" t="s">
        <v>30</v>
      </c>
      <c r="K25" s="65" t="s">
        <v>30</v>
      </c>
      <c r="L25" s="65" t="s">
        <v>30</v>
      </c>
      <c r="M25" s="65" t="s">
        <v>30</v>
      </c>
      <c r="N25" s="65" t="s">
        <v>30</v>
      </c>
      <c r="O25" s="59" t="s">
        <v>30</v>
      </c>
      <c r="P25" s="55"/>
      <c r="Q25" s="55"/>
      <c r="R25" s="55"/>
      <c r="S25" s="65" t="s">
        <v>30</v>
      </c>
      <c r="T25" s="65" t="s">
        <v>30</v>
      </c>
      <c r="U25" s="65" t="s">
        <v>30</v>
      </c>
      <c r="V25" s="65" t="s">
        <v>30</v>
      </c>
      <c r="W25" s="65" t="s">
        <v>30</v>
      </c>
      <c r="X25" s="65" t="s">
        <v>30</v>
      </c>
      <c r="Y25" s="65" t="s">
        <v>30</v>
      </c>
      <c r="Z25" s="65" t="s">
        <v>30</v>
      </c>
      <c r="AA25" s="65" t="s">
        <v>30</v>
      </c>
      <c r="AB25" s="65" t="s">
        <v>30</v>
      </c>
      <c r="AC25" s="65" t="s">
        <v>30</v>
      </c>
      <c r="AD25" s="65" t="s">
        <v>30</v>
      </c>
      <c r="AE25" s="59" t="s">
        <v>30</v>
      </c>
      <c r="AF25" s="55"/>
      <c r="AG25" s="55"/>
      <c r="AH25" s="55"/>
      <c r="AI25" s="65" t="s">
        <v>30</v>
      </c>
      <c r="AJ25" s="65" t="s">
        <v>30</v>
      </c>
      <c r="AK25" s="65" t="s">
        <v>30</v>
      </c>
      <c r="AL25" s="65" t="s">
        <v>30</v>
      </c>
      <c r="AM25" s="65" t="s">
        <v>30</v>
      </c>
      <c r="AN25" s="65" t="s">
        <v>30</v>
      </c>
      <c r="AO25" s="65" t="s">
        <v>30</v>
      </c>
      <c r="AP25" s="65" t="s">
        <v>30</v>
      </c>
      <c r="AQ25" s="65" t="s">
        <v>30</v>
      </c>
      <c r="AR25" s="65" t="s">
        <v>30</v>
      </c>
      <c r="AS25" s="65" t="s">
        <v>30</v>
      </c>
      <c r="AT25" s="65" t="s">
        <v>30</v>
      </c>
      <c r="AU25" s="65" t="s">
        <v>30</v>
      </c>
      <c r="AW25" s="55"/>
      <c r="AX25" s="55"/>
      <c r="AY25" s="65" t="s">
        <v>30</v>
      </c>
      <c r="AZ25" s="65" t="s">
        <v>30</v>
      </c>
      <c r="BA25" s="65" t="s">
        <v>30</v>
      </c>
      <c r="BB25" s="65" t="s">
        <v>30</v>
      </c>
      <c r="BC25" s="65" t="s">
        <v>30</v>
      </c>
      <c r="BD25" s="65" t="s">
        <v>30</v>
      </c>
      <c r="BE25" s="65" t="s">
        <v>30</v>
      </c>
      <c r="BF25" s="65" t="s">
        <v>30</v>
      </c>
      <c r="BG25" s="65" t="s">
        <v>30</v>
      </c>
      <c r="BH25" s="65" t="s">
        <v>30</v>
      </c>
      <c r="BI25" s="65" t="s">
        <v>30</v>
      </c>
      <c r="BJ25" s="65" t="s">
        <v>30</v>
      </c>
      <c r="BK25" s="65" t="s">
        <v>30</v>
      </c>
      <c r="BM25" s="55"/>
      <c r="BN25" s="55"/>
      <c r="BO25" s="65" t="s">
        <v>30</v>
      </c>
      <c r="BP25" s="65" t="s">
        <v>30</v>
      </c>
      <c r="BQ25" s="65" t="s">
        <v>30</v>
      </c>
      <c r="BR25" s="65" t="s">
        <v>30</v>
      </c>
      <c r="BS25" s="65" t="s">
        <v>30</v>
      </c>
      <c r="BT25" s="65" t="s">
        <v>30</v>
      </c>
      <c r="BU25" s="65" t="s">
        <v>30</v>
      </c>
      <c r="BV25" s="65" t="s">
        <v>30</v>
      </c>
      <c r="BW25" s="65" t="s">
        <v>30</v>
      </c>
      <c r="BX25" s="65" t="s">
        <v>30</v>
      </c>
      <c r="BY25" s="65" t="s">
        <v>30</v>
      </c>
      <c r="BZ25" s="65" t="s">
        <v>30</v>
      </c>
      <c r="CA25" s="65" t="s">
        <v>30</v>
      </c>
    </row>
    <row r="26" spans="1:79" ht="15">
      <c r="A26" s="55"/>
      <c r="B26" s="5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5"/>
      <c r="P26" s="55"/>
      <c r="Q26" s="55"/>
      <c r="R26" s="55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5"/>
      <c r="AF26" s="55"/>
      <c r="AG26" s="55"/>
      <c r="AH26" s="5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W26" s="55"/>
      <c r="AX26" s="55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M26" s="55"/>
      <c r="BN26" s="55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ht="15">
      <c r="A27" s="60" t="s">
        <v>44</v>
      </c>
      <c r="B27" s="5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5"/>
      <c r="P27" s="55"/>
      <c r="Q27" s="60" t="s">
        <v>44</v>
      </c>
      <c r="R27" s="55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5"/>
      <c r="AF27" s="55"/>
      <c r="AG27" s="60" t="s">
        <v>44</v>
      </c>
      <c r="AH27" s="5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W27" s="60" t="s">
        <v>44</v>
      </c>
      <c r="AX27" s="55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M27" s="60" t="s">
        <v>44</v>
      </c>
      <c r="BN27" s="55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76" customFormat="1" ht="15">
      <c r="A28" s="63" t="s">
        <v>45</v>
      </c>
      <c r="B28" s="24"/>
      <c r="C28" s="18">
        <f>105243.17</f>
        <v>105243.17</v>
      </c>
      <c r="D28" s="18">
        <v>87451.96</v>
      </c>
      <c r="E28" s="18">
        <v>120263.04</v>
      </c>
      <c r="F28" s="18">
        <v>86871.11</v>
      </c>
      <c r="G28" s="18">
        <v>75654.99</v>
      </c>
      <c r="H28" s="18">
        <v>73761.63</v>
      </c>
      <c r="I28" s="18">
        <v>81467.21</v>
      </c>
      <c r="J28" s="18">
        <v>117680.72</v>
      </c>
      <c r="K28" s="18">
        <v>77340.2</v>
      </c>
      <c r="L28" s="18">
        <v>90063.07</v>
      </c>
      <c r="M28" s="18">
        <v>93496.67</v>
      </c>
      <c r="N28" s="18">
        <v>93713.22</v>
      </c>
      <c r="O28" s="66">
        <f>SUM(C28:N28)</f>
        <v>1103006.99</v>
      </c>
      <c r="P28" s="24"/>
      <c r="Q28" s="63" t="s">
        <v>45</v>
      </c>
      <c r="R28" s="24"/>
      <c r="S28" s="18">
        <v>101780.21</v>
      </c>
      <c r="T28" s="18">
        <v>96303.9</v>
      </c>
      <c r="U28" s="18">
        <v>154837.81</v>
      </c>
      <c r="V28" s="18">
        <v>97419.13</v>
      </c>
      <c r="W28" s="18">
        <v>81261.05</v>
      </c>
      <c r="X28" s="18">
        <v>80315.1</v>
      </c>
      <c r="Y28" s="18">
        <v>83460.81</v>
      </c>
      <c r="Z28" s="18">
        <v>120709.26</v>
      </c>
      <c r="AA28" s="18">
        <v>91513.6</v>
      </c>
      <c r="AB28" s="18">
        <v>91017.64</v>
      </c>
      <c r="AC28" s="18">
        <v>92774.69</v>
      </c>
      <c r="AD28" s="18">
        <v>93065.9</v>
      </c>
      <c r="AE28" s="66">
        <f>SUM(S28:AD28)</f>
        <v>1184459.0999999999</v>
      </c>
      <c r="AF28" s="24"/>
      <c r="AG28" s="63" t="s">
        <v>45</v>
      </c>
      <c r="AH28" s="24"/>
      <c r="AI28" s="79">
        <v>198477.58</v>
      </c>
      <c r="AJ28" s="79">
        <v>101132.7</v>
      </c>
      <c r="AK28" s="24">
        <v>99315.6</v>
      </c>
      <c r="AL28" s="24">
        <v>96480.55</v>
      </c>
      <c r="AM28" s="24">
        <v>83859.16</v>
      </c>
      <c r="AN28" s="24">
        <v>90399.07</v>
      </c>
      <c r="AO28" s="24">
        <v>95229.66</v>
      </c>
      <c r="AP28" s="24">
        <v>128307.98</v>
      </c>
      <c r="AQ28" s="24">
        <v>84023.28</v>
      </c>
      <c r="AR28" s="24">
        <v>92751</v>
      </c>
      <c r="AS28" s="24">
        <v>100515</v>
      </c>
      <c r="AT28" s="24">
        <v>136106</v>
      </c>
      <c r="AU28" s="18">
        <f aca="true" t="shared" si="12" ref="AU28:AU33">SUM(AI28:AT28)</f>
        <v>1306597.58</v>
      </c>
      <c r="AW28" s="63" t="s">
        <v>45</v>
      </c>
      <c r="AX28" s="24"/>
      <c r="AY28" s="79">
        <v>168775</v>
      </c>
      <c r="AZ28" s="79">
        <v>109792</v>
      </c>
      <c r="BA28" s="79">
        <v>81915</v>
      </c>
      <c r="BB28" s="79">
        <v>99224</v>
      </c>
      <c r="BC28" s="80">
        <v>86720</v>
      </c>
      <c r="BD28" s="79">
        <v>85644</v>
      </c>
      <c r="BE28" s="79">
        <v>143916</v>
      </c>
      <c r="BF28" s="79">
        <v>84184</v>
      </c>
      <c r="BG28" s="79">
        <v>83799</v>
      </c>
      <c r="BH28" s="79">
        <v>106201</v>
      </c>
      <c r="BI28" s="79">
        <f>BH28</f>
        <v>106201</v>
      </c>
      <c r="BJ28" s="79">
        <f>BI28</f>
        <v>106201</v>
      </c>
      <c r="BK28" s="18">
        <f aca="true" t="shared" si="13" ref="BK28:BK33">SUM(AY28:BJ28)</f>
        <v>1262572</v>
      </c>
      <c r="BM28" s="63" t="s">
        <v>45</v>
      </c>
      <c r="BN28" s="24"/>
      <c r="BO28" s="79">
        <v>114095</v>
      </c>
      <c r="BP28" s="79">
        <v>114095</v>
      </c>
      <c r="BQ28" s="79">
        <v>114095</v>
      </c>
      <c r="BR28" s="79">
        <v>114095</v>
      </c>
      <c r="BS28" s="79">
        <v>114095</v>
      </c>
      <c r="BT28" s="79">
        <v>114095</v>
      </c>
      <c r="BU28" s="79">
        <v>114095</v>
      </c>
      <c r="BV28" s="79">
        <v>114095</v>
      </c>
      <c r="BW28" s="79">
        <v>114095</v>
      </c>
      <c r="BX28" s="79">
        <v>114095</v>
      </c>
      <c r="BY28" s="79">
        <v>114095</v>
      </c>
      <c r="BZ28" s="79">
        <v>114095</v>
      </c>
      <c r="CA28" s="18">
        <f aca="true" t="shared" si="14" ref="CA28:CA33">SUM(BO28:BZ28)</f>
        <v>1369140</v>
      </c>
    </row>
    <row r="29" spans="1:79" s="76" customFormat="1" ht="15">
      <c r="A29" s="63" t="s">
        <v>37</v>
      </c>
      <c r="B29" s="24"/>
      <c r="C29" s="24"/>
      <c r="D29" s="24"/>
      <c r="E29" s="24"/>
      <c r="F29" s="24"/>
      <c r="G29" s="24"/>
      <c r="H29" s="24">
        <v>300000</v>
      </c>
      <c r="I29" s="24"/>
      <c r="J29" s="24"/>
      <c r="K29" s="24"/>
      <c r="L29" s="24"/>
      <c r="M29" s="24"/>
      <c r="N29" s="24">
        <v>200000</v>
      </c>
      <c r="O29" s="66">
        <f>SUM(C29:N29)</f>
        <v>500000</v>
      </c>
      <c r="P29" s="24"/>
      <c r="Q29" s="63" t="s">
        <v>37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>
        <v>250000</v>
      </c>
      <c r="AE29" s="66">
        <f>SUM(S29:AD29)</f>
        <v>250000</v>
      </c>
      <c r="AF29" s="24"/>
      <c r="AG29" s="63" t="s">
        <v>37</v>
      </c>
      <c r="AH29" s="24"/>
      <c r="AI29" s="24"/>
      <c r="AJ29" s="24"/>
      <c r="AS29" s="76">
        <v>150000</v>
      </c>
      <c r="AT29" s="76" t="s">
        <v>0</v>
      </c>
      <c r="AU29" s="75">
        <f t="shared" si="12"/>
        <v>150000</v>
      </c>
      <c r="AW29" s="63" t="s">
        <v>37</v>
      </c>
      <c r="AX29" s="24"/>
      <c r="AY29" s="24">
        <v>307000</v>
      </c>
      <c r="AZ29" s="24"/>
      <c r="BK29" s="81">
        <f t="shared" si="13"/>
        <v>307000</v>
      </c>
      <c r="BM29" s="63" t="s">
        <v>37</v>
      </c>
      <c r="BN29" s="24"/>
      <c r="BO29" s="24"/>
      <c r="BP29" s="24"/>
      <c r="CA29" s="81">
        <f t="shared" si="14"/>
        <v>0</v>
      </c>
    </row>
    <row r="30" spans="1:79" s="76" customFormat="1" ht="15">
      <c r="A30" s="6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6"/>
      <c r="P30" s="24"/>
      <c r="Q30" s="6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66"/>
      <c r="AF30" s="24"/>
      <c r="AG30" s="63" t="s">
        <v>135</v>
      </c>
      <c r="AH30" s="24"/>
      <c r="AI30" s="24">
        <v>12129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18">
        <f t="shared" si="12"/>
        <v>12129</v>
      </c>
      <c r="AW30" s="63" t="s">
        <v>135</v>
      </c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18">
        <f t="shared" si="13"/>
        <v>0</v>
      </c>
      <c r="BM30" s="63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18">
        <f t="shared" si="14"/>
        <v>0</v>
      </c>
    </row>
    <row r="31" spans="1:79" s="76" customFormat="1" ht="15">
      <c r="A31" s="63" t="s">
        <v>136</v>
      </c>
      <c r="B31" s="24"/>
      <c r="C31" s="24"/>
      <c r="D31" s="24">
        <v>200000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6">
        <f>SUM(C31:N31)</f>
        <v>200000</v>
      </c>
      <c r="P31" s="24"/>
      <c r="Q31" s="63" t="s">
        <v>145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66">
        <f>SUM(S31:AD31)</f>
        <v>0</v>
      </c>
      <c r="AF31" s="24"/>
      <c r="AG31" s="63" t="s">
        <v>137</v>
      </c>
      <c r="AH31" s="24"/>
      <c r="AI31" s="24"/>
      <c r="AJ31" s="24"/>
      <c r="AK31" s="24"/>
      <c r="AL31" s="24"/>
      <c r="AM31" s="24"/>
      <c r="AN31" s="24"/>
      <c r="AO31" s="24"/>
      <c r="AP31" s="24">
        <v>78366</v>
      </c>
      <c r="AQ31" s="24"/>
      <c r="AR31" s="24" t="s">
        <v>0</v>
      </c>
      <c r="AS31" s="24"/>
      <c r="AT31" s="24">
        <v>295588</v>
      </c>
      <c r="AU31" s="18">
        <f t="shared" si="12"/>
        <v>373954</v>
      </c>
      <c r="AW31" s="63" t="s">
        <v>147</v>
      </c>
      <c r="AX31" s="24"/>
      <c r="AY31" s="24"/>
      <c r="AZ31" s="24"/>
      <c r="BA31" s="24"/>
      <c r="BB31" s="24"/>
      <c r="BC31" s="24"/>
      <c r="BD31" s="24">
        <v>115347</v>
      </c>
      <c r="BE31" s="24"/>
      <c r="BF31" s="24"/>
      <c r="BG31" s="24"/>
      <c r="BH31" s="24">
        <v>115347</v>
      </c>
      <c r="BI31" s="24"/>
      <c r="BJ31" s="24">
        <v>240092</v>
      </c>
      <c r="BK31" s="18">
        <f t="shared" si="13"/>
        <v>470786</v>
      </c>
      <c r="BM31" s="63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 t="s">
        <v>0</v>
      </c>
      <c r="BY31" s="24"/>
      <c r="BZ31" s="24"/>
      <c r="CA31" s="18">
        <f t="shared" si="14"/>
        <v>0</v>
      </c>
    </row>
    <row r="32" spans="1:79" s="76" customFormat="1" ht="15">
      <c r="A32" s="6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6"/>
      <c r="P32" s="24"/>
      <c r="Q32" s="6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66"/>
      <c r="AF32" s="24"/>
      <c r="AG32" s="63" t="s">
        <v>138</v>
      </c>
      <c r="AH32" s="24"/>
      <c r="AI32" s="24"/>
      <c r="AJ32" s="24"/>
      <c r="AK32" s="24"/>
      <c r="AL32" s="24"/>
      <c r="AM32" s="24"/>
      <c r="AN32" s="24"/>
      <c r="AO32" s="24"/>
      <c r="AP32" s="24">
        <v>242.76</v>
      </c>
      <c r="AQ32" s="24"/>
      <c r="AR32" s="24"/>
      <c r="AS32" s="24"/>
      <c r="AT32" s="24">
        <v>3087</v>
      </c>
      <c r="AU32" s="18">
        <f t="shared" si="12"/>
        <v>3329.76</v>
      </c>
      <c r="AW32" s="63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18">
        <f t="shared" si="13"/>
        <v>0</v>
      </c>
      <c r="BM32" s="63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18">
        <f t="shared" si="14"/>
        <v>0</v>
      </c>
    </row>
    <row r="33" spans="1:79" s="76" customFormat="1" ht="15">
      <c r="A33" s="63" t="s">
        <v>47</v>
      </c>
      <c r="B33" s="24"/>
      <c r="C33" s="24">
        <f>265942.33-C28</f>
        <v>160699.16000000003</v>
      </c>
      <c r="D33" s="18">
        <f>414761.73-D31-D28</f>
        <v>127309.76999999997</v>
      </c>
      <c r="E33" s="18">
        <f>160218.92-E28</f>
        <v>39955.88000000002</v>
      </c>
      <c r="F33" s="18">
        <f>116041.93-F28</f>
        <v>29170.819999999992</v>
      </c>
      <c r="G33" s="18">
        <f>114111.48-G28</f>
        <v>38456.48999999999</v>
      </c>
      <c r="H33" s="18">
        <f>410682.86-H29-H28</f>
        <v>36921.22999999998</v>
      </c>
      <c r="I33" s="18">
        <f>107581.4-I28</f>
        <v>26114.189999999988</v>
      </c>
      <c r="J33" s="18">
        <f>144917.47-J28</f>
        <v>27236.75</v>
      </c>
      <c r="K33" s="18">
        <f>133621.3-K28</f>
        <v>56281.09999999999</v>
      </c>
      <c r="L33" s="18">
        <f>150271.26-L28</f>
        <v>60208.19</v>
      </c>
      <c r="M33" s="18">
        <f>119758.14-M28</f>
        <v>26261.47</v>
      </c>
      <c r="N33" s="18">
        <f>318821.4-N29-N28</f>
        <v>25108.180000000022</v>
      </c>
      <c r="O33" s="66">
        <f>SUM(C33:N33)</f>
        <v>653723.2300000001</v>
      </c>
      <c r="P33" s="24"/>
      <c r="Q33" s="63" t="s">
        <v>47</v>
      </c>
      <c r="R33" s="24"/>
      <c r="S33" s="24">
        <f>140440.36-S28</f>
        <v>38660.14999999998</v>
      </c>
      <c r="T33" s="18">
        <f>116184.9-T28</f>
        <v>19881</v>
      </c>
      <c r="U33" s="18">
        <f>172763.88-U28</f>
        <v>17926.070000000007</v>
      </c>
      <c r="V33" s="18">
        <f>119433.13-V28</f>
        <v>22014</v>
      </c>
      <c r="W33" s="18">
        <f>103494.44-W28</f>
        <v>22233.39</v>
      </c>
      <c r="X33" s="18">
        <f>99188.18-X28</f>
        <v>18873.079999999987</v>
      </c>
      <c r="Y33" s="18">
        <f>92317.45-Y28</f>
        <v>8856.64</v>
      </c>
      <c r="Z33" s="18">
        <f>128188.04-Z28</f>
        <v>7478.779999999999</v>
      </c>
      <c r="AA33" s="18">
        <f>96998.07-AA28</f>
        <v>5484.470000000001</v>
      </c>
      <c r="AB33" s="18">
        <f>108651.42-AB28</f>
        <v>17633.78</v>
      </c>
      <c r="AC33" s="18">
        <f>8345.88+3163.94</f>
        <v>11509.82</v>
      </c>
      <c r="AD33" s="18">
        <f>10332.15+1704.7</f>
        <v>12036.85</v>
      </c>
      <c r="AE33" s="66">
        <f>SUM(S33:AD33)</f>
        <v>202588.02999999997</v>
      </c>
      <c r="AF33" s="24"/>
      <c r="AG33" s="63" t="s">
        <v>47</v>
      </c>
      <c r="AH33" s="24"/>
      <c r="AI33" s="18">
        <f>366436.06-AI28-AI29-AI30</f>
        <v>155829.48</v>
      </c>
      <c r="AJ33" s="18">
        <f>187587.85-AJ28</f>
        <v>86455.15000000001</v>
      </c>
      <c r="AK33" s="18">
        <f>167608.22-AK28</f>
        <v>68292.62</v>
      </c>
      <c r="AL33" s="18">
        <f>150821.11-AL28</f>
        <v>54340.55999999998</v>
      </c>
      <c r="AM33" s="18">
        <f>101823.51-AM28</f>
        <v>17964.34999999999</v>
      </c>
      <c r="AN33" s="18">
        <f>111801.17-AN28</f>
        <v>21402.09999999999</v>
      </c>
      <c r="AO33" s="18">
        <f>120024.54-AO28</f>
        <v>24794.87999999999</v>
      </c>
      <c r="AP33" s="18">
        <f>244906.15-AP28-AP31-AP32</f>
        <v>37989.409999999996</v>
      </c>
      <c r="AQ33" s="18">
        <f>100514.24-AQ28</f>
        <v>16490.960000000006</v>
      </c>
      <c r="AR33" s="18">
        <f>125749.12-AR28</f>
        <v>32998.119999999995</v>
      </c>
      <c r="AS33" s="18">
        <f>295650.7-AS28-AS29</f>
        <v>45135.70000000001</v>
      </c>
      <c r="AT33" s="18">
        <f>463812.68-AT28-AT31-AT32</f>
        <v>29031.679999999993</v>
      </c>
      <c r="AU33" s="18">
        <f t="shared" si="12"/>
        <v>590725.01</v>
      </c>
      <c r="AW33" s="63" t="s">
        <v>47</v>
      </c>
      <c r="AX33" s="24"/>
      <c r="AY33" s="18">
        <f>609098.09-AY28-AY29-AY32</f>
        <v>133323.08999999997</v>
      </c>
      <c r="AZ33" s="18">
        <f>275436.78-AZ28</f>
        <v>165644.78000000003</v>
      </c>
      <c r="BA33" s="18">
        <f>133863.42-BA28</f>
        <v>51948.42000000001</v>
      </c>
      <c r="BB33" s="18">
        <v>30317</v>
      </c>
      <c r="BC33" s="18">
        <v>29310</v>
      </c>
      <c r="BD33" s="18">
        <f>149964-115347</f>
        <v>34617</v>
      </c>
      <c r="BE33" s="18">
        <v>30746</v>
      </c>
      <c r="BF33" s="18">
        <v>26054</v>
      </c>
      <c r="BG33" s="18">
        <v>87204</v>
      </c>
      <c r="BH33" s="18">
        <f>AR33</f>
        <v>32998.119999999995</v>
      </c>
      <c r="BI33" s="18">
        <v>45135</v>
      </c>
      <c r="BJ33" s="18">
        <v>32119</v>
      </c>
      <c r="BK33" s="18">
        <f t="shared" si="13"/>
        <v>699416.41</v>
      </c>
      <c r="BM33" s="63" t="s">
        <v>47</v>
      </c>
      <c r="BN33" s="24"/>
      <c r="BO33" s="18">
        <v>14000</v>
      </c>
      <c r="BP33" s="18">
        <v>14000</v>
      </c>
      <c r="BQ33" s="18">
        <v>14000</v>
      </c>
      <c r="BR33" s="18">
        <v>14000</v>
      </c>
      <c r="BS33" s="18">
        <v>14000</v>
      </c>
      <c r="BT33" s="18">
        <v>14000</v>
      </c>
      <c r="BU33" s="18">
        <v>14000</v>
      </c>
      <c r="BV33" s="18">
        <v>14000</v>
      </c>
      <c r="BW33" s="18">
        <v>14000</v>
      </c>
      <c r="BX33" s="18">
        <v>14000</v>
      </c>
      <c r="BY33" s="18">
        <v>14000</v>
      </c>
      <c r="BZ33" s="18">
        <f>14000-2000</f>
        <v>12000</v>
      </c>
      <c r="CA33" s="18">
        <f t="shared" si="14"/>
        <v>166000</v>
      </c>
    </row>
    <row r="34" spans="1:79" ht="15">
      <c r="A34" s="55"/>
      <c r="B34" s="55"/>
      <c r="C34" s="65" t="s">
        <v>30</v>
      </c>
      <c r="D34" s="65" t="s">
        <v>30</v>
      </c>
      <c r="E34" s="65" t="s">
        <v>30</v>
      </c>
      <c r="F34" s="65" t="s">
        <v>30</v>
      </c>
      <c r="G34" s="65" t="s">
        <v>30</v>
      </c>
      <c r="H34" s="65" t="s">
        <v>30</v>
      </c>
      <c r="I34" s="65" t="s">
        <v>30</v>
      </c>
      <c r="J34" s="65" t="s">
        <v>30</v>
      </c>
      <c r="K34" s="65" t="s">
        <v>30</v>
      </c>
      <c r="L34" s="65" t="s">
        <v>30</v>
      </c>
      <c r="M34" s="65" t="s">
        <v>30</v>
      </c>
      <c r="N34" s="65" t="s">
        <v>30</v>
      </c>
      <c r="O34" s="59" t="s">
        <v>30</v>
      </c>
      <c r="P34" s="55"/>
      <c r="Q34" s="55"/>
      <c r="R34" s="55"/>
      <c r="S34" s="65" t="s">
        <v>30</v>
      </c>
      <c r="T34" s="65" t="s">
        <v>30</v>
      </c>
      <c r="U34" s="65" t="s">
        <v>30</v>
      </c>
      <c r="V34" s="65" t="s">
        <v>30</v>
      </c>
      <c r="W34" s="65" t="s">
        <v>30</v>
      </c>
      <c r="X34" s="65" t="s">
        <v>30</v>
      </c>
      <c r="Y34" s="65" t="s">
        <v>30</v>
      </c>
      <c r="Z34" s="65" t="s">
        <v>30</v>
      </c>
      <c r="AA34" s="65" t="s">
        <v>30</v>
      </c>
      <c r="AB34" s="65" t="s">
        <v>30</v>
      </c>
      <c r="AC34" s="65" t="s">
        <v>30</v>
      </c>
      <c r="AD34" s="65" t="s">
        <v>30</v>
      </c>
      <c r="AE34" s="59" t="s">
        <v>30</v>
      </c>
      <c r="AF34" s="55"/>
      <c r="AG34" s="55"/>
      <c r="AH34" s="55"/>
      <c r="AI34" s="65" t="s">
        <v>30</v>
      </c>
      <c r="AJ34" s="65" t="s">
        <v>30</v>
      </c>
      <c r="AK34" s="65" t="s">
        <v>30</v>
      </c>
      <c r="AL34" s="65" t="s">
        <v>30</v>
      </c>
      <c r="AM34" s="65" t="s">
        <v>30</v>
      </c>
      <c r="AN34" s="65" t="s">
        <v>30</v>
      </c>
      <c r="AO34" s="65" t="s">
        <v>30</v>
      </c>
      <c r="AP34" s="65" t="s">
        <v>30</v>
      </c>
      <c r="AQ34" s="65" t="s">
        <v>30</v>
      </c>
      <c r="AR34" s="65" t="s">
        <v>30</v>
      </c>
      <c r="AS34" s="65" t="s">
        <v>30</v>
      </c>
      <c r="AT34" s="65" t="s">
        <v>30</v>
      </c>
      <c r="AU34" s="65" t="s">
        <v>30</v>
      </c>
      <c r="AW34" s="55"/>
      <c r="AX34" s="55"/>
      <c r="AY34" s="65" t="s">
        <v>30</v>
      </c>
      <c r="AZ34" s="65" t="s">
        <v>30</v>
      </c>
      <c r="BA34" s="65" t="s">
        <v>30</v>
      </c>
      <c r="BB34" s="65" t="s">
        <v>30</v>
      </c>
      <c r="BC34" s="65" t="s">
        <v>30</v>
      </c>
      <c r="BD34" s="65" t="s">
        <v>30</v>
      </c>
      <c r="BE34" s="65" t="s">
        <v>30</v>
      </c>
      <c r="BF34" s="65" t="s">
        <v>30</v>
      </c>
      <c r="BG34" s="65" t="s">
        <v>30</v>
      </c>
      <c r="BH34" s="65" t="s">
        <v>30</v>
      </c>
      <c r="BI34" s="65" t="s">
        <v>30</v>
      </c>
      <c r="BJ34" s="65" t="s">
        <v>30</v>
      </c>
      <c r="BK34" s="65" t="s">
        <v>30</v>
      </c>
      <c r="BM34" s="55"/>
      <c r="BN34" s="55"/>
      <c r="BO34" s="65" t="s">
        <v>30</v>
      </c>
      <c r="BP34" s="65" t="s">
        <v>30</v>
      </c>
      <c r="BQ34" s="65" t="s">
        <v>30</v>
      </c>
      <c r="BR34" s="65" t="s">
        <v>30</v>
      </c>
      <c r="BS34" s="65" t="s">
        <v>30</v>
      </c>
      <c r="BT34" s="65" t="s">
        <v>30</v>
      </c>
      <c r="BU34" s="65" t="s">
        <v>30</v>
      </c>
      <c r="BV34" s="65" t="s">
        <v>30</v>
      </c>
      <c r="BW34" s="65" t="s">
        <v>30</v>
      </c>
      <c r="BX34" s="65" t="s">
        <v>30</v>
      </c>
      <c r="BY34" s="65" t="s">
        <v>30</v>
      </c>
      <c r="BZ34" s="65" t="s">
        <v>30</v>
      </c>
      <c r="CA34" s="65" t="s">
        <v>30</v>
      </c>
    </row>
    <row r="35" spans="1:79" s="76" customFormat="1" ht="15">
      <c r="A35" s="63" t="s">
        <v>49</v>
      </c>
      <c r="B35" s="24"/>
      <c r="C35" s="66">
        <f aca="true" t="shared" si="15" ref="C35:O35">SUM(C28:C33)</f>
        <v>265942.33</v>
      </c>
      <c r="D35" s="66">
        <f t="shared" si="15"/>
        <v>414761.73</v>
      </c>
      <c r="E35" s="66">
        <f t="shared" si="15"/>
        <v>160218.92</v>
      </c>
      <c r="F35" s="66">
        <f t="shared" si="15"/>
        <v>116041.93</v>
      </c>
      <c r="G35" s="66">
        <f t="shared" si="15"/>
        <v>114111.48</v>
      </c>
      <c r="H35" s="66">
        <f t="shared" si="15"/>
        <v>410682.86</v>
      </c>
      <c r="I35" s="66">
        <f t="shared" si="15"/>
        <v>107581.4</v>
      </c>
      <c r="J35" s="66">
        <f t="shared" si="15"/>
        <v>144917.47</v>
      </c>
      <c r="K35" s="66">
        <f t="shared" si="15"/>
        <v>133621.3</v>
      </c>
      <c r="L35" s="66">
        <f t="shared" si="15"/>
        <v>150271.26</v>
      </c>
      <c r="M35" s="66">
        <f t="shared" si="15"/>
        <v>119758.14</v>
      </c>
      <c r="N35" s="66">
        <f t="shared" si="15"/>
        <v>318821.4</v>
      </c>
      <c r="O35" s="66">
        <f t="shared" si="15"/>
        <v>2456730.22</v>
      </c>
      <c r="P35" s="24"/>
      <c r="Q35" s="63" t="s">
        <v>49</v>
      </c>
      <c r="R35" s="24"/>
      <c r="S35" s="66">
        <f aca="true" t="shared" si="16" ref="S35:AE35">SUM(S28:S33)</f>
        <v>140440.36</v>
      </c>
      <c r="T35" s="66">
        <f t="shared" si="16"/>
        <v>116184.9</v>
      </c>
      <c r="U35" s="66">
        <f t="shared" si="16"/>
        <v>172763.88</v>
      </c>
      <c r="V35" s="66">
        <f t="shared" si="16"/>
        <v>119433.13</v>
      </c>
      <c r="W35" s="66">
        <f t="shared" si="16"/>
        <v>103494.44</v>
      </c>
      <c r="X35" s="66">
        <f t="shared" si="16"/>
        <v>99188.18</v>
      </c>
      <c r="Y35" s="66">
        <f t="shared" si="16"/>
        <v>92317.45</v>
      </c>
      <c r="Z35" s="66">
        <f t="shared" si="16"/>
        <v>128188.04</v>
      </c>
      <c r="AA35" s="66">
        <f t="shared" si="16"/>
        <v>96998.07</v>
      </c>
      <c r="AB35" s="66">
        <f t="shared" si="16"/>
        <v>108651.42</v>
      </c>
      <c r="AC35" s="66">
        <f t="shared" si="16"/>
        <v>104284.51000000001</v>
      </c>
      <c r="AD35" s="66">
        <f t="shared" si="16"/>
        <v>355102.75</v>
      </c>
      <c r="AE35" s="66">
        <f t="shared" si="16"/>
        <v>1637047.13</v>
      </c>
      <c r="AF35" s="24"/>
      <c r="AG35" s="63" t="s">
        <v>49</v>
      </c>
      <c r="AH35" s="24"/>
      <c r="AI35" s="66">
        <f aca="true" t="shared" si="17" ref="AI35:AU35">SUM(AI28:AI33)</f>
        <v>366436.06</v>
      </c>
      <c r="AJ35" s="66">
        <f t="shared" si="17"/>
        <v>187587.85</v>
      </c>
      <c r="AK35" s="66">
        <f t="shared" si="17"/>
        <v>167608.22</v>
      </c>
      <c r="AL35" s="66">
        <f t="shared" si="17"/>
        <v>150821.11</v>
      </c>
      <c r="AM35" s="66">
        <f t="shared" si="17"/>
        <v>101823.51</v>
      </c>
      <c r="AN35" s="66">
        <f t="shared" si="17"/>
        <v>111801.17</v>
      </c>
      <c r="AO35" s="66">
        <f t="shared" si="17"/>
        <v>120024.54</v>
      </c>
      <c r="AP35" s="66">
        <f t="shared" si="17"/>
        <v>244906.15</v>
      </c>
      <c r="AQ35" s="66">
        <f t="shared" si="17"/>
        <v>100514.24</v>
      </c>
      <c r="AR35" s="66">
        <f t="shared" si="17"/>
        <v>125749.12</v>
      </c>
      <c r="AS35" s="66">
        <f t="shared" si="17"/>
        <v>295650.7</v>
      </c>
      <c r="AT35" s="66">
        <f t="shared" si="17"/>
        <v>463812.68</v>
      </c>
      <c r="AU35" s="66">
        <f t="shared" si="17"/>
        <v>2436735.35</v>
      </c>
      <c r="AW35" s="63" t="s">
        <v>49</v>
      </c>
      <c r="AX35" s="24"/>
      <c r="AY35" s="66">
        <f aca="true" t="shared" si="18" ref="AY35:BK35">SUM(AY28:AY33)</f>
        <v>609098.09</v>
      </c>
      <c r="AZ35" s="66">
        <f t="shared" si="18"/>
        <v>275436.78</v>
      </c>
      <c r="BA35" s="66">
        <f t="shared" si="18"/>
        <v>133863.42</v>
      </c>
      <c r="BB35" s="66">
        <f t="shared" si="18"/>
        <v>129541</v>
      </c>
      <c r="BC35" s="66">
        <f t="shared" si="18"/>
        <v>116030</v>
      </c>
      <c r="BD35" s="66">
        <f t="shared" si="18"/>
        <v>235608</v>
      </c>
      <c r="BE35" s="66">
        <f t="shared" si="18"/>
        <v>174662</v>
      </c>
      <c r="BF35" s="66">
        <f t="shared" si="18"/>
        <v>110238</v>
      </c>
      <c r="BG35" s="66">
        <f t="shared" si="18"/>
        <v>171003</v>
      </c>
      <c r="BH35" s="66">
        <f t="shared" si="18"/>
        <v>254546.12</v>
      </c>
      <c r="BI35" s="66">
        <f t="shared" si="18"/>
        <v>151336</v>
      </c>
      <c r="BJ35" s="66">
        <f t="shared" si="18"/>
        <v>378412</v>
      </c>
      <c r="BK35" s="66">
        <f t="shared" si="18"/>
        <v>2739774.41</v>
      </c>
      <c r="BM35" s="63" t="s">
        <v>49</v>
      </c>
      <c r="BN35" s="24"/>
      <c r="BO35" s="66">
        <f aca="true" t="shared" si="19" ref="BO35:CA35">SUM(BO28:BO33)</f>
        <v>128095</v>
      </c>
      <c r="BP35" s="66">
        <f t="shared" si="19"/>
        <v>128095</v>
      </c>
      <c r="BQ35" s="66">
        <f t="shared" si="19"/>
        <v>128095</v>
      </c>
      <c r="BR35" s="66">
        <f t="shared" si="19"/>
        <v>128095</v>
      </c>
      <c r="BS35" s="66">
        <f t="shared" si="19"/>
        <v>128095</v>
      </c>
      <c r="BT35" s="66">
        <f t="shared" si="19"/>
        <v>128095</v>
      </c>
      <c r="BU35" s="66">
        <f t="shared" si="19"/>
        <v>128095</v>
      </c>
      <c r="BV35" s="66">
        <f t="shared" si="19"/>
        <v>128095</v>
      </c>
      <c r="BW35" s="66">
        <f t="shared" si="19"/>
        <v>128095</v>
      </c>
      <c r="BX35" s="66">
        <f t="shared" si="19"/>
        <v>128095</v>
      </c>
      <c r="BY35" s="66">
        <f t="shared" si="19"/>
        <v>128095</v>
      </c>
      <c r="BZ35" s="66">
        <f t="shared" si="19"/>
        <v>126095</v>
      </c>
      <c r="CA35" s="66">
        <f t="shared" si="19"/>
        <v>1535140</v>
      </c>
    </row>
    <row r="36" spans="1:79" ht="15">
      <c r="A36" s="55"/>
      <c r="B36" s="55"/>
      <c r="C36" s="59" t="s">
        <v>30</v>
      </c>
      <c r="D36" s="59" t="s">
        <v>30</v>
      </c>
      <c r="E36" s="59" t="s">
        <v>30</v>
      </c>
      <c r="F36" s="59" t="s">
        <v>30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30</v>
      </c>
      <c r="L36" s="59" t="s">
        <v>30</v>
      </c>
      <c r="M36" s="59" t="s">
        <v>30</v>
      </c>
      <c r="N36" s="59" t="s">
        <v>30</v>
      </c>
      <c r="O36" s="59" t="s">
        <v>30</v>
      </c>
      <c r="P36" s="55"/>
      <c r="Q36" s="55"/>
      <c r="R36" s="55"/>
      <c r="S36" s="59" t="s">
        <v>30</v>
      </c>
      <c r="T36" s="59" t="s">
        <v>30</v>
      </c>
      <c r="U36" s="59" t="s">
        <v>30</v>
      </c>
      <c r="V36" s="59" t="s">
        <v>30</v>
      </c>
      <c r="W36" s="59" t="s">
        <v>30</v>
      </c>
      <c r="X36" s="59" t="s">
        <v>30</v>
      </c>
      <c r="Y36" s="59" t="s">
        <v>30</v>
      </c>
      <c r="Z36" s="59" t="s">
        <v>30</v>
      </c>
      <c r="AA36" s="59" t="s">
        <v>30</v>
      </c>
      <c r="AB36" s="59" t="s">
        <v>30</v>
      </c>
      <c r="AC36" s="59" t="s">
        <v>30</v>
      </c>
      <c r="AD36" s="59" t="s">
        <v>30</v>
      </c>
      <c r="AE36" s="59" t="s">
        <v>30</v>
      </c>
      <c r="AF36" s="55"/>
      <c r="AG36" s="55"/>
      <c r="AH36" s="55"/>
      <c r="AI36" s="65" t="s">
        <v>30</v>
      </c>
      <c r="AJ36" s="65" t="s">
        <v>30</v>
      </c>
      <c r="AK36" s="65" t="s">
        <v>30</v>
      </c>
      <c r="AL36" s="65" t="s">
        <v>30</v>
      </c>
      <c r="AM36" s="65" t="s">
        <v>30</v>
      </c>
      <c r="AN36" s="65" t="s">
        <v>30</v>
      </c>
      <c r="AO36" s="65" t="s">
        <v>30</v>
      </c>
      <c r="AP36" s="65" t="s">
        <v>30</v>
      </c>
      <c r="AQ36" s="65" t="s">
        <v>30</v>
      </c>
      <c r="AR36" s="65" t="s">
        <v>30</v>
      </c>
      <c r="AS36" s="65" t="s">
        <v>30</v>
      </c>
      <c r="AT36" s="65" t="s">
        <v>30</v>
      </c>
      <c r="AU36" s="65" t="s">
        <v>30</v>
      </c>
      <c r="AW36" s="55"/>
      <c r="AX36" s="55"/>
      <c r="AY36" s="65" t="s">
        <v>30</v>
      </c>
      <c r="AZ36" s="65" t="s">
        <v>30</v>
      </c>
      <c r="BA36" s="65" t="s">
        <v>30</v>
      </c>
      <c r="BB36" s="65" t="s">
        <v>30</v>
      </c>
      <c r="BC36" s="65" t="s">
        <v>30</v>
      </c>
      <c r="BD36" s="65" t="s">
        <v>30</v>
      </c>
      <c r="BE36" s="65" t="s">
        <v>30</v>
      </c>
      <c r="BF36" s="65" t="s">
        <v>30</v>
      </c>
      <c r="BG36" s="65" t="s">
        <v>30</v>
      </c>
      <c r="BH36" s="65" t="s">
        <v>30</v>
      </c>
      <c r="BI36" s="65" t="s">
        <v>30</v>
      </c>
      <c r="BJ36" s="65" t="s">
        <v>30</v>
      </c>
      <c r="BK36" s="65" t="s">
        <v>30</v>
      </c>
      <c r="BM36" s="55"/>
      <c r="BN36" s="55"/>
      <c r="BO36" s="65" t="s">
        <v>30</v>
      </c>
      <c r="BP36" s="65" t="s">
        <v>30</v>
      </c>
      <c r="BQ36" s="65" t="s">
        <v>30</v>
      </c>
      <c r="BR36" s="65" t="s">
        <v>30</v>
      </c>
      <c r="BS36" s="65" t="s">
        <v>30</v>
      </c>
      <c r="BT36" s="65" t="s">
        <v>30</v>
      </c>
      <c r="BU36" s="65" t="s">
        <v>30</v>
      </c>
      <c r="BV36" s="65" t="s">
        <v>30</v>
      </c>
      <c r="BW36" s="65" t="s">
        <v>30</v>
      </c>
      <c r="BX36" s="65" t="s">
        <v>30</v>
      </c>
      <c r="BY36" s="65" t="s">
        <v>30</v>
      </c>
      <c r="BZ36" s="65" t="s">
        <v>30</v>
      </c>
      <c r="CA36" s="65" t="s">
        <v>30</v>
      </c>
    </row>
    <row r="37" spans="1:79" ht="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W37" s="55"/>
      <c r="AX37" s="55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M37" s="55"/>
      <c r="BN37" s="55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5">
      <c r="A38" s="60" t="s">
        <v>52</v>
      </c>
      <c r="B38" s="55"/>
      <c r="C38" s="14">
        <f aca="true" t="shared" si="20" ref="C38:O38">C13+C24-C35</f>
        <v>487321.68</v>
      </c>
      <c r="D38" s="14">
        <f t="shared" si="20"/>
        <v>127225.57000000007</v>
      </c>
      <c r="E38" s="14">
        <f t="shared" si="20"/>
        <v>133646.80000000008</v>
      </c>
      <c r="F38" s="14">
        <f t="shared" si="20"/>
        <v>341492.97000000003</v>
      </c>
      <c r="G38" s="14">
        <f t="shared" si="20"/>
        <v>535527.42</v>
      </c>
      <c r="H38" s="14">
        <f t="shared" si="20"/>
        <v>247112.86</v>
      </c>
      <c r="I38" s="14">
        <f t="shared" si="20"/>
        <v>236298.68999999997</v>
      </c>
      <c r="J38" s="14">
        <f t="shared" si="20"/>
        <v>207966.19999999998</v>
      </c>
      <c r="K38" s="14">
        <f t="shared" si="20"/>
        <v>138318.07</v>
      </c>
      <c r="L38" s="14">
        <f t="shared" si="20"/>
        <v>108107.32</v>
      </c>
      <c r="M38" s="14">
        <f t="shared" si="20"/>
        <v>252412.82</v>
      </c>
      <c r="N38" s="14">
        <f t="shared" si="20"/>
        <v>94191.04999999999</v>
      </c>
      <c r="O38" s="14">
        <f t="shared" si="20"/>
        <v>94191.04999999981</v>
      </c>
      <c r="P38" s="55"/>
      <c r="Q38" s="60" t="s">
        <v>52</v>
      </c>
      <c r="R38" s="55"/>
      <c r="S38" s="14">
        <f aca="true" t="shared" si="21" ref="S38:AE38">S13+S24-S35</f>
        <v>7430.3000000000175</v>
      </c>
      <c r="T38" s="14">
        <f t="shared" si="21"/>
        <v>197169.71</v>
      </c>
      <c r="U38" s="14">
        <f t="shared" si="21"/>
        <v>105359.53999999998</v>
      </c>
      <c r="V38" s="14">
        <f t="shared" si="21"/>
        <v>107390.41999999995</v>
      </c>
      <c r="W38" s="14">
        <f t="shared" si="21"/>
        <v>188651.97999999992</v>
      </c>
      <c r="X38" s="14">
        <f t="shared" si="21"/>
        <v>333086.9699999999</v>
      </c>
      <c r="Y38" s="14">
        <f t="shared" si="21"/>
        <v>334364.5099999999</v>
      </c>
      <c r="Z38" s="14">
        <f t="shared" si="21"/>
        <v>343713.5899999999</v>
      </c>
      <c r="AA38" s="14">
        <f t="shared" si="21"/>
        <v>324516.66999999987</v>
      </c>
      <c r="AB38" s="14">
        <f t="shared" si="21"/>
        <v>288115.3199999999</v>
      </c>
      <c r="AC38" s="14">
        <f t="shared" si="21"/>
        <v>423583.4899999999</v>
      </c>
      <c r="AD38" s="14">
        <f t="shared" si="21"/>
        <v>234937.5299999999</v>
      </c>
      <c r="AE38" s="14">
        <f t="shared" si="21"/>
        <v>234937.53000000026</v>
      </c>
      <c r="AF38" s="55"/>
      <c r="AG38" s="60" t="s">
        <v>52</v>
      </c>
      <c r="AH38" s="55"/>
      <c r="AI38" s="14">
        <f aca="true" t="shared" si="22" ref="AI38:AU38">AI13+AI24-AI35</f>
        <v>30417.620000000286</v>
      </c>
      <c r="AJ38" s="14">
        <f t="shared" si="22"/>
        <v>59910.150000000285</v>
      </c>
      <c r="AK38" s="14">
        <f t="shared" si="22"/>
        <v>81937.73000000027</v>
      </c>
      <c r="AL38" s="14">
        <f t="shared" si="22"/>
        <v>56983.670000000275</v>
      </c>
      <c r="AM38" s="14">
        <f t="shared" si="22"/>
        <v>54356.080000000264</v>
      </c>
      <c r="AN38" s="14">
        <f t="shared" si="22"/>
        <v>346644.8100000003</v>
      </c>
      <c r="AO38" s="14">
        <f t="shared" si="22"/>
        <v>422838.68000000034</v>
      </c>
      <c r="AP38" s="14">
        <f t="shared" si="22"/>
        <v>445606.9300000003</v>
      </c>
      <c r="AQ38" s="14">
        <f t="shared" si="22"/>
        <v>440946.27000000025</v>
      </c>
      <c r="AR38" s="15">
        <f t="shared" si="22"/>
        <v>397450.20000000024</v>
      </c>
      <c r="AS38" s="15">
        <f t="shared" si="22"/>
        <v>183691.6500000002</v>
      </c>
      <c r="AT38" s="15">
        <f t="shared" si="22"/>
        <v>391980.33000000025</v>
      </c>
      <c r="AU38" s="14">
        <f t="shared" si="22"/>
        <v>391980.3300000001</v>
      </c>
      <c r="AW38" s="60" t="s">
        <v>52</v>
      </c>
      <c r="AX38" s="55"/>
      <c r="AY38" s="15">
        <f aca="true" t="shared" si="23" ref="AY38:BK38">AY13+AY24-AY35</f>
        <v>277158.3700000001</v>
      </c>
      <c r="AZ38" s="15">
        <f t="shared" si="23"/>
        <v>178142.51000000013</v>
      </c>
      <c r="BA38" s="15">
        <f t="shared" si="23"/>
        <v>170005.7100000001</v>
      </c>
      <c r="BB38" s="14">
        <f t="shared" si="23"/>
        <v>156077.71000000008</v>
      </c>
      <c r="BC38" s="14">
        <f t="shared" si="23"/>
        <v>124207.71000000008</v>
      </c>
      <c r="BD38" s="14">
        <f t="shared" si="23"/>
        <v>98231.71000000008</v>
      </c>
      <c r="BE38" s="14">
        <f t="shared" si="23"/>
        <v>9881.71000000008</v>
      </c>
      <c r="BF38" s="14">
        <f t="shared" si="23"/>
        <v>55542.71000000008</v>
      </c>
      <c r="BG38" s="14">
        <f t="shared" si="23"/>
        <v>225721.71000000008</v>
      </c>
      <c r="BH38" s="14">
        <f t="shared" si="23"/>
        <v>281914.64</v>
      </c>
      <c r="BI38" s="14">
        <f t="shared" si="23"/>
        <v>212470.79000000004</v>
      </c>
      <c r="BJ38" s="14">
        <f t="shared" si="23"/>
        <v>353170.82000000007</v>
      </c>
      <c r="BK38" s="14">
        <f t="shared" si="23"/>
        <v>353170.81999999983</v>
      </c>
      <c r="BM38" s="60" t="s">
        <v>52</v>
      </c>
      <c r="BN38" s="55"/>
      <c r="BO38" s="15">
        <f aca="true" t="shared" si="24" ref="BO38:CA38">BO13+BO24-BO35</f>
        <v>308704.81999999983</v>
      </c>
      <c r="BP38" s="15">
        <f t="shared" si="24"/>
        <v>252456.81999999983</v>
      </c>
      <c r="BQ38" s="15">
        <f t="shared" si="24"/>
        <v>225088.81999999983</v>
      </c>
      <c r="BR38" s="14">
        <f t="shared" si="24"/>
        <v>203184.81999999983</v>
      </c>
      <c r="BS38" s="14">
        <f t="shared" si="24"/>
        <v>159249.81999999983</v>
      </c>
      <c r="BT38" s="14">
        <f t="shared" si="24"/>
        <v>328273.81999999983</v>
      </c>
      <c r="BU38" s="14">
        <f t="shared" si="24"/>
        <v>286490.81999999983</v>
      </c>
      <c r="BV38" s="14">
        <f t="shared" si="24"/>
        <v>254294.81999999983</v>
      </c>
      <c r="BW38" s="14">
        <f t="shared" si="24"/>
        <v>222741.81999999983</v>
      </c>
      <c r="BX38" s="14">
        <f t="shared" si="24"/>
        <v>176899.81999999983</v>
      </c>
      <c r="BY38" s="14">
        <f t="shared" si="24"/>
        <v>130696.96999999983</v>
      </c>
      <c r="BZ38" s="14">
        <f t="shared" si="24"/>
        <v>298870.96999999986</v>
      </c>
      <c r="CA38" s="14">
        <f t="shared" si="24"/>
        <v>298870.96999999974</v>
      </c>
    </row>
    <row r="39" spans="1:79" ht="15">
      <c r="A39" s="55"/>
      <c r="B39" s="55"/>
      <c r="C39" s="59" t="s">
        <v>53</v>
      </c>
      <c r="D39" s="59" t="s">
        <v>53</v>
      </c>
      <c r="E39" s="59" t="s">
        <v>53</v>
      </c>
      <c r="F39" s="59" t="s">
        <v>53</v>
      </c>
      <c r="G39" s="59" t="s">
        <v>53</v>
      </c>
      <c r="H39" s="59" t="s">
        <v>53</v>
      </c>
      <c r="I39" s="59" t="s">
        <v>53</v>
      </c>
      <c r="J39" s="59" t="s">
        <v>53</v>
      </c>
      <c r="K39" s="59" t="s">
        <v>53</v>
      </c>
      <c r="L39" s="59" t="s">
        <v>53</v>
      </c>
      <c r="M39" s="59" t="s">
        <v>53</v>
      </c>
      <c r="N39" s="59" t="s">
        <v>53</v>
      </c>
      <c r="O39" s="59" t="s">
        <v>53</v>
      </c>
      <c r="P39" s="55"/>
      <c r="Q39" s="55"/>
      <c r="R39" s="55"/>
      <c r="S39" s="59" t="s">
        <v>53</v>
      </c>
      <c r="T39" s="59" t="s">
        <v>53</v>
      </c>
      <c r="U39" s="59" t="s">
        <v>53</v>
      </c>
      <c r="V39" s="59" t="s">
        <v>53</v>
      </c>
      <c r="W39" s="59" t="s">
        <v>53</v>
      </c>
      <c r="X39" s="59" t="s">
        <v>53</v>
      </c>
      <c r="Y39" s="59" t="s">
        <v>53</v>
      </c>
      <c r="Z39" s="59" t="s">
        <v>53</v>
      </c>
      <c r="AA39" s="59" t="s">
        <v>53</v>
      </c>
      <c r="AB39" s="59" t="s">
        <v>53</v>
      </c>
      <c r="AC39" s="59" t="s">
        <v>53</v>
      </c>
      <c r="AD39" s="59" t="s">
        <v>53</v>
      </c>
      <c r="AE39" s="59" t="s">
        <v>53</v>
      </c>
      <c r="AF39" s="55"/>
      <c r="AG39" s="55"/>
      <c r="AH39" s="55"/>
      <c r="AI39" s="59" t="s">
        <v>53</v>
      </c>
      <c r="AJ39" s="59" t="s">
        <v>53</v>
      </c>
      <c r="AK39" s="59" t="s">
        <v>53</v>
      </c>
      <c r="AL39" s="59" t="s">
        <v>53</v>
      </c>
      <c r="AM39" s="59" t="s">
        <v>53</v>
      </c>
      <c r="AN39" s="59" t="s">
        <v>53</v>
      </c>
      <c r="AO39" s="59" t="s">
        <v>53</v>
      </c>
      <c r="AP39" s="59" t="s">
        <v>53</v>
      </c>
      <c r="AQ39" s="59" t="s">
        <v>53</v>
      </c>
      <c r="AR39" s="59" t="s">
        <v>53</v>
      </c>
      <c r="AS39" s="59" t="s">
        <v>53</v>
      </c>
      <c r="AT39" s="59" t="s">
        <v>53</v>
      </c>
      <c r="AU39" s="59" t="s">
        <v>53</v>
      </c>
      <c r="AW39" s="55"/>
      <c r="AX39" s="55"/>
      <c r="AY39" s="59" t="s">
        <v>53</v>
      </c>
      <c r="AZ39" s="59" t="s">
        <v>53</v>
      </c>
      <c r="BA39" s="59" t="s">
        <v>53</v>
      </c>
      <c r="BB39" s="59" t="s">
        <v>53</v>
      </c>
      <c r="BC39" s="59" t="s">
        <v>53</v>
      </c>
      <c r="BD39" s="59" t="s">
        <v>53</v>
      </c>
      <c r="BE39" s="59" t="s">
        <v>53</v>
      </c>
      <c r="BF39" s="59" t="s">
        <v>53</v>
      </c>
      <c r="BG39" s="59" t="s">
        <v>53</v>
      </c>
      <c r="BH39" s="59" t="s">
        <v>53</v>
      </c>
      <c r="BI39" s="59" t="s">
        <v>53</v>
      </c>
      <c r="BJ39" s="59" t="s">
        <v>53</v>
      </c>
      <c r="BK39" s="59" t="s">
        <v>53</v>
      </c>
      <c r="BM39" s="55"/>
      <c r="BN39" s="55"/>
      <c r="BO39" s="59" t="s">
        <v>53</v>
      </c>
      <c r="BP39" s="59" t="s">
        <v>53</v>
      </c>
      <c r="BQ39" s="59" t="s">
        <v>53</v>
      </c>
      <c r="BR39" s="59" t="s">
        <v>53</v>
      </c>
      <c r="BS39" s="59" t="s">
        <v>53</v>
      </c>
      <c r="BT39" s="59" t="s">
        <v>53</v>
      </c>
      <c r="BU39" s="59" t="s">
        <v>53</v>
      </c>
      <c r="BV39" s="59" t="s">
        <v>53</v>
      </c>
      <c r="BW39" s="59" t="s">
        <v>53</v>
      </c>
      <c r="BX39" s="59" t="s">
        <v>53</v>
      </c>
      <c r="BY39" s="59" t="s">
        <v>53</v>
      </c>
      <c r="BZ39" s="59" t="s">
        <v>53</v>
      </c>
      <c r="CA39" s="59" t="s">
        <v>53</v>
      </c>
    </row>
    <row r="40" spans="1:79" ht="15">
      <c r="A40" s="55"/>
      <c r="B40" s="5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55"/>
      <c r="Q40" s="55"/>
      <c r="R40" s="55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55"/>
      <c r="AG40" s="55"/>
      <c r="AH40" s="55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W40" s="55"/>
      <c r="AX40" s="55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M40" s="55"/>
      <c r="BN40" s="55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pans="1:79" ht="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5">
      <c r="A42" s="55"/>
      <c r="B42" s="55"/>
      <c r="C42" s="6"/>
      <c r="D42" s="6"/>
      <c r="E42" s="6"/>
      <c r="F42" s="6"/>
      <c r="G42" s="55"/>
      <c r="H42" s="55"/>
      <c r="I42" s="55"/>
      <c r="J42" s="55"/>
      <c r="K42" s="55"/>
      <c r="L42" s="55"/>
      <c r="M42" s="6"/>
      <c r="N42" s="6"/>
      <c r="O42" s="6"/>
      <c r="P42" s="55"/>
      <c r="Q42" s="55"/>
      <c r="R42" s="55"/>
      <c r="S42" s="6"/>
      <c r="T42" s="6"/>
      <c r="U42" s="6"/>
      <c r="V42" s="6"/>
      <c r="W42" s="55"/>
      <c r="X42" s="55"/>
      <c r="Y42" s="55"/>
      <c r="Z42" s="55"/>
      <c r="AA42" s="55"/>
      <c r="AB42" s="55"/>
      <c r="AC42" s="6"/>
      <c r="AD42" s="6"/>
      <c r="AE42" s="6"/>
      <c r="AF42" s="55"/>
      <c r="AG42" s="55"/>
      <c r="AH42" s="55"/>
      <c r="AI42" s="6"/>
      <c r="AJ42" s="6"/>
      <c r="AK42" s="6"/>
      <c r="AL42" s="6"/>
      <c r="AM42" s="55"/>
      <c r="AN42" s="55"/>
      <c r="AO42" s="55"/>
      <c r="AP42" s="55"/>
      <c r="AQ42" s="55"/>
      <c r="AR42" s="55"/>
      <c r="AS42" s="6"/>
      <c r="AT42" s="6"/>
      <c r="AU42" s="6"/>
      <c r="AW42" s="55"/>
      <c r="AX42" s="55"/>
      <c r="AY42" s="6"/>
      <c r="AZ42" s="6"/>
      <c r="BA42" s="6"/>
      <c r="BB42" s="6"/>
      <c r="BC42" s="55"/>
      <c r="BD42" s="55"/>
      <c r="BE42" s="55"/>
      <c r="BF42" s="55"/>
      <c r="BG42" s="55"/>
      <c r="BH42" s="55"/>
      <c r="BI42" s="6"/>
      <c r="BJ42" s="6"/>
      <c r="BK42" s="6"/>
      <c r="BM42" s="55"/>
      <c r="BN42" s="55"/>
      <c r="BO42" s="6"/>
      <c r="BP42" s="6"/>
      <c r="BQ42" s="6"/>
      <c r="BR42" s="6"/>
      <c r="BS42" s="55"/>
      <c r="BT42" s="55"/>
      <c r="BU42" s="55"/>
      <c r="BV42" s="55"/>
      <c r="BW42" s="55"/>
      <c r="BX42" s="55"/>
      <c r="BY42" s="6"/>
      <c r="BZ42" s="6"/>
      <c r="CA42" s="6"/>
    </row>
    <row r="43" spans="1:79" ht="15">
      <c r="A43" s="60" t="s">
        <v>54</v>
      </c>
      <c r="B43" s="55"/>
      <c r="C43" s="6"/>
      <c r="D43" s="14">
        <f>0.8*N8*0.5</f>
        <v>0</v>
      </c>
      <c r="E43" s="6"/>
      <c r="F43" s="6"/>
      <c r="G43" s="55"/>
      <c r="H43" s="55"/>
      <c r="I43" s="55"/>
      <c r="J43" s="55"/>
      <c r="K43" s="55"/>
      <c r="L43" s="55"/>
      <c r="M43" s="6"/>
      <c r="N43" s="6"/>
      <c r="O43" s="6"/>
      <c r="P43" s="55"/>
      <c r="Q43" s="60" t="s">
        <v>54</v>
      </c>
      <c r="R43" s="55"/>
      <c r="S43" s="6"/>
      <c r="T43" s="14">
        <f>0.8*AD8*0.5</f>
        <v>0</v>
      </c>
      <c r="U43" s="6"/>
      <c r="V43" s="6"/>
      <c r="W43" s="55"/>
      <c r="X43" s="55"/>
      <c r="Y43" s="55"/>
      <c r="Z43" s="55"/>
      <c r="AA43" s="55"/>
      <c r="AB43" s="55"/>
      <c r="AC43" s="6"/>
      <c r="AD43" s="6"/>
      <c r="AE43" s="6"/>
      <c r="AF43" s="55"/>
      <c r="AG43" s="60"/>
      <c r="AH43" s="55"/>
      <c r="AI43" s="6"/>
      <c r="AJ43" s="14"/>
      <c r="AK43" s="6"/>
      <c r="AL43" s="6"/>
      <c r="AM43" s="60"/>
      <c r="AN43" s="55"/>
      <c r="AO43" s="55"/>
      <c r="AP43" s="55"/>
      <c r="AQ43" s="59"/>
      <c r="AR43" s="59"/>
      <c r="AS43" s="6"/>
      <c r="AT43" s="6"/>
      <c r="AU43" s="6"/>
      <c r="AW43" s="60"/>
      <c r="AX43" s="55"/>
      <c r="AY43" s="6"/>
      <c r="AZ43" s="14"/>
      <c r="BA43" s="6"/>
      <c r="BB43" s="6"/>
      <c r="BC43" s="60"/>
      <c r="BD43" s="55"/>
      <c r="BE43" s="55"/>
      <c r="BF43" s="55"/>
      <c r="BG43" s="59"/>
      <c r="BH43" s="59"/>
      <c r="BI43" s="6"/>
      <c r="BJ43" s="6"/>
      <c r="BK43" s="6"/>
      <c r="BM43" s="60" t="s">
        <v>54</v>
      </c>
      <c r="BN43" s="55"/>
      <c r="BO43" s="6"/>
      <c r="BP43" s="14">
        <f>0.8*BZ8*0.5</f>
        <v>157746</v>
      </c>
      <c r="BQ43" s="6"/>
      <c r="BR43" s="6"/>
      <c r="BS43" s="60" t="s">
        <v>58</v>
      </c>
      <c r="BT43" s="55"/>
      <c r="BU43" s="55"/>
      <c r="BV43" s="55"/>
      <c r="BW43" s="59" t="s">
        <v>59</v>
      </c>
      <c r="BX43" s="59" t="s">
        <v>60</v>
      </c>
      <c r="BY43" s="6"/>
      <c r="BZ43" s="6"/>
      <c r="CA43" s="6"/>
    </row>
    <row r="44" spans="1:79" ht="15">
      <c r="A44" s="55"/>
      <c r="B44" s="55"/>
      <c r="C44" s="6"/>
      <c r="D44" s="69" t="s">
        <v>55</v>
      </c>
      <c r="E44" s="6"/>
      <c r="F44" s="6"/>
      <c r="G44" s="55"/>
      <c r="H44" s="55"/>
      <c r="I44" s="55"/>
      <c r="J44" s="55"/>
      <c r="K44" s="55"/>
      <c r="L44" s="55"/>
      <c r="M44" s="6"/>
      <c r="N44" s="6"/>
      <c r="O44" s="6"/>
      <c r="P44" s="55"/>
      <c r="Q44" s="55"/>
      <c r="R44" s="55"/>
      <c r="S44" s="6"/>
      <c r="T44" s="69" t="s">
        <v>55</v>
      </c>
      <c r="U44" s="6"/>
      <c r="V44" s="6"/>
      <c r="W44" s="55"/>
      <c r="X44" s="55"/>
      <c r="Y44" s="55"/>
      <c r="Z44" s="55"/>
      <c r="AA44" s="55"/>
      <c r="AB44" s="55"/>
      <c r="AC44" s="6"/>
      <c r="AD44" s="6"/>
      <c r="AE44" s="6"/>
      <c r="AF44" s="55"/>
      <c r="AG44" s="55"/>
      <c r="AH44" s="55"/>
      <c r="AI44" s="6"/>
      <c r="AJ44" s="69"/>
      <c r="AK44" s="6"/>
      <c r="AL44" s="6"/>
      <c r="AM44" s="55"/>
      <c r="AN44" s="55"/>
      <c r="AO44" s="55"/>
      <c r="AP44" s="55"/>
      <c r="AQ44" s="59"/>
      <c r="AR44" s="59"/>
      <c r="AS44" s="6"/>
      <c r="AT44" s="6"/>
      <c r="AU44" s="6"/>
      <c r="AW44" s="55"/>
      <c r="AX44" s="55"/>
      <c r="AY44" s="6"/>
      <c r="AZ44" s="69"/>
      <c r="BA44" s="6"/>
      <c r="BB44" s="6"/>
      <c r="BC44" s="55"/>
      <c r="BD44" s="55"/>
      <c r="BE44" s="55"/>
      <c r="BF44" s="55"/>
      <c r="BG44" s="59"/>
      <c r="BH44" s="59"/>
      <c r="BI44" s="6"/>
      <c r="BJ44" s="6"/>
      <c r="BK44" s="6"/>
      <c r="BM44" s="55"/>
      <c r="BN44" s="55"/>
      <c r="BO44" s="6"/>
      <c r="BP44" s="69" t="s">
        <v>55</v>
      </c>
      <c r="BQ44" s="6"/>
      <c r="BR44" s="6"/>
      <c r="BS44" s="55"/>
      <c r="BT44" s="55"/>
      <c r="BU44" s="55"/>
      <c r="BV44" s="55"/>
      <c r="BW44" s="59" t="s">
        <v>61</v>
      </c>
      <c r="BX44" s="59" t="s">
        <v>62</v>
      </c>
      <c r="BY44" s="6"/>
      <c r="BZ44" s="6"/>
      <c r="CA44" s="6"/>
    </row>
    <row r="45" spans="1:79" ht="15">
      <c r="A45" s="60" t="s">
        <v>57</v>
      </c>
      <c r="B45" s="55"/>
      <c r="C45" s="6"/>
      <c r="D45" s="14">
        <f>IF(MIN(C38:H38)&gt;0,0,ABS(MIN(C38:H38)))</f>
        <v>0</v>
      </c>
      <c r="E45" s="6"/>
      <c r="F45" s="6"/>
      <c r="G45" s="55"/>
      <c r="H45" s="55"/>
      <c r="I45" s="55"/>
      <c r="J45" s="55"/>
      <c r="K45" s="55"/>
      <c r="L45" s="55"/>
      <c r="M45" s="6"/>
      <c r="N45" s="6"/>
      <c r="O45" s="6"/>
      <c r="P45" s="55"/>
      <c r="Q45" s="60" t="s">
        <v>57</v>
      </c>
      <c r="R45" s="55"/>
      <c r="S45" s="6"/>
      <c r="T45" s="14">
        <f>IF(MIN(S38:X38)&gt;0,0,ABS(MIN(S38:X38)))</f>
        <v>0</v>
      </c>
      <c r="U45" s="6"/>
      <c r="V45" s="6"/>
      <c r="W45" s="55"/>
      <c r="X45" s="55"/>
      <c r="Y45" s="55"/>
      <c r="Z45" s="55"/>
      <c r="AA45" s="55"/>
      <c r="AB45" s="55"/>
      <c r="AC45" s="6"/>
      <c r="AD45" s="6"/>
      <c r="AE45" s="6"/>
      <c r="AF45" s="55"/>
      <c r="AG45" s="60"/>
      <c r="AH45" s="55"/>
      <c r="AI45" s="6"/>
      <c r="AJ45" s="14"/>
      <c r="AK45" s="6"/>
      <c r="AL45" s="6"/>
      <c r="AM45" s="55"/>
      <c r="AN45" s="55"/>
      <c r="AO45" s="55"/>
      <c r="AP45" s="55"/>
      <c r="AQ45" s="59"/>
      <c r="AR45" s="59"/>
      <c r="AS45" s="6"/>
      <c r="AT45" s="6"/>
      <c r="AU45" s="6"/>
      <c r="AW45" s="60"/>
      <c r="AX45" s="55"/>
      <c r="AY45" s="6"/>
      <c r="AZ45" s="14"/>
      <c r="BA45" s="6"/>
      <c r="BB45" s="6"/>
      <c r="BC45" s="55"/>
      <c r="BD45" s="55"/>
      <c r="BE45" s="55"/>
      <c r="BF45" s="55"/>
      <c r="BG45" s="59"/>
      <c r="BH45" s="59"/>
      <c r="BI45" s="6"/>
      <c r="BJ45" s="6"/>
      <c r="BK45" s="6"/>
      <c r="BM45" s="60" t="s">
        <v>57</v>
      </c>
      <c r="BN45" s="55"/>
      <c r="BO45" s="6"/>
      <c r="BP45" s="14">
        <f>IF(MIN(BO38:BT38)&gt;0,0,ABS(MIN(BO38:BT38)))</f>
        <v>0</v>
      </c>
      <c r="BQ45" s="6"/>
      <c r="BR45" s="6"/>
      <c r="BS45" s="55"/>
      <c r="BT45" s="55"/>
      <c r="BU45" s="55"/>
      <c r="BV45" s="55"/>
      <c r="BW45" s="59" t="s">
        <v>30</v>
      </c>
      <c r="BX45" s="59" t="s">
        <v>30</v>
      </c>
      <c r="BY45" s="6"/>
      <c r="BZ45" s="6"/>
      <c r="CA45" s="6"/>
    </row>
    <row r="46" spans="1:79" ht="15">
      <c r="A46" s="55"/>
      <c r="B46" s="55"/>
      <c r="C46" s="55"/>
      <c r="D46" s="69" t="s">
        <v>55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69" t="s">
        <v>55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69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W46" s="55"/>
      <c r="AX46" s="55"/>
      <c r="AY46" s="55"/>
      <c r="AZ46" s="69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M46" s="55"/>
      <c r="BN46" s="55"/>
      <c r="BO46" s="55"/>
      <c r="BP46" s="69" t="s">
        <v>55</v>
      </c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5">
      <c r="A47" s="60" t="s">
        <v>63</v>
      </c>
      <c r="B47" s="55"/>
      <c r="C47" s="6"/>
      <c r="D47" s="14">
        <f>IF(MIN(I38:N38)&gt;0,0,ABS(MIN(I38:N38)))</f>
        <v>0</v>
      </c>
      <c r="E47" s="6"/>
      <c r="F47" s="6"/>
      <c r="G47" s="55"/>
      <c r="H47" s="55"/>
      <c r="I47" s="55"/>
      <c r="J47" s="55"/>
      <c r="K47" s="14"/>
      <c r="L47" s="14"/>
      <c r="M47" s="6"/>
      <c r="N47" s="6"/>
      <c r="O47" s="6"/>
      <c r="P47" s="55"/>
      <c r="Q47" s="60" t="s">
        <v>63</v>
      </c>
      <c r="R47" s="55"/>
      <c r="S47" s="6"/>
      <c r="T47" s="14">
        <f>IF(MIN(Y38:AD38)&gt;0,0,ABS(MIN(Y38:AD38)))</f>
        <v>0</v>
      </c>
      <c r="U47" s="6"/>
      <c r="V47" s="6"/>
      <c r="W47" s="55"/>
      <c r="X47" s="55"/>
      <c r="Y47" s="55"/>
      <c r="Z47" s="55"/>
      <c r="AA47" s="14"/>
      <c r="AB47" s="14"/>
      <c r="AC47" s="6"/>
      <c r="AD47" s="6"/>
      <c r="AE47" s="6"/>
      <c r="AF47" s="55"/>
      <c r="AG47" s="60"/>
      <c r="AH47" s="55"/>
      <c r="AI47" s="6"/>
      <c r="AJ47" s="14"/>
      <c r="AK47" s="6"/>
      <c r="AL47" s="6"/>
      <c r="AM47" s="60"/>
      <c r="AN47" s="55"/>
      <c r="AO47" s="55"/>
      <c r="AP47" s="55"/>
      <c r="AQ47" s="14"/>
      <c r="AR47" s="14"/>
      <c r="AS47" s="6"/>
      <c r="AT47" s="6"/>
      <c r="AU47" s="6"/>
      <c r="AW47" s="60"/>
      <c r="AX47" s="55"/>
      <c r="AY47" s="6"/>
      <c r="AZ47" s="14"/>
      <c r="BA47" s="6"/>
      <c r="BB47" s="6"/>
      <c r="BC47" s="60"/>
      <c r="BD47" s="55"/>
      <c r="BE47" s="55"/>
      <c r="BF47" s="55"/>
      <c r="BG47" s="14"/>
      <c r="BH47" s="14"/>
      <c r="BI47" s="6"/>
      <c r="BJ47" s="6"/>
      <c r="BK47" s="6"/>
      <c r="BM47" s="60" t="s">
        <v>148</v>
      </c>
      <c r="BN47" s="55"/>
      <c r="BO47" s="6"/>
      <c r="BP47" s="14">
        <f>IF(MIN(BU38:BZ38)&gt;0,0,ABS(MIN(BU38:BZ38)))</f>
        <v>0</v>
      </c>
      <c r="BQ47" s="6"/>
      <c r="BR47" s="6"/>
      <c r="BS47" s="60" t="s">
        <v>65</v>
      </c>
      <c r="BT47" s="55"/>
      <c r="BU47" s="55"/>
      <c r="BV47" s="55"/>
      <c r="BW47" s="14">
        <f>IF(BP47&gt;(BP43*2-CA31),(BP43*2-CA31),IF(BP47&lt;((BP43*2)-CA31),0))</f>
        <v>0</v>
      </c>
      <c r="BX47" s="14">
        <f>IF(BP47&lt;(BP43*2-CA31),BP47,0)</f>
        <v>0</v>
      </c>
      <c r="BY47" s="6"/>
      <c r="BZ47" s="6"/>
      <c r="CA47" s="6"/>
    </row>
    <row r="48" spans="1:79" ht="15">
      <c r="A48" s="55"/>
      <c r="B48" s="55"/>
      <c r="C48" s="55"/>
      <c r="D48" s="60" t="s">
        <v>55</v>
      </c>
      <c r="E48" s="6"/>
      <c r="F48" s="6"/>
      <c r="G48" s="55"/>
      <c r="H48" s="55"/>
      <c r="I48" s="55"/>
      <c r="J48" s="55"/>
      <c r="K48" s="55"/>
      <c r="L48" s="55"/>
      <c r="M48" s="6"/>
      <c r="N48" s="6"/>
      <c r="O48" s="6"/>
      <c r="P48" s="55"/>
      <c r="Q48" s="55"/>
      <c r="R48" s="55"/>
      <c r="S48" s="55"/>
      <c r="T48" s="60" t="s">
        <v>55</v>
      </c>
      <c r="U48" s="6"/>
      <c r="V48" s="6"/>
      <c r="W48" s="55"/>
      <c r="X48" s="55"/>
      <c r="Y48" s="55"/>
      <c r="Z48" s="55"/>
      <c r="AA48" s="55"/>
      <c r="AB48" s="55"/>
      <c r="AC48" s="6"/>
      <c r="AD48" s="6"/>
      <c r="AE48" s="6"/>
      <c r="AF48" s="55"/>
      <c r="AG48" s="55"/>
      <c r="AH48" s="55"/>
      <c r="AI48" s="55"/>
      <c r="AJ48" s="69"/>
      <c r="AK48" s="6"/>
      <c r="AL48" s="6"/>
      <c r="AM48" s="55"/>
      <c r="AN48" s="55"/>
      <c r="AO48" s="55"/>
      <c r="AP48" s="55"/>
      <c r="AQ48" s="59"/>
      <c r="AR48" s="59"/>
      <c r="AS48" s="6"/>
      <c r="AT48" s="6"/>
      <c r="AU48" s="6"/>
      <c r="AW48" s="55"/>
      <c r="AX48" s="55"/>
      <c r="AY48" s="55"/>
      <c r="AZ48" s="69"/>
      <c r="BA48" s="6"/>
      <c r="BB48" s="6"/>
      <c r="BC48" s="55"/>
      <c r="BD48" s="55"/>
      <c r="BE48" s="55"/>
      <c r="BF48" s="55"/>
      <c r="BG48" s="59"/>
      <c r="BH48" s="59"/>
      <c r="BI48" s="6"/>
      <c r="BJ48" s="6"/>
      <c r="BK48" s="6"/>
      <c r="BM48" s="55"/>
      <c r="BN48" s="55"/>
      <c r="BO48" s="55"/>
      <c r="BP48" s="69" t="s">
        <v>55</v>
      </c>
      <c r="BQ48" s="6"/>
      <c r="BR48" s="6"/>
      <c r="BS48" s="55"/>
      <c r="BT48" s="55"/>
      <c r="BU48" s="55"/>
      <c r="BV48" s="55"/>
      <c r="BW48" s="59" t="s">
        <v>53</v>
      </c>
      <c r="BX48" s="59" t="s">
        <v>53</v>
      </c>
      <c r="BY48" s="6"/>
      <c r="BZ48" s="6"/>
      <c r="CA48" s="6"/>
    </row>
    <row r="49" spans="1:79" ht="15">
      <c r="A49" s="55"/>
      <c r="B49" s="55"/>
      <c r="C49" s="6"/>
      <c r="D49" s="1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55"/>
      <c r="Q49" s="55"/>
      <c r="R49" s="55"/>
      <c r="S49" s="6"/>
      <c r="T49" s="1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55"/>
      <c r="AG49" s="55"/>
      <c r="AH49" s="55"/>
      <c r="AI49" s="6"/>
      <c r="AJ49" s="14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W49" s="55"/>
      <c r="AX49" s="55"/>
      <c r="AY49" s="6"/>
      <c r="AZ49" s="14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M49" s="55"/>
      <c r="BN49" s="55"/>
      <c r="BO49" s="6"/>
      <c r="BP49" s="14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ht="15">
      <c r="A50" s="55"/>
      <c r="B50" s="55"/>
      <c r="C50" s="6"/>
      <c r="D50" s="1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5"/>
      <c r="Q50" s="55"/>
      <c r="R50" s="55"/>
      <c r="S50" s="6"/>
      <c r="T50" s="1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55"/>
      <c r="AG50" s="55"/>
      <c r="AH50" s="55"/>
      <c r="AI50" s="6"/>
      <c r="AJ50" s="14"/>
      <c r="AK50" s="6"/>
      <c r="AL50" s="6"/>
      <c r="AM50" s="31"/>
      <c r="AN50" s="6"/>
      <c r="AO50" s="6"/>
      <c r="AP50" s="6"/>
      <c r="AQ50" s="14"/>
      <c r="AR50" s="14"/>
      <c r="AS50" s="6"/>
      <c r="AT50" s="6"/>
      <c r="AU50" s="6"/>
      <c r="AW50" s="55"/>
      <c r="AX50" s="55"/>
      <c r="AY50" s="6"/>
      <c r="AZ50" s="14"/>
      <c r="BA50" s="6"/>
      <c r="BB50" s="6"/>
      <c r="BC50" s="31"/>
      <c r="BD50" s="6"/>
      <c r="BE50" s="6"/>
      <c r="BF50" s="6"/>
      <c r="BG50" s="14"/>
      <c r="BH50" s="14"/>
      <c r="BI50" s="6"/>
      <c r="BJ50" s="6"/>
      <c r="BK50" s="6"/>
      <c r="BM50" s="55"/>
      <c r="BN50" s="55"/>
      <c r="BO50" s="6"/>
      <c r="BP50" s="14"/>
      <c r="BQ50" s="6"/>
      <c r="BR50" s="6"/>
      <c r="BS50" s="31" t="s">
        <v>66</v>
      </c>
      <c r="BT50" s="6"/>
      <c r="BU50" s="6"/>
      <c r="BV50" s="6"/>
      <c r="BW50" s="14">
        <f>IF(BZ31&gt;=BP43,0,IF(BW47&gt;0,BP43-BZ31,0))</f>
        <v>0</v>
      </c>
      <c r="BX50" s="14">
        <f>IF(BZ31&gt;=BP43,0,IF(BX47&gt;0,BP43-BZ31,0))</f>
        <v>0</v>
      </c>
      <c r="BY50" s="6"/>
      <c r="BZ50" s="6"/>
      <c r="CA50" s="6"/>
    </row>
    <row r="51" spans="1:79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9"/>
      <c r="AR51" s="55"/>
      <c r="AS51" s="55"/>
      <c r="AT51" s="55"/>
      <c r="AU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9"/>
      <c r="BH51" s="55"/>
      <c r="BI51" s="55"/>
      <c r="BJ51" s="55"/>
      <c r="BK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9"/>
      <c r="BX51" s="55"/>
      <c r="BY51" s="55"/>
      <c r="BZ51" s="55"/>
      <c r="CA51" s="55"/>
    </row>
    <row r="52" spans="1:79" ht="15">
      <c r="A52" s="55"/>
      <c r="B52" s="55"/>
      <c r="C52" s="6"/>
      <c r="D52" s="1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55"/>
      <c r="Q52" s="55"/>
      <c r="R52" s="55"/>
      <c r="S52" s="6"/>
      <c r="T52" s="1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55"/>
      <c r="AG52" s="70"/>
      <c r="AH52" s="55"/>
      <c r="AI52" s="6"/>
      <c r="AJ52" s="14"/>
      <c r="AK52" s="6"/>
      <c r="AL52" s="6"/>
      <c r="AM52" s="6"/>
      <c r="AN52" s="6"/>
      <c r="AO52" s="6"/>
      <c r="AP52" s="6"/>
      <c r="AQ52" s="11"/>
      <c r="AR52" s="11"/>
      <c r="AS52" s="6"/>
      <c r="AT52" s="6"/>
      <c r="AU52" s="6"/>
      <c r="AW52" s="70"/>
      <c r="AX52" s="55"/>
      <c r="AY52" s="6"/>
      <c r="AZ52" s="14"/>
      <c r="BA52" s="6"/>
      <c r="BB52" s="6"/>
      <c r="BC52" s="6"/>
      <c r="BD52" s="6"/>
      <c r="BE52" s="6"/>
      <c r="BF52" s="6"/>
      <c r="BG52" s="11"/>
      <c r="BH52" s="11"/>
      <c r="BI52" s="6"/>
      <c r="BJ52" s="6"/>
      <c r="BK52" s="6"/>
      <c r="BM52" s="70" t="s">
        <v>67</v>
      </c>
      <c r="BN52" s="55"/>
      <c r="BO52" s="6"/>
      <c r="BP52" s="14"/>
      <c r="BQ52" s="6"/>
      <c r="BR52" s="6"/>
      <c r="BS52" s="6" t="s">
        <v>68</v>
      </c>
      <c r="BT52" s="6"/>
      <c r="BU52" s="6"/>
      <c r="BV52" s="6"/>
      <c r="BW52" s="11">
        <f>BW47-BW50</f>
        <v>0</v>
      </c>
      <c r="BX52" s="11">
        <f>BX47-BX50</f>
        <v>0</v>
      </c>
      <c r="BY52" s="6"/>
      <c r="BZ52" s="6"/>
      <c r="CA52" s="6"/>
    </row>
    <row r="53" spans="1:79" ht="15">
      <c r="A53" s="55"/>
      <c r="B53" s="55"/>
      <c r="C53" s="6"/>
      <c r="D53" s="6"/>
      <c r="E53" s="55"/>
      <c r="F53" s="31" t="s">
        <v>29</v>
      </c>
      <c r="G53" s="6"/>
      <c r="H53" s="6"/>
      <c r="I53" s="6"/>
      <c r="J53" s="6"/>
      <c r="K53" s="6"/>
      <c r="L53" s="6"/>
      <c r="M53" s="6"/>
      <c r="N53" s="6"/>
      <c r="O53" s="6"/>
      <c r="P53" s="55"/>
      <c r="Q53" s="55"/>
      <c r="R53" s="55"/>
      <c r="S53" s="6"/>
      <c r="T53" s="6"/>
      <c r="U53" s="55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55"/>
      <c r="AG53" s="55"/>
      <c r="AH53" s="55"/>
      <c r="AI53" s="6"/>
      <c r="AJ53" s="6"/>
      <c r="AK53" s="55"/>
      <c r="AL53" s="31" t="s">
        <v>29</v>
      </c>
      <c r="AM53" s="6"/>
      <c r="AN53" s="6"/>
      <c r="AO53" s="6"/>
      <c r="AP53" s="6"/>
      <c r="AQ53" s="6"/>
      <c r="AR53" s="6"/>
      <c r="AS53" s="6"/>
      <c r="AT53" s="6"/>
      <c r="AU53" s="6"/>
      <c r="AW53" s="55"/>
      <c r="AX53" s="55"/>
      <c r="AY53" s="6"/>
      <c r="AZ53" s="6"/>
      <c r="BA53" s="55"/>
      <c r="BB53" s="31"/>
      <c r="BC53" s="6"/>
      <c r="BD53" s="6"/>
      <c r="BE53" s="6"/>
      <c r="BF53" s="6"/>
      <c r="BG53" s="6"/>
      <c r="BH53" s="6"/>
      <c r="BI53" s="6"/>
      <c r="BJ53" s="6"/>
      <c r="BK53" s="6"/>
      <c r="BM53" s="55"/>
      <c r="BN53" s="55"/>
      <c r="BO53" s="6"/>
      <c r="BP53" s="6"/>
      <c r="BQ53" s="55"/>
      <c r="BR53" s="31" t="s">
        <v>29</v>
      </c>
      <c r="BS53" s="6"/>
      <c r="BT53" s="6"/>
      <c r="BU53" s="6"/>
      <c r="BV53" s="6"/>
      <c r="BW53" s="6"/>
      <c r="BX53" s="6"/>
      <c r="BY53" s="6"/>
      <c r="BZ53" s="6"/>
      <c r="CA53" s="6"/>
    </row>
    <row r="54" spans="1:47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</row>
    <row r="55" spans="1:47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</row>
    <row r="56" spans="1:47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</row>
    <row r="57" spans="1:47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</row>
    <row r="58" spans="1:47" ht="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</row>
    <row r="59" spans="1:47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</row>
    <row r="60" spans="1:47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</row>
    <row r="61" spans="1:47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</row>
    <row r="62" spans="1:47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</row>
  </sheetData>
  <sheetProtection/>
  <printOptions/>
  <pageMargins left="0.75" right="0.5" top="0.5" bottom="0.5" header="0.5" footer="0.5"/>
  <pageSetup horizontalDpi="600" verticalDpi="600" orientation="landscape" scale="57" r:id="rId1"/>
  <colBreaks count="3" manualBreakCount="3">
    <brk id="31" max="65535" man="1"/>
    <brk id="47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9"/>
  <sheetViews>
    <sheetView zoomScale="60" zoomScaleNormal="60" zoomScalePageLayoutView="0" workbookViewId="0" topLeftCell="AW13">
      <selection activeCell="BH42" sqref="BH42"/>
    </sheetView>
  </sheetViews>
  <sheetFormatPr defaultColWidth="8.140625" defaultRowHeight="12.75"/>
  <cols>
    <col min="1" max="1" width="25.28125" style="4" customWidth="1"/>
    <col min="2" max="2" width="9.421875" style="4" customWidth="1"/>
    <col min="3" max="5" width="12.57421875" style="4" customWidth="1"/>
    <col min="6" max="6" width="11.7109375" style="4" customWidth="1"/>
    <col min="7" max="7" width="14.57421875" style="4" customWidth="1"/>
    <col min="8" max="8" width="12.8515625" style="4" customWidth="1"/>
    <col min="9" max="9" width="11.8515625" style="4" customWidth="1"/>
    <col min="10" max="10" width="12.7109375" style="4" customWidth="1"/>
    <col min="11" max="11" width="12.57421875" style="4" customWidth="1"/>
    <col min="12" max="13" width="12.8515625" style="4" customWidth="1"/>
    <col min="14" max="14" width="14.421875" style="4" customWidth="1"/>
    <col min="15" max="15" width="13.57421875" style="4" customWidth="1"/>
    <col min="16" max="16" width="6.7109375" style="4" customWidth="1"/>
    <col min="17" max="17" width="25.57421875" style="4" customWidth="1"/>
    <col min="18" max="18" width="8.140625" style="4" customWidth="1"/>
    <col min="19" max="19" width="12.57421875" style="4" customWidth="1"/>
    <col min="20" max="21" width="12.00390625" style="4" customWidth="1"/>
    <col min="22" max="23" width="12.8515625" style="4" customWidth="1"/>
    <col min="24" max="24" width="12.00390625" style="4" customWidth="1"/>
    <col min="25" max="25" width="12.7109375" style="4" customWidth="1"/>
    <col min="26" max="26" width="12.57421875" style="4" customWidth="1"/>
    <col min="27" max="28" width="12.7109375" style="4" customWidth="1"/>
    <col min="29" max="29" width="12.57421875" style="4" customWidth="1"/>
    <col min="30" max="30" width="14.7109375" style="4" customWidth="1"/>
    <col min="31" max="31" width="13.140625" style="4" customWidth="1"/>
    <col min="32" max="32" width="7.140625" style="4" customWidth="1"/>
    <col min="33" max="33" width="52.28125" style="4" customWidth="1"/>
    <col min="34" max="34" width="4.57421875" style="4" customWidth="1"/>
    <col min="35" max="35" width="13.57421875" style="4" customWidth="1"/>
    <col min="36" max="37" width="12.421875" style="4" customWidth="1"/>
    <col min="38" max="38" width="14.00390625" style="4" customWidth="1"/>
    <col min="39" max="39" width="14.28125" style="4" customWidth="1"/>
    <col min="40" max="40" width="13.421875" style="4" customWidth="1"/>
    <col min="41" max="41" width="12.7109375" style="4" customWidth="1"/>
    <col min="42" max="42" width="12.421875" style="4" customWidth="1"/>
    <col min="43" max="43" width="13.00390625" style="4" customWidth="1"/>
    <col min="44" max="44" width="14.57421875" style="4" customWidth="1"/>
    <col min="45" max="45" width="14.421875" style="4" customWidth="1"/>
    <col min="46" max="46" width="14.57421875" style="4" customWidth="1"/>
    <col min="47" max="47" width="12.00390625" style="4" customWidth="1"/>
    <col min="48" max="48" width="8.140625" style="4" customWidth="1"/>
    <col min="49" max="49" width="44.28125" style="0" customWidth="1"/>
    <col min="50" max="50" width="3.00390625" style="0" customWidth="1"/>
    <col min="51" max="51" width="13.57421875" style="0" customWidth="1"/>
    <col min="52" max="53" width="12.421875" style="0" customWidth="1"/>
    <col min="54" max="54" width="14.00390625" style="0" customWidth="1"/>
    <col min="55" max="55" width="14.28125" style="0" customWidth="1"/>
    <col min="56" max="56" width="13.421875" style="0" customWidth="1"/>
    <col min="57" max="57" width="12.7109375" style="0" customWidth="1"/>
    <col min="58" max="58" width="12.421875" style="0" customWidth="1"/>
    <col min="59" max="59" width="13.00390625" style="0" customWidth="1"/>
    <col min="60" max="60" width="14.57421875" style="0" customWidth="1"/>
    <col min="61" max="61" width="14.421875" style="0" customWidth="1"/>
    <col min="62" max="62" width="14.57421875" style="0" customWidth="1"/>
    <col min="63" max="63" width="12.00390625" style="0" customWidth="1"/>
    <col min="64" max="16384" width="8.140625" style="4" customWidth="1"/>
  </cols>
  <sheetData>
    <row r="1" spans="1:63" ht="15">
      <c r="A1" s="1" t="s">
        <v>123</v>
      </c>
      <c r="B1" s="2"/>
      <c r="C1" s="2"/>
      <c r="D1" s="2"/>
      <c r="E1" s="1"/>
      <c r="F1" s="3"/>
      <c r="G1" s="3"/>
      <c r="H1" s="2"/>
      <c r="I1" s="2"/>
      <c r="J1" s="2"/>
      <c r="K1" s="2"/>
      <c r="L1" s="1" t="s">
        <v>0</v>
      </c>
      <c r="M1" s="2"/>
      <c r="N1" s="2"/>
      <c r="O1" s="2"/>
      <c r="P1" s="3"/>
      <c r="Q1" s="1" t="str">
        <f>+A1</f>
        <v>INDIANA BOND BANK 2005 CASH FLOW FUNDING PROGRAM</v>
      </c>
      <c r="R1" s="2"/>
      <c r="S1" s="2"/>
      <c r="T1" s="2"/>
      <c r="U1" s="1"/>
      <c r="V1" s="3"/>
      <c r="W1" s="3"/>
      <c r="X1" s="3"/>
      <c r="Y1" s="2"/>
      <c r="Z1" s="2"/>
      <c r="AA1" s="2"/>
      <c r="AB1" s="2"/>
      <c r="AC1" s="2"/>
      <c r="AD1" s="2"/>
      <c r="AE1" s="2"/>
      <c r="AF1" s="3"/>
      <c r="AG1" s="1" t="str">
        <f>+A1</f>
        <v>INDIANA BOND BANK 2005 CASH FLOW FUNDING PROGRAM</v>
      </c>
      <c r="AH1" s="2"/>
      <c r="AI1" s="2"/>
      <c r="AJ1" s="2"/>
      <c r="AK1" s="1"/>
      <c r="AL1" s="3"/>
      <c r="AM1" s="3"/>
      <c r="AN1" s="3"/>
      <c r="AO1" s="2"/>
      <c r="AP1" s="2"/>
      <c r="AQ1" s="2"/>
      <c r="AR1" s="2"/>
      <c r="AS1" s="2"/>
      <c r="AT1" s="2"/>
      <c r="AU1" s="2"/>
      <c r="AW1" s="31" t="str">
        <f>+Q1</f>
        <v>INDIANA BOND BANK 2005 CASH FLOW FUNDING PROGRAM</v>
      </c>
      <c r="AX1" s="6"/>
      <c r="AY1" s="6"/>
      <c r="AZ1" s="6"/>
      <c r="BA1" s="31"/>
      <c r="BB1" s="55"/>
      <c r="BC1" s="55"/>
      <c r="BD1" s="55"/>
      <c r="BE1" s="6"/>
      <c r="BF1" s="6"/>
      <c r="BG1" s="6"/>
      <c r="BH1" s="6"/>
      <c r="BI1" s="6"/>
      <c r="BJ1" s="6"/>
      <c r="BK1" s="6"/>
    </row>
    <row r="2" spans="1:63" ht="15">
      <c r="A2" s="2"/>
      <c r="B2" s="2"/>
      <c r="C2" s="2"/>
      <c r="D2" s="2"/>
      <c r="E2" s="2"/>
      <c r="F2" s="1" t="s">
        <v>1</v>
      </c>
      <c r="G2" s="5" t="s">
        <v>2</v>
      </c>
      <c r="H2" s="31" t="s">
        <v>3</v>
      </c>
      <c r="I2" s="2"/>
      <c r="J2" s="2"/>
      <c r="K2" s="2"/>
      <c r="L2" s="1" t="s">
        <v>4</v>
      </c>
      <c r="M2" s="2"/>
      <c r="N2" s="7">
        <f ca="1">TODAY()</f>
        <v>40520</v>
      </c>
      <c r="O2" s="2"/>
      <c r="P2" s="3"/>
      <c r="Q2" s="2"/>
      <c r="R2" s="2"/>
      <c r="S2" s="2"/>
      <c r="T2" s="2"/>
      <c r="U2" s="2"/>
      <c r="V2" s="1" t="s">
        <v>1</v>
      </c>
      <c r="W2" s="1" t="s">
        <v>2</v>
      </c>
      <c r="X2" s="2" t="str">
        <f>H2</f>
        <v>City of Portage</v>
      </c>
      <c r="Y2" s="2"/>
      <c r="Z2" s="2"/>
      <c r="AA2" s="2"/>
      <c r="AB2" s="1" t="s">
        <v>4</v>
      </c>
      <c r="AC2" s="2"/>
      <c r="AD2" s="8">
        <f>N2</f>
        <v>40520</v>
      </c>
      <c r="AE2" s="2"/>
      <c r="AF2" s="3"/>
      <c r="AG2" s="2"/>
      <c r="AH2" s="2"/>
      <c r="AI2" s="2"/>
      <c r="AJ2" s="2"/>
      <c r="AK2" s="2"/>
      <c r="AL2" s="1" t="s">
        <v>1</v>
      </c>
      <c r="AM2" s="1" t="s">
        <v>2</v>
      </c>
      <c r="AN2" s="2" t="str">
        <f>H2</f>
        <v>City of Portage</v>
      </c>
      <c r="AO2" s="2"/>
      <c r="AP2" s="2"/>
      <c r="AQ2" s="2"/>
      <c r="AR2" s="1" t="s">
        <v>4</v>
      </c>
      <c r="AS2" s="2"/>
      <c r="AT2" s="7">
        <f>N2</f>
        <v>40520</v>
      </c>
      <c r="AU2" s="2"/>
      <c r="AW2" s="6"/>
      <c r="AX2" s="6"/>
      <c r="AY2" s="6"/>
      <c r="AZ2" s="6"/>
      <c r="BA2" s="6"/>
      <c r="BB2" s="31" t="s">
        <v>1</v>
      </c>
      <c r="BC2" s="31" t="s">
        <v>2</v>
      </c>
      <c r="BD2" s="6" t="str">
        <f>X2</f>
        <v>City of Portage</v>
      </c>
      <c r="BE2" s="6"/>
      <c r="BF2" s="6"/>
      <c r="BG2" s="6"/>
      <c r="BH2" s="31" t="s">
        <v>4</v>
      </c>
      <c r="BI2" s="6"/>
      <c r="BJ2" s="56">
        <f>AD2</f>
        <v>40520</v>
      </c>
      <c r="BK2" s="6"/>
    </row>
    <row r="3" spans="1:63" ht="15">
      <c r="A3" s="1" t="s">
        <v>5</v>
      </c>
      <c r="B3" s="2"/>
      <c r="C3" s="2"/>
      <c r="D3" s="2"/>
      <c r="E3" s="2"/>
      <c r="F3" s="2"/>
      <c r="G3" s="2"/>
      <c r="H3" s="6"/>
      <c r="I3" s="2"/>
      <c r="J3" s="2"/>
      <c r="K3" s="2"/>
      <c r="L3" s="3"/>
      <c r="M3" s="3"/>
      <c r="N3" s="9"/>
      <c r="O3" s="2"/>
      <c r="P3" s="3"/>
      <c r="Q3" s="1" t="s">
        <v>5</v>
      </c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2"/>
      <c r="AF3" s="3"/>
      <c r="AG3" s="1" t="s">
        <v>5</v>
      </c>
      <c r="AH3" s="2"/>
      <c r="AI3" s="2"/>
      <c r="AJ3" s="2"/>
      <c r="AK3" s="2"/>
      <c r="AL3" s="2"/>
      <c r="AM3" s="2"/>
      <c r="AN3" s="1" t="s">
        <v>0</v>
      </c>
      <c r="AO3" s="2"/>
      <c r="AP3" s="2"/>
      <c r="AQ3" s="2"/>
      <c r="AR3" s="3"/>
      <c r="AS3" s="3"/>
      <c r="AT3" s="9"/>
      <c r="AU3" s="2"/>
      <c r="AW3" s="31" t="s">
        <v>5</v>
      </c>
      <c r="AX3" s="6"/>
      <c r="AY3" s="6"/>
      <c r="AZ3" s="6"/>
      <c r="BA3" s="6"/>
      <c r="BB3" s="6"/>
      <c r="BC3" s="6"/>
      <c r="BD3" s="31" t="s">
        <v>0</v>
      </c>
      <c r="BE3" s="6"/>
      <c r="BF3" s="6"/>
      <c r="BG3" s="6"/>
      <c r="BH3" s="55"/>
      <c r="BI3" s="55"/>
      <c r="BJ3" s="57"/>
      <c r="BK3" s="6"/>
    </row>
    <row r="4" spans="1:63" ht="15">
      <c r="A4" s="2"/>
      <c r="B4" s="2"/>
      <c r="C4" s="2"/>
      <c r="D4" s="2"/>
      <c r="E4" s="2"/>
      <c r="F4" s="2"/>
      <c r="G4" s="1" t="s">
        <v>6</v>
      </c>
      <c r="H4" s="31" t="s">
        <v>7</v>
      </c>
      <c r="I4" s="2"/>
      <c r="J4" s="2"/>
      <c r="K4" s="2"/>
      <c r="L4" s="1" t="s">
        <v>8</v>
      </c>
      <c r="M4" s="2"/>
      <c r="N4" s="1" t="s">
        <v>9</v>
      </c>
      <c r="O4" s="2"/>
      <c r="P4" s="3"/>
      <c r="Q4" s="2"/>
      <c r="R4" s="2"/>
      <c r="S4" s="2"/>
      <c r="T4" s="2"/>
      <c r="U4" s="2"/>
      <c r="V4" s="2"/>
      <c r="W4" s="1" t="s">
        <v>6</v>
      </c>
      <c r="X4" s="2" t="str">
        <f>H4</f>
        <v>Donna Pappas</v>
      </c>
      <c r="Y4" s="2"/>
      <c r="Z4" s="2"/>
      <c r="AA4" s="2"/>
      <c r="AB4" s="1" t="s">
        <v>8</v>
      </c>
      <c r="AC4" s="2"/>
      <c r="AD4" s="1" t="s">
        <v>10</v>
      </c>
      <c r="AE4" s="2"/>
      <c r="AF4" s="3"/>
      <c r="AG4" s="2"/>
      <c r="AH4" s="2"/>
      <c r="AI4" s="2"/>
      <c r="AJ4" s="2"/>
      <c r="AK4" s="2"/>
      <c r="AL4" s="2"/>
      <c r="AM4" s="1" t="s">
        <v>6</v>
      </c>
      <c r="AN4" s="2" t="str">
        <f>H4</f>
        <v>Donna Pappas</v>
      </c>
      <c r="AO4" s="2"/>
      <c r="AP4" s="2"/>
      <c r="AQ4" s="2"/>
      <c r="AR4" s="1" t="s">
        <v>8</v>
      </c>
      <c r="AS4" s="2"/>
      <c r="AT4" s="1" t="s">
        <v>132</v>
      </c>
      <c r="AU4" s="2"/>
      <c r="AW4" s="6"/>
      <c r="AX4" s="6"/>
      <c r="AY4" s="6"/>
      <c r="AZ4" s="6"/>
      <c r="BA4" s="6"/>
      <c r="BB4" s="6"/>
      <c r="BC4" s="31" t="s">
        <v>6</v>
      </c>
      <c r="BD4" s="6" t="str">
        <f>X4</f>
        <v>Donna Pappas</v>
      </c>
      <c r="BE4" s="6"/>
      <c r="BF4" s="6"/>
      <c r="BG4" s="6"/>
      <c r="BH4" s="31" t="s">
        <v>8</v>
      </c>
      <c r="BI4" s="6"/>
      <c r="BJ4" s="31" t="s">
        <v>124</v>
      </c>
      <c r="BK4" s="6"/>
    </row>
    <row r="5" spans="1:63" ht="15">
      <c r="A5" s="2"/>
      <c r="B5" s="2"/>
      <c r="C5" s="2"/>
      <c r="D5" s="2"/>
      <c r="E5" s="2"/>
      <c r="F5" s="2"/>
      <c r="G5" s="2"/>
      <c r="H5" s="6"/>
      <c r="I5" s="2"/>
      <c r="J5" s="2"/>
      <c r="K5" s="2"/>
      <c r="L5" s="2"/>
      <c r="M5" s="2"/>
      <c r="N5" s="1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  <c r="AG5" s="2"/>
      <c r="AH5" s="2"/>
      <c r="AI5" s="2"/>
      <c r="AJ5" s="2"/>
      <c r="AK5" s="2"/>
      <c r="AL5" s="2"/>
      <c r="AM5" s="2"/>
      <c r="AN5" s="1"/>
      <c r="AO5" s="2"/>
      <c r="AP5" s="2"/>
      <c r="AQ5" s="2"/>
      <c r="AR5" s="2"/>
      <c r="AS5" s="2"/>
      <c r="AT5" s="1"/>
      <c r="AU5" s="2"/>
      <c r="AW5" s="6"/>
      <c r="AX5" s="6"/>
      <c r="AY5" s="6"/>
      <c r="AZ5" s="6"/>
      <c r="BA5" s="6"/>
      <c r="BB5" s="6"/>
      <c r="BC5" s="6"/>
      <c r="BD5" s="31"/>
      <c r="BE5" s="6"/>
      <c r="BF5" s="6"/>
      <c r="BG5" s="6"/>
      <c r="BH5" s="6"/>
      <c r="BI5" s="6"/>
      <c r="BJ5" s="31"/>
      <c r="BK5" s="6"/>
    </row>
    <row r="6" spans="1:63" ht="15">
      <c r="A6" s="2"/>
      <c r="B6" s="2"/>
      <c r="C6" s="2"/>
      <c r="D6" s="2"/>
      <c r="E6" s="2"/>
      <c r="F6" s="2"/>
      <c r="G6" s="1" t="s">
        <v>11</v>
      </c>
      <c r="H6" s="31" t="s">
        <v>12</v>
      </c>
      <c r="I6" s="2"/>
      <c r="J6" s="2"/>
      <c r="K6" s="2"/>
      <c r="L6" s="1" t="s">
        <v>13</v>
      </c>
      <c r="M6" s="2"/>
      <c r="N6" s="31" t="s">
        <v>69</v>
      </c>
      <c r="O6" s="2"/>
      <c r="P6" s="3"/>
      <c r="Q6" s="2"/>
      <c r="R6" s="2"/>
      <c r="S6" s="2"/>
      <c r="T6" s="2"/>
      <c r="U6" s="2"/>
      <c r="V6" s="2"/>
      <c r="W6" s="1" t="s">
        <v>11</v>
      </c>
      <c r="X6" s="2" t="str">
        <f>H6</f>
        <v>219-762-7784</v>
      </c>
      <c r="Y6" s="2"/>
      <c r="Z6" s="2"/>
      <c r="AA6" s="2"/>
      <c r="AB6" s="1" t="s">
        <v>13</v>
      </c>
      <c r="AC6" s="2"/>
      <c r="AD6" s="2" t="str">
        <f>N6</f>
        <v>Cumulative Liability </v>
      </c>
      <c r="AE6" s="2"/>
      <c r="AF6" s="3"/>
      <c r="AG6" s="2"/>
      <c r="AH6" s="2"/>
      <c r="AI6" s="2"/>
      <c r="AJ6" s="2"/>
      <c r="AK6" s="2"/>
      <c r="AL6" s="2"/>
      <c r="AM6" s="1" t="s">
        <v>11</v>
      </c>
      <c r="AN6" s="2" t="str">
        <f>H6</f>
        <v>219-762-7784</v>
      </c>
      <c r="AO6" s="2"/>
      <c r="AP6" s="2"/>
      <c r="AQ6" s="2"/>
      <c r="AR6" s="1" t="s">
        <v>13</v>
      </c>
      <c r="AS6" s="2"/>
      <c r="AT6" s="1" t="str">
        <f>N6</f>
        <v>Cumulative Liability </v>
      </c>
      <c r="AU6" s="2"/>
      <c r="AW6" s="6"/>
      <c r="AX6" s="6"/>
      <c r="AY6" s="6"/>
      <c r="AZ6" s="6"/>
      <c r="BA6" s="6"/>
      <c r="BB6" s="6"/>
      <c r="BC6" s="31" t="s">
        <v>11</v>
      </c>
      <c r="BD6" s="6" t="str">
        <f>X6</f>
        <v>219-762-7784</v>
      </c>
      <c r="BE6" s="6"/>
      <c r="BF6" s="6"/>
      <c r="BG6" s="6"/>
      <c r="BH6" s="31" t="s">
        <v>13</v>
      </c>
      <c r="BI6" s="6"/>
      <c r="BJ6" s="31" t="str">
        <f>AD6</f>
        <v>Cumulative Liability </v>
      </c>
      <c r="BK6" s="6"/>
    </row>
    <row r="7" spans="1:63" ht="15">
      <c r="A7" s="2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31" t="s">
        <v>70</v>
      </c>
      <c r="O7" s="2"/>
      <c r="P7" s="3"/>
      <c r="Q7" s="2"/>
      <c r="R7" s="2"/>
      <c r="S7" s="2"/>
      <c r="T7" s="2"/>
      <c r="U7" s="2"/>
      <c r="V7" s="2"/>
      <c r="W7" s="3"/>
      <c r="X7" s="3"/>
      <c r="Y7" s="2"/>
      <c r="Z7" s="2"/>
      <c r="AA7" s="2"/>
      <c r="AB7" s="2"/>
      <c r="AC7" s="2"/>
      <c r="AD7" s="2"/>
      <c r="AE7" s="2"/>
      <c r="AF7" s="3"/>
      <c r="AG7" s="2"/>
      <c r="AH7" s="2"/>
      <c r="AI7" s="2"/>
      <c r="AJ7" s="2"/>
      <c r="AK7" s="2"/>
      <c r="AL7" s="2"/>
      <c r="AM7" s="3"/>
      <c r="AN7" s="3"/>
      <c r="AO7" s="2"/>
      <c r="AP7" s="2"/>
      <c r="AQ7" s="2"/>
      <c r="AR7" s="2"/>
      <c r="AS7" s="2"/>
      <c r="AT7" s="1"/>
      <c r="AU7" s="2"/>
      <c r="AW7" s="6"/>
      <c r="AX7" s="6"/>
      <c r="AY7" s="6"/>
      <c r="AZ7" s="6"/>
      <c r="BA7" s="6"/>
      <c r="BB7" s="6"/>
      <c r="BC7" s="6"/>
      <c r="BD7" s="31"/>
      <c r="BE7" s="6"/>
      <c r="BF7" s="6"/>
      <c r="BG7" s="6"/>
      <c r="BH7" s="6"/>
      <c r="BI7" s="6"/>
      <c r="BJ7" s="31"/>
      <c r="BK7" s="6"/>
    </row>
    <row r="8" spans="1:63" ht="15">
      <c r="A8" s="2"/>
      <c r="B8" s="2"/>
      <c r="C8" s="2"/>
      <c r="D8" s="2"/>
      <c r="E8" s="2"/>
      <c r="F8" s="2"/>
      <c r="G8" s="3"/>
      <c r="H8" s="2"/>
      <c r="I8" s="2"/>
      <c r="J8" s="2"/>
      <c r="K8" s="2"/>
      <c r="L8" s="1" t="s">
        <v>14</v>
      </c>
      <c r="M8" s="10"/>
      <c r="N8" s="11">
        <f>O17</f>
        <v>109604</v>
      </c>
      <c r="O8" s="2"/>
      <c r="P8" s="3"/>
      <c r="Q8" s="2"/>
      <c r="R8" s="2"/>
      <c r="S8" s="2"/>
      <c r="T8" s="2"/>
      <c r="U8" s="2"/>
      <c r="V8" s="2"/>
      <c r="W8" s="3"/>
      <c r="X8" s="3"/>
      <c r="Y8" s="2"/>
      <c r="Z8" s="2"/>
      <c r="AA8" s="2"/>
      <c r="AB8" s="1" t="s">
        <v>14</v>
      </c>
      <c r="AC8" s="10"/>
      <c r="AD8" s="10">
        <v>715793</v>
      </c>
      <c r="AE8" s="2"/>
      <c r="AF8" s="3"/>
      <c r="AG8" s="2"/>
      <c r="AH8" s="2"/>
      <c r="AI8" s="2"/>
      <c r="AJ8" s="2"/>
      <c r="AK8" s="2"/>
      <c r="AL8" s="2"/>
      <c r="AM8" s="3"/>
      <c r="AN8" s="3"/>
      <c r="AO8" s="2"/>
      <c r="AP8" s="2"/>
      <c r="AQ8" s="2"/>
      <c r="AR8" s="1" t="s">
        <v>15</v>
      </c>
      <c r="AS8" s="10"/>
      <c r="AT8" s="12">
        <v>435388</v>
      </c>
      <c r="AU8" s="2"/>
      <c r="AW8" s="6"/>
      <c r="AX8" s="6"/>
      <c r="AY8" s="6"/>
      <c r="AZ8" s="6"/>
      <c r="BA8" s="6"/>
      <c r="BB8" s="6"/>
      <c r="BE8" s="6"/>
      <c r="BF8" s="6"/>
      <c r="BG8" s="6"/>
      <c r="BH8" s="31" t="s">
        <v>125</v>
      </c>
      <c r="BI8" s="11"/>
      <c r="BJ8" s="58">
        <v>459580</v>
      </c>
      <c r="BK8" s="6"/>
    </row>
    <row r="9" spans="1:6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W9" s="6"/>
      <c r="AX9" s="6"/>
      <c r="AY9" s="6"/>
      <c r="AZ9" s="6"/>
      <c r="BA9" s="6"/>
      <c r="BB9" s="6"/>
      <c r="BC9" s="55"/>
      <c r="BD9" s="55"/>
      <c r="BE9" s="6"/>
      <c r="BF9" s="6"/>
      <c r="BG9" s="6"/>
      <c r="BK9" s="6"/>
    </row>
    <row r="10" spans="1:6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W10" s="6"/>
      <c r="AX10" s="6"/>
      <c r="AY10" s="6"/>
      <c r="AZ10" s="6"/>
      <c r="BA10" s="6"/>
      <c r="BB10" s="6"/>
      <c r="BC10" s="55"/>
      <c r="BD10" s="55"/>
      <c r="BE10" s="6"/>
      <c r="BF10" s="6"/>
      <c r="BG10" s="6"/>
      <c r="BK10" s="6"/>
    </row>
    <row r="11" spans="1:63" ht="15">
      <c r="A11" s="3"/>
      <c r="B11" s="3"/>
      <c r="C11" s="13" t="s">
        <v>16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  <c r="M11" s="13" t="s">
        <v>26</v>
      </c>
      <c r="N11" s="13" t="s">
        <v>27</v>
      </c>
      <c r="O11" s="13" t="s">
        <v>28</v>
      </c>
      <c r="P11" s="3"/>
      <c r="Q11" s="3"/>
      <c r="R11" s="3"/>
      <c r="S11" s="13" t="s">
        <v>16</v>
      </c>
      <c r="T11" s="13" t="s">
        <v>17</v>
      </c>
      <c r="U11" s="13" t="s">
        <v>18</v>
      </c>
      <c r="V11" s="13" t="s">
        <v>19</v>
      </c>
      <c r="W11" s="13" t="s">
        <v>20</v>
      </c>
      <c r="X11" s="13" t="s">
        <v>21</v>
      </c>
      <c r="Y11" s="13" t="s">
        <v>22</v>
      </c>
      <c r="Z11" s="13" t="s">
        <v>23</v>
      </c>
      <c r="AA11" s="13" t="s">
        <v>24</v>
      </c>
      <c r="AB11" s="13" t="s">
        <v>25</v>
      </c>
      <c r="AC11" s="13" t="s">
        <v>26</v>
      </c>
      <c r="AD11" s="13" t="s">
        <v>27</v>
      </c>
      <c r="AE11" s="13" t="s">
        <v>28</v>
      </c>
      <c r="AF11" s="3"/>
      <c r="AG11" s="3"/>
      <c r="AH11" s="3"/>
      <c r="AI11" s="13" t="s">
        <v>16</v>
      </c>
      <c r="AJ11" s="13" t="s">
        <v>17</v>
      </c>
      <c r="AK11" s="13" t="s">
        <v>18</v>
      </c>
      <c r="AL11" s="13" t="s">
        <v>19</v>
      </c>
      <c r="AM11" s="13" t="s">
        <v>20</v>
      </c>
      <c r="AN11" s="13" t="s">
        <v>21</v>
      </c>
      <c r="AO11" s="13" t="s">
        <v>22</v>
      </c>
      <c r="AP11" s="13" t="s">
        <v>23</v>
      </c>
      <c r="AQ11" s="13" t="s">
        <v>24</v>
      </c>
      <c r="AR11" s="13" t="s">
        <v>25</v>
      </c>
      <c r="AS11" s="13" t="s">
        <v>26</v>
      </c>
      <c r="AT11" s="13" t="s">
        <v>27</v>
      </c>
      <c r="AU11" s="13" t="s">
        <v>28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5">
      <c r="A12" s="5" t="s">
        <v>29</v>
      </c>
      <c r="B12" s="3"/>
      <c r="C12" s="13" t="s">
        <v>30</v>
      </c>
      <c r="D12" s="13" t="s">
        <v>30</v>
      </c>
      <c r="E12" s="13" t="s">
        <v>30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  <c r="M12" s="13" t="s">
        <v>30</v>
      </c>
      <c r="N12" s="13" t="s">
        <v>30</v>
      </c>
      <c r="O12" s="13" t="s">
        <v>30</v>
      </c>
      <c r="P12" s="3"/>
      <c r="Q12" s="5" t="s">
        <v>29</v>
      </c>
      <c r="R12" s="3"/>
      <c r="S12" s="13" t="s">
        <v>30</v>
      </c>
      <c r="T12" s="13" t="s">
        <v>30</v>
      </c>
      <c r="U12" s="13" t="s">
        <v>30</v>
      </c>
      <c r="V12" s="13" t="s">
        <v>30</v>
      </c>
      <c r="W12" s="13" t="s">
        <v>30</v>
      </c>
      <c r="X12" s="13" t="s">
        <v>30</v>
      </c>
      <c r="Y12" s="13" t="s">
        <v>30</v>
      </c>
      <c r="Z12" s="13" t="s">
        <v>30</v>
      </c>
      <c r="AA12" s="13" t="s">
        <v>30</v>
      </c>
      <c r="AB12" s="13" t="s">
        <v>30</v>
      </c>
      <c r="AC12" s="13" t="s">
        <v>30</v>
      </c>
      <c r="AD12" s="13" t="s">
        <v>30</v>
      </c>
      <c r="AE12" s="13" t="s">
        <v>30</v>
      </c>
      <c r="AF12" s="3"/>
      <c r="AG12" s="5" t="s">
        <v>29</v>
      </c>
      <c r="AH12" s="3"/>
      <c r="AI12" s="13" t="s">
        <v>30</v>
      </c>
      <c r="AJ12" s="13" t="s">
        <v>30</v>
      </c>
      <c r="AK12" s="13" t="s">
        <v>30</v>
      </c>
      <c r="AL12" s="13" t="s">
        <v>30</v>
      </c>
      <c r="AM12" s="13" t="s">
        <v>30</v>
      </c>
      <c r="AN12" s="13" t="s">
        <v>30</v>
      </c>
      <c r="AO12" s="13" t="s">
        <v>30</v>
      </c>
      <c r="AP12" s="13" t="s">
        <v>30</v>
      </c>
      <c r="AQ12" s="13" t="s">
        <v>30</v>
      </c>
      <c r="AR12" s="13" t="s">
        <v>30</v>
      </c>
      <c r="AS12" s="13" t="s">
        <v>30</v>
      </c>
      <c r="AT12" s="13" t="s">
        <v>30</v>
      </c>
      <c r="AU12" s="13" t="s">
        <v>30</v>
      </c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5">
      <c r="A13" s="5" t="s">
        <v>31</v>
      </c>
      <c r="B13" s="3"/>
      <c r="C13" s="14">
        <v>496981</v>
      </c>
      <c r="D13" s="15">
        <f aca="true" t="shared" si="0" ref="D13:N13">C39</f>
        <v>115533</v>
      </c>
      <c r="E13" s="15">
        <f t="shared" si="0"/>
        <v>219041</v>
      </c>
      <c r="F13" s="15">
        <f t="shared" si="0"/>
        <v>65573</v>
      </c>
      <c r="G13" s="15">
        <f t="shared" si="0"/>
        <v>170458</v>
      </c>
      <c r="H13" s="15">
        <f t="shared" si="0"/>
        <v>457498</v>
      </c>
      <c r="I13" s="15">
        <f t="shared" si="0"/>
        <v>284617</v>
      </c>
      <c r="J13" s="15">
        <f t="shared" si="0"/>
        <v>123388</v>
      </c>
      <c r="K13" s="15">
        <f t="shared" si="0"/>
        <v>158808</v>
      </c>
      <c r="L13" s="15">
        <f t="shared" si="0"/>
        <v>15323</v>
      </c>
      <c r="M13" s="15">
        <f t="shared" si="0"/>
        <v>98953</v>
      </c>
      <c r="N13" s="15">
        <f t="shared" si="0"/>
        <v>132490</v>
      </c>
      <c r="O13" s="15">
        <f>C13</f>
        <v>496981</v>
      </c>
      <c r="P13" s="3"/>
      <c r="Q13" s="5" t="s">
        <v>31</v>
      </c>
      <c r="R13" s="3"/>
      <c r="S13" s="15">
        <f>O39</f>
        <v>123663</v>
      </c>
      <c r="T13" s="15">
        <f aca="true" t="shared" si="1" ref="T13:AD13">S39</f>
        <v>175767</v>
      </c>
      <c r="U13" s="15">
        <f t="shared" si="1"/>
        <v>135373</v>
      </c>
      <c r="V13" s="15">
        <f t="shared" si="1"/>
        <v>167367</v>
      </c>
      <c r="W13" s="15">
        <f t="shared" si="1"/>
        <v>169888</v>
      </c>
      <c r="X13" s="15">
        <f t="shared" si="1"/>
        <v>125501</v>
      </c>
      <c r="Y13" s="15">
        <f t="shared" si="1"/>
        <v>455568</v>
      </c>
      <c r="Z13" s="15">
        <f t="shared" si="1"/>
        <v>257505</v>
      </c>
      <c r="AA13" s="15">
        <f t="shared" si="1"/>
        <v>266285</v>
      </c>
      <c r="AB13" s="15">
        <f t="shared" si="1"/>
        <v>278458</v>
      </c>
      <c r="AC13" s="15">
        <f t="shared" si="1"/>
        <v>273638</v>
      </c>
      <c r="AD13" s="15">
        <f t="shared" si="1"/>
        <v>214806</v>
      </c>
      <c r="AE13" s="15">
        <f>S13</f>
        <v>123663</v>
      </c>
      <c r="AF13" s="3"/>
      <c r="AG13" s="5" t="s">
        <v>31</v>
      </c>
      <c r="AH13" s="3"/>
      <c r="AI13" s="15">
        <f>AE39</f>
        <v>567493</v>
      </c>
      <c r="AJ13" s="15">
        <f aca="true" t="shared" si="2" ref="AJ13:AT13">AI41</f>
        <v>267541</v>
      </c>
      <c r="AK13" s="15">
        <f t="shared" si="2"/>
        <v>393158</v>
      </c>
      <c r="AL13" s="15">
        <f t="shared" si="2"/>
        <v>384771</v>
      </c>
      <c r="AM13" s="15">
        <f t="shared" si="2"/>
        <v>388993</v>
      </c>
      <c r="AN13" s="15">
        <f>AM41</f>
        <v>371996</v>
      </c>
      <c r="AO13" s="15">
        <f t="shared" si="2"/>
        <v>375851.15</v>
      </c>
      <c r="AP13" s="15">
        <f t="shared" si="2"/>
        <v>362086.15</v>
      </c>
      <c r="AQ13" s="15">
        <f t="shared" si="2"/>
        <v>352817.33</v>
      </c>
      <c r="AR13" s="15">
        <f t="shared" si="2"/>
        <v>172848.33000000002</v>
      </c>
      <c r="AS13" s="15">
        <f t="shared" si="2"/>
        <v>223014.33000000002</v>
      </c>
      <c r="AT13" s="15">
        <f t="shared" si="2"/>
        <v>194182.33000000002</v>
      </c>
      <c r="AU13" s="15">
        <f>AI13</f>
        <v>567493</v>
      </c>
      <c r="AW13" s="55"/>
      <c r="AX13" s="55"/>
      <c r="AY13" s="59" t="s">
        <v>16</v>
      </c>
      <c r="AZ13" s="59" t="s">
        <v>17</v>
      </c>
      <c r="BA13" s="59" t="s">
        <v>18</v>
      </c>
      <c r="BB13" s="59" t="s">
        <v>19</v>
      </c>
      <c r="BC13" s="59" t="s">
        <v>20</v>
      </c>
      <c r="BD13" s="59" t="s">
        <v>21</v>
      </c>
      <c r="BE13" s="59" t="s">
        <v>22</v>
      </c>
      <c r="BF13" s="59" t="s">
        <v>23</v>
      </c>
      <c r="BG13" s="59" t="s">
        <v>24</v>
      </c>
      <c r="BH13" s="59" t="s">
        <v>25</v>
      </c>
      <c r="BI13" s="59" t="s">
        <v>26</v>
      </c>
      <c r="BJ13" s="59" t="s">
        <v>27</v>
      </c>
      <c r="BK13" s="59" t="s">
        <v>28</v>
      </c>
    </row>
    <row r="14" spans="1:63" ht="15">
      <c r="A14" s="3"/>
      <c r="B14" s="3"/>
      <c r="C14" s="13" t="s">
        <v>30</v>
      </c>
      <c r="D14" s="13" t="s">
        <v>30</v>
      </c>
      <c r="E14" s="13" t="s">
        <v>30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  <c r="K14" s="13" t="s">
        <v>30</v>
      </c>
      <c r="L14" s="13" t="s">
        <v>30</v>
      </c>
      <c r="M14" s="13" t="s">
        <v>30</v>
      </c>
      <c r="N14" s="13" t="s">
        <v>30</v>
      </c>
      <c r="O14" s="13" t="s">
        <v>30</v>
      </c>
      <c r="P14" s="3"/>
      <c r="Q14" s="3"/>
      <c r="R14" s="3"/>
      <c r="S14" s="13" t="s">
        <v>30</v>
      </c>
      <c r="T14" s="13" t="s">
        <v>30</v>
      </c>
      <c r="U14" s="13" t="s">
        <v>30</v>
      </c>
      <c r="V14" s="13" t="s">
        <v>30</v>
      </c>
      <c r="W14" s="13" t="s">
        <v>30</v>
      </c>
      <c r="X14" s="13" t="s">
        <v>30</v>
      </c>
      <c r="Y14" s="13" t="s">
        <v>30</v>
      </c>
      <c r="Z14" s="13" t="s">
        <v>30</v>
      </c>
      <c r="AA14" s="13" t="s">
        <v>30</v>
      </c>
      <c r="AB14" s="13" t="s">
        <v>30</v>
      </c>
      <c r="AC14" s="13" t="s">
        <v>30</v>
      </c>
      <c r="AD14" s="13" t="s">
        <v>30</v>
      </c>
      <c r="AE14" s="13" t="s">
        <v>30</v>
      </c>
      <c r="AF14" s="3"/>
      <c r="AG14" s="3"/>
      <c r="AH14" s="3"/>
      <c r="AI14" s="13" t="s">
        <v>30</v>
      </c>
      <c r="AJ14" s="13" t="s">
        <v>30</v>
      </c>
      <c r="AK14" s="13" t="s">
        <v>30</v>
      </c>
      <c r="AL14" s="13" t="s">
        <v>30</v>
      </c>
      <c r="AM14" s="13" t="s">
        <v>30</v>
      </c>
      <c r="AN14" s="13" t="s">
        <v>30</v>
      </c>
      <c r="AO14" s="13" t="s">
        <v>30</v>
      </c>
      <c r="AP14" s="13" t="s">
        <v>30</v>
      </c>
      <c r="AQ14" s="13" t="s">
        <v>30</v>
      </c>
      <c r="AR14" s="13" t="s">
        <v>30</v>
      </c>
      <c r="AS14" s="13" t="s">
        <v>30</v>
      </c>
      <c r="AT14" s="13" t="s">
        <v>30</v>
      </c>
      <c r="AU14" s="13" t="s">
        <v>30</v>
      </c>
      <c r="AW14" s="60" t="s">
        <v>29</v>
      </c>
      <c r="AX14" s="55"/>
      <c r="AY14" s="59" t="s">
        <v>30</v>
      </c>
      <c r="AZ14" s="59" t="s">
        <v>30</v>
      </c>
      <c r="BA14" s="59" t="s">
        <v>30</v>
      </c>
      <c r="BB14" s="59" t="s">
        <v>30</v>
      </c>
      <c r="BC14" s="59" t="s">
        <v>30</v>
      </c>
      <c r="BD14" s="59" t="s">
        <v>30</v>
      </c>
      <c r="BE14" s="59" t="s">
        <v>30</v>
      </c>
      <c r="BF14" s="59" t="s">
        <v>30</v>
      </c>
      <c r="BG14" s="59" t="s">
        <v>30</v>
      </c>
      <c r="BH14" s="59" t="s">
        <v>30</v>
      </c>
      <c r="BI14" s="59" t="s">
        <v>30</v>
      </c>
      <c r="BJ14" s="59" t="s">
        <v>30</v>
      </c>
      <c r="BK14" s="59" t="s">
        <v>30</v>
      </c>
    </row>
    <row r="15" spans="1:63" ht="15">
      <c r="A15" s="5" t="s">
        <v>29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  <c r="Q15" s="5" t="s">
        <v>29</v>
      </c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  <c r="AG15" s="5" t="s">
        <v>29</v>
      </c>
      <c r="AH15" s="3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W15" s="60" t="s">
        <v>31</v>
      </c>
      <c r="AX15" s="55"/>
      <c r="AY15" s="14">
        <f>AU41</f>
        <v>88360.33000000007</v>
      </c>
      <c r="AZ15" s="14">
        <f aca="true" t="shared" si="3" ref="AZ15:BJ15">AY42</f>
        <v>65044.330000000075</v>
      </c>
      <c r="BA15" s="14">
        <f t="shared" si="3"/>
        <v>41656.330000000075</v>
      </c>
      <c r="BB15" s="14">
        <f t="shared" si="3"/>
        <v>23269.330000000075</v>
      </c>
      <c r="BC15" s="14">
        <f t="shared" si="3"/>
        <v>17491.330000000075</v>
      </c>
      <c r="BD15" s="14">
        <f t="shared" si="3"/>
        <v>494.3300000000745</v>
      </c>
      <c r="BE15" s="14">
        <f t="shared" si="3"/>
        <v>213237.0300000001</v>
      </c>
      <c r="BF15" s="14">
        <f t="shared" si="3"/>
        <v>199472.0300000001</v>
      </c>
      <c r="BG15" s="14">
        <f t="shared" si="3"/>
        <v>190203.21000000008</v>
      </c>
      <c r="BH15" s="14">
        <f t="shared" si="3"/>
        <v>193158.21000000008</v>
      </c>
      <c r="BI15" s="14">
        <f t="shared" si="3"/>
        <v>154365.21000000008</v>
      </c>
      <c r="BJ15" s="14">
        <f t="shared" si="3"/>
        <v>118598.21000000008</v>
      </c>
      <c r="BK15" s="14">
        <f>AY15</f>
        <v>88360.33000000007</v>
      </c>
    </row>
    <row r="16" spans="1:63" ht="15">
      <c r="A16" s="5" t="s">
        <v>32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5" t="s">
        <v>32</v>
      </c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  <c r="AG16" s="3" t="s">
        <v>32</v>
      </c>
      <c r="AH16" s="3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W16" s="55"/>
      <c r="AX16" s="55"/>
      <c r="AY16" s="59" t="s">
        <v>30</v>
      </c>
      <c r="AZ16" s="59" t="s">
        <v>30</v>
      </c>
      <c r="BA16" s="59" t="s">
        <v>30</v>
      </c>
      <c r="BB16" s="59" t="s">
        <v>30</v>
      </c>
      <c r="BC16" s="59" t="s">
        <v>30</v>
      </c>
      <c r="BD16" s="59" t="s">
        <v>30</v>
      </c>
      <c r="BE16" s="59" t="s">
        <v>30</v>
      </c>
      <c r="BF16" s="59" t="s">
        <v>30</v>
      </c>
      <c r="BG16" s="59" t="s">
        <v>30</v>
      </c>
      <c r="BH16" s="59" t="s">
        <v>30</v>
      </c>
      <c r="BI16" s="59" t="s">
        <v>30</v>
      </c>
      <c r="BJ16" s="59" t="s">
        <v>30</v>
      </c>
      <c r="BK16" s="59" t="s">
        <v>30</v>
      </c>
    </row>
    <row r="17" spans="1:63" s="23" customFormat="1" ht="15">
      <c r="A17" s="16" t="s">
        <v>33</v>
      </c>
      <c r="B17" s="17"/>
      <c r="C17" s="18">
        <v>0</v>
      </c>
      <c r="D17" s="18">
        <v>0</v>
      </c>
      <c r="E17" s="18">
        <v>0</v>
      </c>
      <c r="F17" s="18">
        <v>3772</v>
      </c>
      <c r="G17" s="18">
        <v>21731</v>
      </c>
      <c r="H17" s="18">
        <v>29382</v>
      </c>
      <c r="I17" s="18">
        <v>0</v>
      </c>
      <c r="J17" s="18">
        <v>0</v>
      </c>
      <c r="K17" s="18">
        <v>0</v>
      </c>
      <c r="L17" s="18">
        <v>0</v>
      </c>
      <c r="M17" s="18">
        <v>30224</v>
      </c>
      <c r="N17" s="18">
        <v>24495</v>
      </c>
      <c r="O17" s="19">
        <f>SUM(C17:N17)</f>
        <v>109604</v>
      </c>
      <c r="P17" s="17"/>
      <c r="Q17" s="16" t="s">
        <v>33</v>
      </c>
      <c r="R17" s="17"/>
      <c r="S17" s="18">
        <v>0</v>
      </c>
      <c r="T17" s="18">
        <v>0</v>
      </c>
      <c r="U17" s="18">
        <v>0</v>
      </c>
      <c r="V17" s="18">
        <v>3345</v>
      </c>
      <c r="W17" s="18">
        <v>0</v>
      </c>
      <c r="X17" s="18">
        <v>10006</v>
      </c>
      <c r="Y17" s="18">
        <v>20082</v>
      </c>
      <c r="Z17" s="18">
        <v>25663</v>
      </c>
      <c r="AA17" s="18">
        <v>0</v>
      </c>
      <c r="AB17" s="18">
        <v>0</v>
      </c>
      <c r="AC17" s="18">
        <v>0</v>
      </c>
      <c r="AD17" s="18">
        <v>497964</v>
      </c>
      <c r="AE17" s="19">
        <f>SUM(S17:AD17)</f>
        <v>557060</v>
      </c>
      <c r="AF17" s="17"/>
      <c r="AG17" s="20" t="s">
        <v>34</v>
      </c>
      <c r="AH17" s="17"/>
      <c r="AI17" s="21">
        <v>0</v>
      </c>
      <c r="AJ17" s="21"/>
      <c r="AK17" s="21">
        <v>0</v>
      </c>
      <c r="AL17" s="21">
        <v>0</v>
      </c>
      <c r="AM17" s="21">
        <v>0</v>
      </c>
      <c r="AN17" s="21">
        <v>20902.45</v>
      </c>
      <c r="AO17" s="21">
        <v>0</v>
      </c>
      <c r="AP17" s="21">
        <v>0</v>
      </c>
      <c r="AQ17" s="21">
        <v>88666</v>
      </c>
      <c r="AR17" s="21">
        <v>116941</v>
      </c>
      <c r="AS17" s="21">
        <v>0</v>
      </c>
      <c r="AT17" s="21">
        <v>208879</v>
      </c>
      <c r="AU17" s="22">
        <f aca="true" t="shared" si="4" ref="AU17:AU23">SUM(AI17:AT17)</f>
        <v>435388.45</v>
      </c>
      <c r="AW17" s="60" t="s">
        <v>29</v>
      </c>
      <c r="AX17" s="55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23" customFormat="1" ht="15">
      <c r="A18" s="16" t="s">
        <v>35</v>
      </c>
      <c r="B18" s="17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f>SUM(C18:N18)</f>
        <v>0</v>
      </c>
      <c r="P18" s="17"/>
      <c r="Q18" s="16" t="s">
        <v>35</v>
      </c>
      <c r="R18" s="17"/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9">
        <f>SUM(S18:AD18)</f>
        <v>0</v>
      </c>
      <c r="AF18" s="17"/>
      <c r="AG18" s="20" t="s">
        <v>36</v>
      </c>
      <c r="AH18" s="17"/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2">
        <f t="shared" si="4"/>
        <v>0</v>
      </c>
      <c r="AW18" s="55"/>
      <c r="AX18" s="55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23" customFormat="1" ht="15">
      <c r="A19" s="16" t="s">
        <v>37</v>
      </c>
      <c r="B19" s="17"/>
      <c r="C19" s="18">
        <v>0</v>
      </c>
      <c r="D19" s="18">
        <v>0</v>
      </c>
      <c r="E19" s="18">
        <v>0</v>
      </c>
      <c r="F19" s="18">
        <v>0</v>
      </c>
      <c r="G19" s="18">
        <v>270000</v>
      </c>
      <c r="H19" s="18">
        <v>0</v>
      </c>
      <c r="I19" s="18">
        <v>200000</v>
      </c>
      <c r="J19" s="18">
        <v>0</v>
      </c>
      <c r="K19" s="18">
        <v>0</v>
      </c>
      <c r="L19" s="18">
        <v>250000</v>
      </c>
      <c r="M19" s="18">
        <v>0</v>
      </c>
      <c r="N19" s="18">
        <v>0</v>
      </c>
      <c r="O19" s="19">
        <f>SUM(C19:N19)</f>
        <v>720000</v>
      </c>
      <c r="P19" s="17"/>
      <c r="Q19" s="16" t="s">
        <v>37</v>
      </c>
      <c r="R19" s="17"/>
      <c r="S19" s="18">
        <v>0</v>
      </c>
      <c r="T19" s="18">
        <v>0</v>
      </c>
      <c r="U19" s="18">
        <v>50000</v>
      </c>
      <c r="V19" s="18">
        <v>0</v>
      </c>
      <c r="W19" s="18">
        <v>100000</v>
      </c>
      <c r="X19" s="18">
        <v>0</v>
      </c>
      <c r="Y19" s="18">
        <v>0</v>
      </c>
      <c r="Z19" s="18">
        <v>400000</v>
      </c>
      <c r="AA19" s="18">
        <v>0</v>
      </c>
      <c r="AB19" s="18">
        <v>0</v>
      </c>
      <c r="AC19" s="18">
        <v>0</v>
      </c>
      <c r="AD19" s="18">
        <v>104000</v>
      </c>
      <c r="AE19" s="19">
        <f>SUM(S19:AD19)</f>
        <v>654000</v>
      </c>
      <c r="AF19" s="17"/>
      <c r="AG19" s="20" t="s">
        <v>38</v>
      </c>
      <c r="AH19" s="17"/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2">
        <f t="shared" si="4"/>
        <v>0</v>
      </c>
      <c r="AW19" s="61" t="s">
        <v>32</v>
      </c>
      <c r="AX19" s="24"/>
      <c r="AY19" s="62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 s="23" customFormat="1" ht="1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7"/>
      <c r="Q20" s="16" t="s">
        <v>134</v>
      </c>
      <c r="R20" s="17"/>
      <c r="S20" s="18">
        <v>217000</v>
      </c>
      <c r="T20" s="18">
        <v>0</v>
      </c>
      <c r="U20" s="18">
        <v>0</v>
      </c>
      <c r="V20" s="18">
        <v>0</v>
      </c>
      <c r="W20" s="18">
        <v>0</v>
      </c>
      <c r="X20" s="18">
        <v>356446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9">
        <f>SUM(S20:AD20)</f>
        <v>573446</v>
      </c>
      <c r="AF20" s="17"/>
      <c r="AG20" s="20"/>
      <c r="AH20" s="17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  <c r="AW20" s="61"/>
      <c r="AX20" s="24"/>
      <c r="AY20" s="62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</row>
    <row r="21" spans="1:63" s="23" customFormat="1" ht="15">
      <c r="A21" s="16" t="s">
        <v>39</v>
      </c>
      <c r="B21" s="17"/>
      <c r="C21" s="18">
        <v>125520</v>
      </c>
      <c r="D21" s="18">
        <f>150000+308</f>
        <v>150308</v>
      </c>
      <c r="E21" s="18">
        <v>0</v>
      </c>
      <c r="F21" s="18">
        <f>100442+6189</f>
        <v>106631</v>
      </c>
      <c r="G21" s="18">
        <v>0</v>
      </c>
      <c r="H21" s="18">
        <v>2255</v>
      </c>
      <c r="I21" s="18">
        <v>690</v>
      </c>
      <c r="J21" s="18">
        <v>150256</v>
      </c>
      <c r="K21" s="18">
        <f>100349</f>
        <v>100349</v>
      </c>
      <c r="L21" s="18">
        <v>100520</v>
      </c>
      <c r="M21" s="18">
        <v>5444</v>
      </c>
      <c r="N21" s="18">
        <v>125000</v>
      </c>
      <c r="O21" s="19">
        <f>SUM(C21:N21)</f>
        <v>866973</v>
      </c>
      <c r="P21" s="17"/>
      <c r="Q21" s="16" t="s">
        <v>39</v>
      </c>
      <c r="R21" s="17"/>
      <c r="S21" s="18">
        <v>194</v>
      </c>
      <c r="T21" s="18">
        <v>0</v>
      </c>
      <c r="U21" s="18">
        <v>0</v>
      </c>
      <c r="V21" s="18">
        <v>2848</v>
      </c>
      <c r="W21" s="18">
        <v>0</v>
      </c>
      <c r="X21" s="18">
        <v>891</v>
      </c>
      <c r="Y21" s="18">
        <v>2425</v>
      </c>
      <c r="Z21" s="18">
        <v>39720</v>
      </c>
      <c r="AA21" s="18">
        <v>18091</v>
      </c>
      <c r="AB21" s="18">
        <v>1684</v>
      </c>
      <c r="AC21" s="18">
        <v>0</v>
      </c>
      <c r="AD21" s="18">
        <v>69287</v>
      </c>
      <c r="AE21" s="19">
        <f>SUM(S21:AD21)</f>
        <v>135140</v>
      </c>
      <c r="AF21" s="17"/>
      <c r="AG21" s="20" t="s">
        <v>40</v>
      </c>
      <c r="AH21" s="17"/>
      <c r="AI21" s="21">
        <v>327364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2">
        <f t="shared" si="4"/>
        <v>327364</v>
      </c>
      <c r="AW21" s="63"/>
      <c r="AX21" s="24"/>
      <c r="AY21" s="62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63" ht="15">
      <c r="A22" s="3"/>
      <c r="B22" s="3"/>
      <c r="C22" s="25" t="s">
        <v>30</v>
      </c>
      <c r="D22" s="25" t="s">
        <v>30</v>
      </c>
      <c r="E22" s="25" t="s">
        <v>30</v>
      </c>
      <c r="F22" s="25" t="s">
        <v>30</v>
      </c>
      <c r="G22" s="25" t="s">
        <v>30</v>
      </c>
      <c r="H22" s="25" t="s">
        <v>30</v>
      </c>
      <c r="I22" s="25" t="s">
        <v>30</v>
      </c>
      <c r="J22" s="25" t="s">
        <v>30</v>
      </c>
      <c r="K22" s="25" t="s">
        <v>30</v>
      </c>
      <c r="L22" s="25" t="s">
        <v>30</v>
      </c>
      <c r="M22" s="25" t="s">
        <v>30</v>
      </c>
      <c r="N22" s="25" t="s">
        <v>30</v>
      </c>
      <c r="O22" s="13" t="s">
        <v>30</v>
      </c>
      <c r="P22" s="3"/>
      <c r="Q22" s="3"/>
      <c r="R22" s="3"/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 t="s">
        <v>30</v>
      </c>
      <c r="AC22" s="25" t="s">
        <v>30</v>
      </c>
      <c r="AD22" s="25" t="s">
        <v>30</v>
      </c>
      <c r="AE22" s="13" t="s">
        <v>30</v>
      </c>
      <c r="AF22" s="3"/>
      <c r="AG22" s="20" t="s">
        <v>41</v>
      </c>
      <c r="AH22" s="17"/>
      <c r="AI22" s="21">
        <v>0</v>
      </c>
      <c r="AJ22" s="21">
        <v>14991</v>
      </c>
      <c r="AK22" s="21">
        <v>0</v>
      </c>
      <c r="AL22" s="21">
        <v>7594</v>
      </c>
      <c r="AM22" s="21">
        <v>0</v>
      </c>
      <c r="AN22" s="21">
        <v>35655.7</v>
      </c>
      <c r="AO22" s="21">
        <v>0</v>
      </c>
      <c r="AP22" s="21">
        <v>3150.18</v>
      </c>
      <c r="AQ22" s="21">
        <v>37955</v>
      </c>
      <c r="AR22" s="21">
        <v>0</v>
      </c>
      <c r="AS22" s="21">
        <f>AC21</f>
        <v>0</v>
      </c>
      <c r="AT22" s="21">
        <v>0</v>
      </c>
      <c r="AU22" s="22">
        <f t="shared" si="4"/>
        <v>99345.88</v>
      </c>
      <c r="AW22" s="63" t="s">
        <v>126</v>
      </c>
      <c r="AX22" s="24"/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229790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229790</v>
      </c>
      <c r="BK22" s="18">
        <f>SUM(AY22:BJ22)</f>
        <v>459580</v>
      </c>
    </row>
    <row r="23" spans="1:63" ht="15">
      <c r="A23" s="3"/>
      <c r="B23" s="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3"/>
      <c r="P23" s="3"/>
      <c r="Q23" s="3"/>
      <c r="R23" s="3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3"/>
      <c r="AF23" s="3"/>
      <c r="AG23" s="20" t="s">
        <v>42</v>
      </c>
      <c r="AH23" s="17"/>
      <c r="AI23" s="21">
        <v>0</v>
      </c>
      <c r="AJ23" s="21">
        <v>149005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2">
        <f t="shared" si="4"/>
        <v>149005</v>
      </c>
      <c r="AW23" s="16" t="s">
        <v>127</v>
      </c>
      <c r="AX23" s="24"/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f>SUM(AY23:BJ23)</f>
        <v>0</v>
      </c>
    </row>
    <row r="24" spans="1:63" s="23" customFormat="1" ht="15">
      <c r="A24" s="16" t="s">
        <v>43</v>
      </c>
      <c r="B24" s="17"/>
      <c r="C24" s="19">
        <f aca="true" t="shared" si="5" ref="C24:O24">SUM(C17:C21)</f>
        <v>125520</v>
      </c>
      <c r="D24" s="19">
        <f t="shared" si="5"/>
        <v>150308</v>
      </c>
      <c r="E24" s="19">
        <f t="shared" si="5"/>
        <v>0</v>
      </c>
      <c r="F24" s="19">
        <f t="shared" si="5"/>
        <v>110403</v>
      </c>
      <c r="G24" s="19">
        <f t="shared" si="5"/>
        <v>291731</v>
      </c>
      <c r="H24" s="19">
        <f t="shared" si="5"/>
        <v>31637</v>
      </c>
      <c r="I24" s="19">
        <f t="shared" si="5"/>
        <v>200690</v>
      </c>
      <c r="J24" s="19">
        <f t="shared" si="5"/>
        <v>150256</v>
      </c>
      <c r="K24" s="19">
        <f t="shared" si="5"/>
        <v>100349</v>
      </c>
      <c r="L24" s="19">
        <f t="shared" si="5"/>
        <v>350520</v>
      </c>
      <c r="M24" s="19">
        <f t="shared" si="5"/>
        <v>35668</v>
      </c>
      <c r="N24" s="19">
        <f t="shared" si="5"/>
        <v>149495</v>
      </c>
      <c r="O24" s="19">
        <f t="shared" si="5"/>
        <v>1696577</v>
      </c>
      <c r="P24" s="17"/>
      <c r="Q24" s="16" t="s">
        <v>43</v>
      </c>
      <c r="R24" s="17"/>
      <c r="S24" s="19">
        <f>SUM(S17:S21)</f>
        <v>217194</v>
      </c>
      <c r="T24" s="19">
        <f aca="true" t="shared" si="6" ref="T24:AD24">SUM(T17:T21)</f>
        <v>0</v>
      </c>
      <c r="U24" s="19">
        <f t="shared" si="6"/>
        <v>50000</v>
      </c>
      <c r="V24" s="19">
        <f t="shared" si="6"/>
        <v>6193</v>
      </c>
      <c r="W24" s="19">
        <f t="shared" si="6"/>
        <v>100000</v>
      </c>
      <c r="X24" s="19">
        <f t="shared" si="6"/>
        <v>367343</v>
      </c>
      <c r="Y24" s="19">
        <f t="shared" si="6"/>
        <v>22507</v>
      </c>
      <c r="Z24" s="19">
        <f t="shared" si="6"/>
        <v>465383</v>
      </c>
      <c r="AA24" s="19">
        <f t="shared" si="6"/>
        <v>18091</v>
      </c>
      <c r="AB24" s="19">
        <f t="shared" si="6"/>
        <v>1684</v>
      </c>
      <c r="AC24" s="19">
        <f t="shared" si="6"/>
        <v>0</v>
      </c>
      <c r="AD24" s="19">
        <f t="shared" si="6"/>
        <v>671251</v>
      </c>
      <c r="AE24" s="19">
        <f>SUM(AE17:AE21)</f>
        <v>1919646</v>
      </c>
      <c r="AF24" s="17"/>
      <c r="AG24" s="3"/>
      <c r="AH24" s="3"/>
      <c r="AI24" s="25" t="s">
        <v>30</v>
      </c>
      <c r="AJ24" s="25" t="s">
        <v>30</v>
      </c>
      <c r="AK24" s="25" t="s">
        <v>30</v>
      </c>
      <c r="AL24" s="25" t="s">
        <v>30</v>
      </c>
      <c r="AM24" s="25" t="s">
        <v>30</v>
      </c>
      <c r="AN24" s="25" t="s">
        <v>30</v>
      </c>
      <c r="AO24" s="25" t="s">
        <v>30</v>
      </c>
      <c r="AP24" s="25" t="s">
        <v>30</v>
      </c>
      <c r="AQ24" s="25" t="s">
        <v>30</v>
      </c>
      <c r="AR24" s="25" t="s">
        <v>30</v>
      </c>
      <c r="AS24" s="25" t="s">
        <v>30</v>
      </c>
      <c r="AT24" s="25" t="s">
        <v>30</v>
      </c>
      <c r="AU24" s="25" t="s">
        <v>30</v>
      </c>
      <c r="AW24" s="64" t="s">
        <v>128</v>
      </c>
      <c r="AX24" s="24"/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f>SUM(AY24:BJ24)</f>
        <v>0</v>
      </c>
    </row>
    <row r="25" spans="1:63" ht="15">
      <c r="A25" s="3"/>
      <c r="B25" s="3"/>
      <c r="C25" s="25" t="s">
        <v>30</v>
      </c>
      <c r="D25" s="25" t="s">
        <v>30</v>
      </c>
      <c r="E25" s="25" t="s">
        <v>30</v>
      </c>
      <c r="F25" s="25" t="s">
        <v>30</v>
      </c>
      <c r="G25" s="25" t="s">
        <v>30</v>
      </c>
      <c r="H25" s="25" t="s">
        <v>30</v>
      </c>
      <c r="I25" s="25" t="s">
        <v>30</v>
      </c>
      <c r="J25" s="25" t="s">
        <v>30</v>
      </c>
      <c r="K25" s="25" t="s">
        <v>30</v>
      </c>
      <c r="L25" s="25" t="s">
        <v>30</v>
      </c>
      <c r="M25" s="25" t="s">
        <v>30</v>
      </c>
      <c r="N25" s="25" t="s">
        <v>30</v>
      </c>
      <c r="O25" s="13" t="s">
        <v>30</v>
      </c>
      <c r="P25" s="3"/>
      <c r="Q25" s="3"/>
      <c r="R25" s="3"/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 t="s">
        <v>30</v>
      </c>
      <c r="AC25" s="25" t="s">
        <v>30</v>
      </c>
      <c r="AD25" s="25" t="s">
        <v>30</v>
      </c>
      <c r="AE25" s="13" t="s">
        <v>30</v>
      </c>
      <c r="AF25" s="3"/>
      <c r="AG25" s="26" t="s">
        <v>43</v>
      </c>
      <c r="AH25" s="17"/>
      <c r="AI25" s="19">
        <f>SUM(AI17:AI23)</f>
        <v>327364</v>
      </c>
      <c r="AJ25" s="19">
        <f aca="true" t="shared" si="7" ref="AJ25:AU25">SUM(AJ17:AJ23)</f>
        <v>163996</v>
      </c>
      <c r="AK25" s="19">
        <f t="shared" si="7"/>
        <v>0</v>
      </c>
      <c r="AL25" s="19">
        <f t="shared" si="7"/>
        <v>7594</v>
      </c>
      <c r="AM25" s="19">
        <f t="shared" si="7"/>
        <v>0</v>
      </c>
      <c r="AN25" s="19">
        <f t="shared" si="7"/>
        <v>56558.149999999994</v>
      </c>
      <c r="AO25" s="19">
        <f t="shared" si="7"/>
        <v>0</v>
      </c>
      <c r="AP25" s="19">
        <f t="shared" si="7"/>
        <v>3150.18</v>
      </c>
      <c r="AQ25" s="19">
        <f t="shared" si="7"/>
        <v>126621</v>
      </c>
      <c r="AR25" s="19">
        <f t="shared" si="7"/>
        <v>116941</v>
      </c>
      <c r="AS25" s="19">
        <f t="shared" si="7"/>
        <v>0</v>
      </c>
      <c r="AT25" s="19">
        <f t="shared" si="7"/>
        <v>208879</v>
      </c>
      <c r="AU25" s="19">
        <f t="shared" si="7"/>
        <v>1011103.33</v>
      </c>
      <c r="AW25" s="64" t="s">
        <v>41</v>
      </c>
      <c r="AX25" s="24"/>
      <c r="AY25" s="18">
        <f>AI22</f>
        <v>0</v>
      </c>
      <c r="AZ25" s="18">
        <f aca="true" t="shared" si="8" ref="AZ25:BI25">AJ22</f>
        <v>14991</v>
      </c>
      <c r="BA25" s="18">
        <f t="shared" si="8"/>
        <v>0</v>
      </c>
      <c r="BB25" s="18">
        <f t="shared" si="8"/>
        <v>7594</v>
      </c>
      <c r="BC25" s="18">
        <f t="shared" si="8"/>
        <v>0</v>
      </c>
      <c r="BD25" s="18">
        <f t="shared" si="8"/>
        <v>35655.7</v>
      </c>
      <c r="BE25" s="18">
        <f t="shared" si="8"/>
        <v>0</v>
      </c>
      <c r="BF25" s="18">
        <f t="shared" si="8"/>
        <v>3150.18</v>
      </c>
      <c r="BG25" s="18">
        <f t="shared" si="8"/>
        <v>37955</v>
      </c>
      <c r="BH25" s="18">
        <v>0</v>
      </c>
      <c r="BI25" s="18">
        <f t="shared" si="8"/>
        <v>0</v>
      </c>
      <c r="BJ25" s="18">
        <v>0</v>
      </c>
      <c r="BK25" s="18">
        <f>SUM(AY25:BJ25)</f>
        <v>99345.88</v>
      </c>
    </row>
    <row r="26" spans="1:63" ht="15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3"/>
      <c r="AF26" s="3"/>
      <c r="AG26" s="3"/>
      <c r="AH26" s="3"/>
      <c r="AI26" s="25" t="s">
        <v>30</v>
      </c>
      <c r="AJ26" s="25" t="s">
        <v>30</v>
      </c>
      <c r="AK26" s="25" t="s">
        <v>30</v>
      </c>
      <c r="AL26" s="25" t="s">
        <v>30</v>
      </c>
      <c r="AM26" s="25" t="s">
        <v>30</v>
      </c>
      <c r="AN26" s="25" t="s">
        <v>30</v>
      </c>
      <c r="AO26" s="25" t="s">
        <v>30</v>
      </c>
      <c r="AP26" s="25" t="s">
        <v>30</v>
      </c>
      <c r="AQ26" s="25" t="s">
        <v>30</v>
      </c>
      <c r="AR26" s="25" t="s">
        <v>30</v>
      </c>
      <c r="AS26" s="25" t="s">
        <v>30</v>
      </c>
      <c r="AT26" s="25" t="s">
        <v>30</v>
      </c>
      <c r="AU26" s="25" t="s">
        <v>30</v>
      </c>
      <c r="AW26" s="55"/>
      <c r="AX26" s="55"/>
      <c r="AY26" s="65" t="s">
        <v>30</v>
      </c>
      <c r="AZ26" s="65" t="s">
        <v>30</v>
      </c>
      <c r="BA26" s="65" t="s">
        <v>30</v>
      </c>
      <c r="BB26" s="65" t="s">
        <v>30</v>
      </c>
      <c r="BC26" s="65" t="s">
        <v>30</v>
      </c>
      <c r="BD26" s="65" t="s">
        <v>30</v>
      </c>
      <c r="BE26" s="65" t="s">
        <v>30</v>
      </c>
      <c r="BF26" s="65" t="s">
        <v>30</v>
      </c>
      <c r="BG26" s="65" t="s">
        <v>30</v>
      </c>
      <c r="BH26" s="65" t="s">
        <v>30</v>
      </c>
      <c r="BI26" s="65" t="s">
        <v>30</v>
      </c>
      <c r="BJ26" s="65" t="s">
        <v>30</v>
      </c>
      <c r="BK26" s="65" t="s">
        <v>30</v>
      </c>
    </row>
    <row r="27" spans="1:63" ht="15">
      <c r="A27" s="5" t="s">
        <v>44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  <c r="Q27" s="5" t="s">
        <v>44</v>
      </c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"/>
      <c r="AF27" s="3"/>
      <c r="AG27" s="3"/>
      <c r="AH27" s="3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W27" s="63" t="s">
        <v>43</v>
      </c>
      <c r="AX27" s="24"/>
      <c r="AY27" s="66">
        <f>SUM(AY22:AY25)</f>
        <v>0</v>
      </c>
      <c r="AZ27" s="66">
        <f aca="true" t="shared" si="9" ref="AZ27:BK27">SUM(AZ22:AZ25)</f>
        <v>14991</v>
      </c>
      <c r="BA27" s="66">
        <f t="shared" si="9"/>
        <v>0</v>
      </c>
      <c r="BB27" s="66">
        <f t="shared" si="9"/>
        <v>7594</v>
      </c>
      <c r="BC27" s="66">
        <f t="shared" si="9"/>
        <v>0</v>
      </c>
      <c r="BD27" s="66">
        <f t="shared" si="9"/>
        <v>265445.7</v>
      </c>
      <c r="BE27" s="66">
        <f t="shared" si="9"/>
        <v>0</v>
      </c>
      <c r="BF27" s="66">
        <f t="shared" si="9"/>
        <v>3150.18</v>
      </c>
      <c r="BG27" s="66">
        <f t="shared" si="9"/>
        <v>37955</v>
      </c>
      <c r="BH27" s="66">
        <f t="shared" si="9"/>
        <v>0</v>
      </c>
      <c r="BI27" s="66">
        <f t="shared" si="9"/>
        <v>0</v>
      </c>
      <c r="BJ27" s="66">
        <f t="shared" si="9"/>
        <v>229790</v>
      </c>
      <c r="BK27" s="66">
        <f t="shared" si="9"/>
        <v>558925.88</v>
      </c>
    </row>
    <row r="28" spans="1:63" s="23" customFormat="1" ht="15">
      <c r="A28" s="16" t="s">
        <v>45</v>
      </c>
      <c r="B28" s="17"/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9">
        <f>SUM(C28:N28)</f>
        <v>0</v>
      </c>
      <c r="P28" s="17"/>
      <c r="Q28" s="16" t="s">
        <v>45</v>
      </c>
      <c r="R28" s="17"/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9">
        <f aca="true" t="shared" si="10" ref="AE28:AE33">SUM(S28:AD28)</f>
        <v>0</v>
      </c>
      <c r="AF28" s="17"/>
      <c r="AG28" s="16" t="s">
        <v>44</v>
      </c>
      <c r="AH28" s="17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2"/>
      <c r="AW28" s="55"/>
      <c r="AX28" s="55"/>
      <c r="AY28" s="65" t="s">
        <v>30</v>
      </c>
      <c r="AZ28" s="65" t="s">
        <v>30</v>
      </c>
      <c r="BA28" s="65" t="s">
        <v>30</v>
      </c>
      <c r="BB28" s="65" t="s">
        <v>30</v>
      </c>
      <c r="BC28" s="65" t="s">
        <v>30</v>
      </c>
      <c r="BD28" s="65" t="s">
        <v>30</v>
      </c>
      <c r="BE28" s="65" t="s">
        <v>30</v>
      </c>
      <c r="BF28" s="65" t="s">
        <v>30</v>
      </c>
      <c r="BG28" s="65" t="s">
        <v>30</v>
      </c>
      <c r="BH28" s="65" t="s">
        <v>30</v>
      </c>
      <c r="BI28" s="65" t="s">
        <v>30</v>
      </c>
      <c r="BJ28" s="65" t="s">
        <v>30</v>
      </c>
      <c r="BK28" s="65" t="s">
        <v>30</v>
      </c>
    </row>
    <row r="29" spans="1:63" s="23" customFormat="1" ht="1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7"/>
      <c r="Q29" s="16" t="s">
        <v>139</v>
      </c>
      <c r="R29" s="17"/>
      <c r="S29" s="18">
        <v>2554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9">
        <f t="shared" si="10"/>
        <v>2554</v>
      </c>
      <c r="AF29" s="17"/>
      <c r="AG29" s="16"/>
      <c r="AH29" s="17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2"/>
      <c r="AW29" s="55"/>
      <c r="AX29" s="5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30" spans="1:63" s="23" customFormat="1" ht="15">
      <c r="A30" s="16" t="s">
        <v>37</v>
      </c>
      <c r="B30" s="17"/>
      <c r="C30" s="18">
        <v>250000</v>
      </c>
      <c r="D30" s="18">
        <v>0</v>
      </c>
      <c r="E30" s="18">
        <v>150000</v>
      </c>
      <c r="F30" s="18">
        <v>0</v>
      </c>
      <c r="G30" s="18">
        <v>0</v>
      </c>
      <c r="H30" s="18">
        <v>200000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f>SUM(C30:N30)</f>
        <v>600000</v>
      </c>
      <c r="P30" s="17"/>
      <c r="Q30" s="16" t="s">
        <v>37</v>
      </c>
      <c r="R30" s="17"/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50000</v>
      </c>
      <c r="AD30" s="18">
        <v>0</v>
      </c>
      <c r="AE30" s="19">
        <f t="shared" si="10"/>
        <v>50000</v>
      </c>
      <c r="AF30" s="17"/>
      <c r="AG30" s="20" t="s">
        <v>46</v>
      </c>
      <c r="AH30" s="17"/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2">
        <f>SUM(AI30:AT30)</f>
        <v>0</v>
      </c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23" customFormat="1" ht="1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7"/>
      <c r="Q31" s="16" t="s">
        <v>134</v>
      </c>
      <c r="R31" s="17"/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286723</v>
      </c>
      <c r="AA31" s="18">
        <v>0</v>
      </c>
      <c r="AB31" s="18">
        <v>0</v>
      </c>
      <c r="AC31" s="18">
        <v>0</v>
      </c>
      <c r="AD31" s="18">
        <v>286723</v>
      </c>
      <c r="AE31" s="19">
        <f t="shared" si="10"/>
        <v>573446</v>
      </c>
      <c r="AF31" s="17"/>
      <c r="AG31" s="20"/>
      <c r="AH31" s="17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2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23" customFormat="1" ht="1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7"/>
      <c r="Q32" s="16" t="s">
        <v>140</v>
      </c>
      <c r="R32" s="17"/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888</v>
      </c>
      <c r="AA32" s="18">
        <v>0</v>
      </c>
      <c r="AB32" s="18">
        <v>0</v>
      </c>
      <c r="AC32" s="18">
        <v>0</v>
      </c>
      <c r="AD32" s="18">
        <v>3457</v>
      </c>
      <c r="AE32" s="19">
        <f t="shared" si="10"/>
        <v>4345</v>
      </c>
      <c r="AF32" s="17"/>
      <c r="AG32" s="20"/>
      <c r="AH32" s="17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23" customFormat="1" ht="15">
      <c r="A33" s="16" t="s">
        <v>47</v>
      </c>
      <c r="B33" s="17"/>
      <c r="C33" s="18">
        <v>256968</v>
      </c>
      <c r="D33" s="18">
        <v>46800</v>
      </c>
      <c r="E33" s="18">
        <v>3468</v>
      </c>
      <c r="F33" s="18">
        <v>5518</v>
      </c>
      <c r="G33" s="18">
        <v>4691</v>
      </c>
      <c r="H33" s="18">
        <v>4518</v>
      </c>
      <c r="I33" s="18">
        <f>350000+11919</f>
        <v>361919</v>
      </c>
      <c r="J33" s="18">
        <v>114836</v>
      </c>
      <c r="K33" s="18">
        <v>243834</v>
      </c>
      <c r="L33" s="18">
        <f>141890+125000</f>
        <v>266890</v>
      </c>
      <c r="M33" s="18">
        <v>2131</v>
      </c>
      <c r="N33" s="18">
        <f>158264+58</f>
        <v>158322</v>
      </c>
      <c r="O33" s="19">
        <f>SUM(C33:N33)</f>
        <v>1469895</v>
      </c>
      <c r="P33" s="17"/>
      <c r="Q33" s="16" t="s">
        <v>47</v>
      </c>
      <c r="R33" s="17"/>
      <c r="S33" s="18">
        <v>162536</v>
      </c>
      <c r="T33" s="18">
        <v>40394</v>
      </c>
      <c r="U33" s="18">
        <v>18006</v>
      </c>
      <c r="V33" s="18">
        <v>3672</v>
      </c>
      <c r="W33" s="18">
        <v>144387</v>
      </c>
      <c r="X33" s="18">
        <v>37276</v>
      </c>
      <c r="Y33" s="18">
        <v>220570</v>
      </c>
      <c r="Z33" s="18">
        <v>168992</v>
      </c>
      <c r="AA33" s="18">
        <v>5918</v>
      </c>
      <c r="AB33" s="18">
        <v>6504</v>
      </c>
      <c r="AC33" s="18">
        <v>8832</v>
      </c>
      <c r="AD33" s="18">
        <v>28384</v>
      </c>
      <c r="AE33" s="19">
        <f t="shared" si="10"/>
        <v>845471</v>
      </c>
      <c r="AF33" s="17"/>
      <c r="AG33" s="20" t="s">
        <v>38</v>
      </c>
      <c r="AH33" s="17"/>
      <c r="AI33" s="21">
        <v>604000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2">
        <f>SUM(AI33:AT33)</f>
        <v>604000</v>
      </c>
      <c r="AW33" s="67" t="s">
        <v>44</v>
      </c>
      <c r="AX33" s="24"/>
      <c r="AY33" s="62"/>
      <c r="AZ33" s="62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63" ht="15">
      <c r="A34" s="3"/>
      <c r="B34" s="3"/>
      <c r="C34" s="25" t="s">
        <v>30</v>
      </c>
      <c r="D34" s="25" t="s">
        <v>30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30</v>
      </c>
      <c r="L34" s="25" t="s">
        <v>30</v>
      </c>
      <c r="M34" s="25" t="s">
        <v>30</v>
      </c>
      <c r="N34" s="25" t="s">
        <v>30</v>
      </c>
      <c r="O34" s="13" t="s">
        <v>30</v>
      </c>
      <c r="P34" s="3"/>
      <c r="Q34" s="3"/>
      <c r="R34" s="3"/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30</v>
      </c>
      <c r="Y34" s="25" t="s">
        <v>30</v>
      </c>
      <c r="Z34" s="25" t="s">
        <v>30</v>
      </c>
      <c r="AA34" s="25" t="s">
        <v>30</v>
      </c>
      <c r="AB34" s="25" t="s">
        <v>30</v>
      </c>
      <c r="AC34" s="25" t="s">
        <v>30</v>
      </c>
      <c r="AD34" s="25" t="s">
        <v>30</v>
      </c>
      <c r="AE34" s="13" t="s">
        <v>30</v>
      </c>
      <c r="AF34" s="3"/>
      <c r="AG34" s="20" t="s">
        <v>48</v>
      </c>
      <c r="AH34" s="17"/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41047</v>
      </c>
      <c r="AS34" s="21">
        <v>0</v>
      </c>
      <c r="AT34" s="21">
        <v>286317</v>
      </c>
      <c r="AU34" s="22">
        <f>SUM(AI34:AT34)</f>
        <v>327364</v>
      </c>
      <c r="AW34" s="63" t="s">
        <v>46</v>
      </c>
      <c r="AX34" s="24"/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f>SUM(AY34:BJ34)</f>
        <v>0</v>
      </c>
    </row>
    <row r="35" spans="1:63" s="23" customFormat="1" ht="15">
      <c r="A35" s="16" t="s">
        <v>49</v>
      </c>
      <c r="B35" s="17"/>
      <c r="C35" s="19">
        <f aca="true" t="shared" si="11" ref="C35:O35">SUM(C28:C33)</f>
        <v>506968</v>
      </c>
      <c r="D35" s="19">
        <f t="shared" si="11"/>
        <v>46800</v>
      </c>
      <c r="E35" s="19">
        <f t="shared" si="11"/>
        <v>153468</v>
      </c>
      <c r="F35" s="19">
        <f t="shared" si="11"/>
        <v>5518</v>
      </c>
      <c r="G35" s="19">
        <f t="shared" si="11"/>
        <v>4691</v>
      </c>
      <c r="H35" s="19">
        <f t="shared" si="11"/>
        <v>204518</v>
      </c>
      <c r="I35" s="19">
        <f t="shared" si="11"/>
        <v>361919</v>
      </c>
      <c r="J35" s="19">
        <f t="shared" si="11"/>
        <v>114836</v>
      </c>
      <c r="K35" s="19">
        <f t="shared" si="11"/>
        <v>243834</v>
      </c>
      <c r="L35" s="19">
        <f t="shared" si="11"/>
        <v>266890</v>
      </c>
      <c r="M35" s="19">
        <f t="shared" si="11"/>
        <v>2131</v>
      </c>
      <c r="N35" s="19">
        <f t="shared" si="11"/>
        <v>158322</v>
      </c>
      <c r="O35" s="19">
        <f t="shared" si="11"/>
        <v>2069895</v>
      </c>
      <c r="P35" s="17"/>
      <c r="Q35" s="16" t="s">
        <v>49</v>
      </c>
      <c r="R35" s="17"/>
      <c r="S35" s="19">
        <f aca="true" t="shared" si="12" ref="S35:AE35">SUM(S28:S33)</f>
        <v>165090</v>
      </c>
      <c r="T35" s="19">
        <f t="shared" si="12"/>
        <v>40394</v>
      </c>
      <c r="U35" s="19">
        <f t="shared" si="12"/>
        <v>18006</v>
      </c>
      <c r="V35" s="19">
        <f t="shared" si="12"/>
        <v>3672</v>
      </c>
      <c r="W35" s="19">
        <f t="shared" si="12"/>
        <v>144387</v>
      </c>
      <c r="X35" s="19">
        <f t="shared" si="12"/>
        <v>37276</v>
      </c>
      <c r="Y35" s="19">
        <f t="shared" si="12"/>
        <v>220570</v>
      </c>
      <c r="Z35" s="19">
        <f t="shared" si="12"/>
        <v>456603</v>
      </c>
      <c r="AA35" s="19">
        <f t="shared" si="12"/>
        <v>5918</v>
      </c>
      <c r="AB35" s="19">
        <f t="shared" si="12"/>
        <v>6504</v>
      </c>
      <c r="AC35" s="19">
        <f t="shared" si="12"/>
        <v>58832</v>
      </c>
      <c r="AD35" s="19">
        <f t="shared" si="12"/>
        <v>318564</v>
      </c>
      <c r="AE35" s="19">
        <f t="shared" si="12"/>
        <v>1475816</v>
      </c>
      <c r="AF35" s="17"/>
      <c r="AG35" s="20" t="s">
        <v>50</v>
      </c>
      <c r="AH35" s="17"/>
      <c r="AI35" s="21">
        <f>265+23051</f>
        <v>23316</v>
      </c>
      <c r="AJ35" s="21">
        <v>38379</v>
      </c>
      <c r="AK35" s="21">
        <v>8387</v>
      </c>
      <c r="AL35" s="21">
        <v>3372</v>
      </c>
      <c r="AM35" s="21">
        <v>16997</v>
      </c>
      <c r="AN35" s="21">
        <v>52703</v>
      </c>
      <c r="AO35" s="21">
        <v>13765</v>
      </c>
      <c r="AP35" s="21">
        <v>12419</v>
      </c>
      <c r="AQ35" s="21">
        <v>306590</v>
      </c>
      <c r="AR35" s="21">
        <f>15728+10000</f>
        <v>25728</v>
      </c>
      <c r="AS35" s="21">
        <f>AC33+20000</f>
        <v>28832</v>
      </c>
      <c r="AT35" s="21">
        <f>AD33</f>
        <v>28384</v>
      </c>
      <c r="AU35" s="22">
        <f>SUM(AI35:AT35)</f>
        <v>558872</v>
      </c>
      <c r="AW35" s="63" t="s">
        <v>50</v>
      </c>
      <c r="AX35" s="24"/>
      <c r="AY35" s="18">
        <f>AI35</f>
        <v>23316</v>
      </c>
      <c r="AZ35" s="18">
        <f aca="true" t="shared" si="13" ref="AZ35:BF35">AJ35</f>
        <v>38379</v>
      </c>
      <c r="BA35" s="18">
        <f>AK35+10000</f>
        <v>18387</v>
      </c>
      <c r="BB35" s="18">
        <f>AL35+10000</f>
        <v>13372</v>
      </c>
      <c r="BC35" s="18">
        <f t="shared" si="13"/>
        <v>16997</v>
      </c>
      <c r="BD35" s="18">
        <f t="shared" si="13"/>
        <v>52703</v>
      </c>
      <c r="BE35" s="18">
        <f t="shared" si="13"/>
        <v>13765</v>
      </c>
      <c r="BF35" s="18">
        <f t="shared" si="13"/>
        <v>12419</v>
      </c>
      <c r="BG35" s="18">
        <v>35000</v>
      </c>
      <c r="BH35" s="18">
        <v>38793</v>
      </c>
      <c r="BI35" s="18">
        <v>35767</v>
      </c>
      <c r="BJ35" s="18">
        <v>300820</v>
      </c>
      <c r="BK35" s="18">
        <f>SUM(AY35:BJ35)</f>
        <v>599718</v>
      </c>
    </row>
    <row r="36" spans="1:63" ht="15">
      <c r="A36" s="3"/>
      <c r="B36" s="3"/>
      <c r="C36" s="13" t="s">
        <v>30</v>
      </c>
      <c r="D36" s="13" t="s">
        <v>30</v>
      </c>
      <c r="E36" s="13" t="s">
        <v>30</v>
      </c>
      <c r="F36" s="13" t="s">
        <v>30</v>
      </c>
      <c r="G36" s="13" t="s">
        <v>30</v>
      </c>
      <c r="H36" s="13" t="s">
        <v>30</v>
      </c>
      <c r="I36" s="13" t="s">
        <v>30</v>
      </c>
      <c r="J36" s="13" t="s">
        <v>30</v>
      </c>
      <c r="K36" s="13" t="s">
        <v>30</v>
      </c>
      <c r="L36" s="13" t="s">
        <v>30</v>
      </c>
      <c r="M36" s="13" t="s">
        <v>30</v>
      </c>
      <c r="N36" s="13" t="s">
        <v>30</v>
      </c>
      <c r="O36" s="13" t="s">
        <v>30</v>
      </c>
      <c r="P36" s="3"/>
      <c r="Q36" s="3"/>
      <c r="R36" s="3"/>
      <c r="S36" s="13" t="s">
        <v>30</v>
      </c>
      <c r="T36" s="13" t="s">
        <v>30</v>
      </c>
      <c r="U36" s="13" t="s">
        <v>30</v>
      </c>
      <c r="V36" s="13" t="s">
        <v>30</v>
      </c>
      <c r="W36" s="13" t="s">
        <v>30</v>
      </c>
      <c r="X36" s="13" t="s">
        <v>30</v>
      </c>
      <c r="Y36" s="13" t="s">
        <v>30</v>
      </c>
      <c r="Z36" s="13" t="s">
        <v>30</v>
      </c>
      <c r="AA36" s="13" t="s">
        <v>30</v>
      </c>
      <c r="AB36" s="13" t="s">
        <v>30</v>
      </c>
      <c r="AC36" s="13" t="s">
        <v>30</v>
      </c>
      <c r="AD36" s="13" t="s">
        <v>30</v>
      </c>
      <c r="AE36" s="13" t="s">
        <v>30</v>
      </c>
      <c r="AF36" s="3"/>
      <c r="AG36" s="27" t="s">
        <v>51</v>
      </c>
      <c r="AH36" s="3"/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2">
        <f>SUM(AI36:AT36)</f>
        <v>0</v>
      </c>
      <c r="AW36" s="68" t="s">
        <v>129</v>
      </c>
      <c r="AX36" s="24"/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f>SUM(AY36:BJ36)</f>
        <v>0</v>
      </c>
    </row>
    <row r="37" spans="1:63" ht="15">
      <c r="A37" s="3"/>
      <c r="B37" s="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"/>
      <c r="Q37" s="3"/>
      <c r="R37" s="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3"/>
      <c r="AG37" s="3"/>
      <c r="AH37" s="3"/>
      <c r="AI37" s="25" t="s">
        <v>30</v>
      </c>
      <c r="AJ37" s="25" t="s">
        <v>30</v>
      </c>
      <c r="AK37" s="25" t="s">
        <v>30</v>
      </c>
      <c r="AL37" s="25" t="s">
        <v>30</v>
      </c>
      <c r="AM37" s="25" t="s">
        <v>30</v>
      </c>
      <c r="AN37" s="25" t="s">
        <v>30</v>
      </c>
      <c r="AO37" s="25" t="s">
        <v>30</v>
      </c>
      <c r="AP37" s="25" t="s">
        <v>30</v>
      </c>
      <c r="AQ37" s="25" t="s">
        <v>30</v>
      </c>
      <c r="AR37" s="25" t="s">
        <v>30</v>
      </c>
      <c r="AS37" s="25" t="s">
        <v>30</v>
      </c>
      <c r="AT37" s="25" t="s">
        <v>30</v>
      </c>
      <c r="AU37" s="25" t="s">
        <v>30</v>
      </c>
      <c r="AW37" s="55"/>
      <c r="AX37" s="55"/>
      <c r="AY37" s="65" t="s">
        <v>30</v>
      </c>
      <c r="AZ37" s="65" t="s">
        <v>30</v>
      </c>
      <c r="BA37" s="65" t="s">
        <v>30</v>
      </c>
      <c r="BB37" s="65" t="s">
        <v>30</v>
      </c>
      <c r="BC37" s="65" t="s">
        <v>30</v>
      </c>
      <c r="BD37" s="65" t="s">
        <v>30</v>
      </c>
      <c r="BE37" s="65" t="s">
        <v>30</v>
      </c>
      <c r="BF37" s="65" t="s">
        <v>30</v>
      </c>
      <c r="BG37" s="65" t="s">
        <v>30</v>
      </c>
      <c r="BH37" s="65" t="s">
        <v>30</v>
      </c>
      <c r="BI37" s="65" t="s">
        <v>30</v>
      </c>
      <c r="BJ37" s="65" t="s">
        <v>30</v>
      </c>
      <c r="BK37" s="65" t="s">
        <v>30</v>
      </c>
    </row>
    <row r="38" spans="1:6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26" t="s">
        <v>49</v>
      </c>
      <c r="AH38" s="17"/>
      <c r="AI38" s="19">
        <f>SUM(AI28:AI36)</f>
        <v>627316</v>
      </c>
      <c r="AJ38" s="19">
        <f aca="true" t="shared" si="14" ref="AJ38:AU38">SUM(AJ28:AJ36)</f>
        <v>38379</v>
      </c>
      <c r="AK38" s="19">
        <f t="shared" si="14"/>
        <v>8387</v>
      </c>
      <c r="AL38" s="19">
        <f t="shared" si="14"/>
        <v>3372</v>
      </c>
      <c r="AM38" s="19">
        <f t="shared" si="14"/>
        <v>16997</v>
      </c>
      <c r="AN38" s="19">
        <f t="shared" si="14"/>
        <v>52703</v>
      </c>
      <c r="AO38" s="19">
        <f t="shared" si="14"/>
        <v>13765</v>
      </c>
      <c r="AP38" s="19">
        <f t="shared" si="14"/>
        <v>12419</v>
      </c>
      <c r="AQ38" s="19">
        <f t="shared" si="14"/>
        <v>306590</v>
      </c>
      <c r="AR38" s="19">
        <f t="shared" si="14"/>
        <v>66775</v>
      </c>
      <c r="AS38" s="19">
        <f t="shared" si="14"/>
        <v>28832</v>
      </c>
      <c r="AT38" s="19">
        <f t="shared" si="14"/>
        <v>314701</v>
      </c>
      <c r="AU38" s="19">
        <f t="shared" si="14"/>
        <v>1490236</v>
      </c>
      <c r="AW38" s="55"/>
      <c r="AX38" s="5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</row>
    <row r="39" spans="1:63" ht="15">
      <c r="A39" s="5" t="s">
        <v>52</v>
      </c>
      <c r="B39" s="3"/>
      <c r="C39" s="15">
        <f aca="true" t="shared" si="15" ref="C39:O39">C13+C24-C35</f>
        <v>115533</v>
      </c>
      <c r="D39" s="15">
        <f t="shared" si="15"/>
        <v>219041</v>
      </c>
      <c r="E39" s="15">
        <f t="shared" si="15"/>
        <v>65573</v>
      </c>
      <c r="F39" s="15">
        <f t="shared" si="15"/>
        <v>170458</v>
      </c>
      <c r="G39" s="15">
        <f t="shared" si="15"/>
        <v>457498</v>
      </c>
      <c r="H39" s="15">
        <f t="shared" si="15"/>
        <v>284617</v>
      </c>
      <c r="I39" s="15">
        <f t="shared" si="15"/>
        <v>123388</v>
      </c>
      <c r="J39" s="15">
        <f t="shared" si="15"/>
        <v>158808</v>
      </c>
      <c r="K39" s="15">
        <f t="shared" si="15"/>
        <v>15323</v>
      </c>
      <c r="L39" s="15">
        <f t="shared" si="15"/>
        <v>98953</v>
      </c>
      <c r="M39" s="15">
        <f t="shared" si="15"/>
        <v>132490</v>
      </c>
      <c r="N39" s="15">
        <f t="shared" si="15"/>
        <v>123663</v>
      </c>
      <c r="O39" s="15">
        <f t="shared" si="15"/>
        <v>123663</v>
      </c>
      <c r="P39" s="3"/>
      <c r="Q39" s="5" t="s">
        <v>52</v>
      </c>
      <c r="R39" s="3"/>
      <c r="S39" s="15">
        <f aca="true" t="shared" si="16" ref="S39:AE39">S13+S24-S35</f>
        <v>175767</v>
      </c>
      <c r="T39" s="15">
        <f t="shared" si="16"/>
        <v>135373</v>
      </c>
      <c r="U39" s="15">
        <f t="shared" si="16"/>
        <v>167367</v>
      </c>
      <c r="V39" s="15">
        <f t="shared" si="16"/>
        <v>169888</v>
      </c>
      <c r="W39" s="15">
        <f t="shared" si="16"/>
        <v>125501</v>
      </c>
      <c r="X39" s="15">
        <f t="shared" si="16"/>
        <v>455568</v>
      </c>
      <c r="Y39" s="15">
        <f t="shared" si="16"/>
        <v>257505</v>
      </c>
      <c r="Z39" s="15">
        <f t="shared" si="16"/>
        <v>266285</v>
      </c>
      <c r="AA39" s="15">
        <f t="shared" si="16"/>
        <v>278458</v>
      </c>
      <c r="AB39" s="15">
        <f t="shared" si="16"/>
        <v>273638</v>
      </c>
      <c r="AC39" s="15">
        <f t="shared" si="16"/>
        <v>214806</v>
      </c>
      <c r="AD39" s="15">
        <f t="shared" si="16"/>
        <v>567493</v>
      </c>
      <c r="AE39" s="15">
        <f t="shared" si="16"/>
        <v>567493</v>
      </c>
      <c r="AF39" s="3"/>
      <c r="AG39" s="3"/>
      <c r="AH39" s="3"/>
      <c r="AI39" s="25" t="s">
        <v>30</v>
      </c>
      <c r="AJ39" s="25" t="s">
        <v>30</v>
      </c>
      <c r="AK39" s="25" t="s">
        <v>30</v>
      </c>
      <c r="AL39" s="25" t="s">
        <v>30</v>
      </c>
      <c r="AM39" s="25" t="s">
        <v>30</v>
      </c>
      <c r="AN39" s="25" t="s">
        <v>30</v>
      </c>
      <c r="AO39" s="25" t="s">
        <v>30</v>
      </c>
      <c r="AP39" s="25" t="s">
        <v>30</v>
      </c>
      <c r="AQ39" s="25" t="s">
        <v>30</v>
      </c>
      <c r="AR39" s="25" t="s">
        <v>30</v>
      </c>
      <c r="AS39" s="25" t="s">
        <v>30</v>
      </c>
      <c r="AT39" s="25" t="s">
        <v>30</v>
      </c>
      <c r="AU39" s="25" t="s">
        <v>30</v>
      </c>
      <c r="AW39" s="63" t="s">
        <v>49</v>
      </c>
      <c r="AX39" s="24"/>
      <c r="AY39" s="66">
        <f>SUM(AY34:AY36)</f>
        <v>23316</v>
      </c>
      <c r="AZ39" s="66">
        <f aca="true" t="shared" si="17" ref="AZ39:BK39">SUM(AZ34:AZ36)</f>
        <v>38379</v>
      </c>
      <c r="BA39" s="66">
        <f t="shared" si="17"/>
        <v>18387</v>
      </c>
      <c r="BB39" s="66">
        <f t="shared" si="17"/>
        <v>13372</v>
      </c>
      <c r="BC39" s="66">
        <f t="shared" si="17"/>
        <v>16997</v>
      </c>
      <c r="BD39" s="66">
        <f t="shared" si="17"/>
        <v>52703</v>
      </c>
      <c r="BE39" s="66">
        <f t="shared" si="17"/>
        <v>13765</v>
      </c>
      <c r="BF39" s="66">
        <f t="shared" si="17"/>
        <v>12419</v>
      </c>
      <c r="BG39" s="66">
        <f t="shared" si="17"/>
        <v>35000</v>
      </c>
      <c r="BH39" s="66">
        <f t="shared" si="17"/>
        <v>38793</v>
      </c>
      <c r="BI39" s="66">
        <f t="shared" si="17"/>
        <v>35767</v>
      </c>
      <c r="BJ39" s="66">
        <f t="shared" si="17"/>
        <v>300820</v>
      </c>
      <c r="BK39" s="66">
        <f t="shared" si="17"/>
        <v>599718</v>
      </c>
    </row>
    <row r="40" spans="1:63" ht="15">
      <c r="A40" s="3"/>
      <c r="B40" s="3"/>
      <c r="C40" s="13" t="s">
        <v>53</v>
      </c>
      <c r="D40" s="13" t="s">
        <v>53</v>
      </c>
      <c r="E40" s="13" t="s">
        <v>53</v>
      </c>
      <c r="F40" s="13" t="s">
        <v>53</v>
      </c>
      <c r="G40" s="13" t="s">
        <v>53</v>
      </c>
      <c r="H40" s="13" t="s">
        <v>53</v>
      </c>
      <c r="I40" s="13" t="s">
        <v>53</v>
      </c>
      <c r="J40" s="13" t="s">
        <v>53</v>
      </c>
      <c r="K40" s="13" t="s">
        <v>53</v>
      </c>
      <c r="L40" s="13" t="s">
        <v>53</v>
      </c>
      <c r="M40" s="13" t="s">
        <v>53</v>
      </c>
      <c r="N40" s="13" t="s">
        <v>53</v>
      </c>
      <c r="O40" s="13" t="s">
        <v>53</v>
      </c>
      <c r="P40" s="3"/>
      <c r="Q40" s="3"/>
      <c r="R40" s="3"/>
      <c r="S40" s="13" t="s">
        <v>53</v>
      </c>
      <c r="T40" s="13" t="s">
        <v>53</v>
      </c>
      <c r="U40" s="13" t="s">
        <v>53</v>
      </c>
      <c r="V40" s="13" t="s">
        <v>53</v>
      </c>
      <c r="W40" s="13" t="s">
        <v>53</v>
      </c>
      <c r="X40" s="13" t="s">
        <v>53</v>
      </c>
      <c r="Y40" s="13" t="s">
        <v>53</v>
      </c>
      <c r="Z40" s="13" t="s">
        <v>53</v>
      </c>
      <c r="AA40" s="13" t="s">
        <v>53</v>
      </c>
      <c r="AB40" s="13" t="s">
        <v>53</v>
      </c>
      <c r="AC40" s="13" t="s">
        <v>53</v>
      </c>
      <c r="AD40" s="13" t="s">
        <v>53</v>
      </c>
      <c r="AE40" s="13" t="s">
        <v>53</v>
      </c>
      <c r="AF40" s="3"/>
      <c r="AG40" s="3"/>
      <c r="AH40" s="3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W40" s="55"/>
      <c r="AX40" s="55"/>
      <c r="AY40" s="65" t="s">
        <v>30</v>
      </c>
      <c r="AZ40" s="65" t="s">
        <v>30</v>
      </c>
      <c r="BA40" s="65" t="s">
        <v>30</v>
      </c>
      <c r="BB40" s="65" t="s">
        <v>30</v>
      </c>
      <c r="BC40" s="65" t="s">
        <v>30</v>
      </c>
      <c r="BD40" s="65" t="s">
        <v>30</v>
      </c>
      <c r="BE40" s="65" t="s">
        <v>30</v>
      </c>
      <c r="BF40" s="65" t="s">
        <v>30</v>
      </c>
      <c r="BG40" s="65" t="s">
        <v>30</v>
      </c>
      <c r="BH40" s="65" t="s">
        <v>30</v>
      </c>
      <c r="BI40" s="65" t="s">
        <v>30</v>
      </c>
      <c r="BJ40" s="65" t="s">
        <v>30</v>
      </c>
      <c r="BK40" s="65" t="s">
        <v>30</v>
      </c>
    </row>
    <row r="41" spans="1:63" ht="15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3"/>
      <c r="AG41" s="5" t="s">
        <v>52</v>
      </c>
      <c r="AH41" s="3"/>
      <c r="AI41" s="15">
        <f aca="true" t="shared" si="18" ref="AI41:AU41">AI13+AI25-AI38</f>
        <v>267541</v>
      </c>
      <c r="AJ41" s="15">
        <f t="shared" si="18"/>
        <v>393158</v>
      </c>
      <c r="AK41" s="15">
        <f t="shared" si="18"/>
        <v>384771</v>
      </c>
      <c r="AL41" s="15">
        <f t="shared" si="18"/>
        <v>388993</v>
      </c>
      <c r="AM41" s="15">
        <f t="shared" si="18"/>
        <v>371996</v>
      </c>
      <c r="AN41" s="15">
        <f t="shared" si="18"/>
        <v>375851.15</v>
      </c>
      <c r="AO41" s="15">
        <f t="shared" si="18"/>
        <v>362086.15</v>
      </c>
      <c r="AP41" s="15">
        <f t="shared" si="18"/>
        <v>352817.33</v>
      </c>
      <c r="AQ41" s="15">
        <f t="shared" si="18"/>
        <v>172848.33000000002</v>
      </c>
      <c r="AR41" s="15">
        <f t="shared" si="18"/>
        <v>223014.33000000002</v>
      </c>
      <c r="AS41" s="15">
        <f t="shared" si="18"/>
        <v>194182.33000000002</v>
      </c>
      <c r="AT41" s="15">
        <f t="shared" si="18"/>
        <v>88360.33000000002</v>
      </c>
      <c r="AU41" s="15">
        <f t="shared" si="18"/>
        <v>88360.33000000007</v>
      </c>
      <c r="AW41" s="55"/>
      <c r="AX41" s="55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3" t="s">
        <v>53</v>
      </c>
      <c r="AJ42" s="13" t="s">
        <v>53</v>
      </c>
      <c r="AK42" s="13" t="s">
        <v>53</v>
      </c>
      <c r="AL42" s="13" t="s">
        <v>53</v>
      </c>
      <c r="AM42" s="13" t="s">
        <v>53</v>
      </c>
      <c r="AN42" s="13" t="s">
        <v>53</v>
      </c>
      <c r="AO42" s="13" t="s">
        <v>53</v>
      </c>
      <c r="AP42" s="13" t="s">
        <v>53</v>
      </c>
      <c r="AQ42" s="13" t="s">
        <v>53</v>
      </c>
      <c r="AR42" s="13" t="s">
        <v>53</v>
      </c>
      <c r="AS42" s="13" t="s">
        <v>53</v>
      </c>
      <c r="AT42" s="13" t="s">
        <v>53</v>
      </c>
      <c r="AU42" s="13" t="s">
        <v>53</v>
      </c>
      <c r="AW42" s="60" t="s">
        <v>52</v>
      </c>
      <c r="AX42" s="55"/>
      <c r="AY42" s="14">
        <f>AY15+AY27-AY39</f>
        <v>65044.330000000075</v>
      </c>
      <c r="AZ42" s="14">
        <f aca="true" t="shared" si="19" ref="AZ42:BK42">AZ15+AZ27-AZ39</f>
        <v>41656.330000000075</v>
      </c>
      <c r="BA42" s="14">
        <f t="shared" si="19"/>
        <v>23269.330000000075</v>
      </c>
      <c r="BB42" s="14">
        <f t="shared" si="19"/>
        <v>17491.330000000075</v>
      </c>
      <c r="BC42" s="14">
        <f t="shared" si="19"/>
        <v>494.3300000000745</v>
      </c>
      <c r="BD42" s="14">
        <f t="shared" si="19"/>
        <v>213237.0300000001</v>
      </c>
      <c r="BE42" s="14">
        <f t="shared" si="19"/>
        <v>199472.0300000001</v>
      </c>
      <c r="BF42" s="14">
        <f t="shared" si="19"/>
        <v>190203.21000000008</v>
      </c>
      <c r="BG42" s="14">
        <f t="shared" si="19"/>
        <v>193158.21000000008</v>
      </c>
      <c r="BH42" s="14">
        <f t="shared" si="19"/>
        <v>154365.21000000008</v>
      </c>
      <c r="BI42" s="14">
        <f t="shared" si="19"/>
        <v>118598.21000000008</v>
      </c>
      <c r="BJ42" s="14">
        <f t="shared" si="19"/>
        <v>47568.21000000008</v>
      </c>
      <c r="BK42" s="14">
        <f t="shared" si="19"/>
        <v>47568.21000000008</v>
      </c>
    </row>
    <row r="43" spans="1:63" ht="15">
      <c r="A43" s="3"/>
      <c r="B43" s="3"/>
      <c r="C43" s="2"/>
      <c r="D43" s="2"/>
      <c r="E43" s="2"/>
      <c r="F43" s="2"/>
      <c r="G43" s="3"/>
      <c r="H43" s="3"/>
      <c r="I43" s="3"/>
      <c r="J43" s="3"/>
      <c r="K43" s="3"/>
      <c r="L43" s="3"/>
      <c r="M43" s="2"/>
      <c r="N43" s="2"/>
      <c r="O43" s="2"/>
      <c r="P43" s="3"/>
      <c r="Q43" s="3"/>
      <c r="R43" s="3"/>
      <c r="S43" s="2"/>
      <c r="T43" s="2"/>
      <c r="U43" s="2"/>
      <c r="V43" s="2"/>
      <c r="W43" s="3"/>
      <c r="X43" s="3"/>
      <c r="Y43" s="3"/>
      <c r="Z43" s="3"/>
      <c r="AA43" s="3"/>
      <c r="AB43" s="3"/>
      <c r="AC43" s="2"/>
      <c r="AD43" s="2"/>
      <c r="AE43" s="2"/>
      <c r="AF43" s="3"/>
      <c r="AG43" s="3"/>
      <c r="AH43" s="3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W43" s="55"/>
      <c r="AX43" s="55"/>
      <c r="AY43" s="59" t="s">
        <v>53</v>
      </c>
      <c r="AZ43" s="59" t="s">
        <v>53</v>
      </c>
      <c r="BA43" s="59" t="s">
        <v>53</v>
      </c>
      <c r="BB43" s="59" t="s">
        <v>53</v>
      </c>
      <c r="BC43" s="59" t="s">
        <v>53</v>
      </c>
      <c r="BD43" s="59" t="s">
        <v>53</v>
      </c>
      <c r="BE43" s="59" t="s">
        <v>53</v>
      </c>
      <c r="BF43" s="59" t="s">
        <v>53</v>
      </c>
      <c r="BG43" s="59" t="s">
        <v>53</v>
      </c>
      <c r="BH43" s="59" t="s">
        <v>53</v>
      </c>
      <c r="BI43" s="59" t="s">
        <v>53</v>
      </c>
      <c r="BJ43" s="59" t="s">
        <v>53</v>
      </c>
      <c r="BK43" s="59" t="s">
        <v>53</v>
      </c>
    </row>
    <row r="44" spans="1:47" ht="15">
      <c r="A44" s="5" t="s">
        <v>54</v>
      </c>
      <c r="B44" s="3"/>
      <c r="C44" s="2"/>
      <c r="D44" s="15">
        <f>0.8*N8*0.5</f>
        <v>43841.600000000006</v>
      </c>
      <c r="E44" s="2"/>
      <c r="F44" s="2"/>
      <c r="G44" s="3"/>
      <c r="H44" s="3"/>
      <c r="I44" s="3"/>
      <c r="J44" s="3"/>
      <c r="K44" s="3"/>
      <c r="L44" s="3"/>
      <c r="M44" s="2"/>
      <c r="N44" s="2"/>
      <c r="O44" s="2"/>
      <c r="P44" s="3"/>
      <c r="Q44" s="5" t="s">
        <v>54</v>
      </c>
      <c r="R44" s="3"/>
      <c r="S44" s="2"/>
      <c r="T44" s="15">
        <f>0.8*AD8*0.5</f>
        <v>286317.2</v>
      </c>
      <c r="U44" s="2"/>
      <c r="V44" s="2"/>
      <c r="W44" s="3"/>
      <c r="X44" s="3"/>
      <c r="Y44" s="3"/>
      <c r="Z44" s="3"/>
      <c r="AA44" s="3"/>
      <c r="AB44" s="3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5">
      <c r="A45" s="3"/>
      <c r="B45" s="3"/>
      <c r="C45" s="2"/>
      <c r="D45" s="28" t="s">
        <v>55</v>
      </c>
      <c r="E45" s="2"/>
      <c r="F45" s="2"/>
      <c r="G45" s="3"/>
      <c r="H45" s="3"/>
      <c r="I45" s="3"/>
      <c r="J45" s="3"/>
      <c r="K45" s="3"/>
      <c r="L45" s="3"/>
      <c r="M45" s="2"/>
      <c r="N45" s="2"/>
      <c r="O45" s="2"/>
      <c r="P45" s="3"/>
      <c r="Q45" s="3"/>
      <c r="R45" s="3"/>
      <c r="S45" s="2"/>
      <c r="T45" s="28" t="s">
        <v>55</v>
      </c>
      <c r="U45" s="2"/>
      <c r="V45" s="2"/>
      <c r="W45" s="3"/>
      <c r="X45" s="3"/>
      <c r="Y45" s="3"/>
      <c r="Z45" s="3"/>
      <c r="AA45" s="3"/>
      <c r="AB45" s="3"/>
      <c r="AC45" s="2" t="s">
        <v>56</v>
      </c>
      <c r="AD45" s="2"/>
      <c r="AE45" s="2"/>
      <c r="AF45" s="3"/>
      <c r="AG45" s="3"/>
      <c r="AH45" s="3"/>
      <c r="AI45" s="2"/>
      <c r="AJ45" s="2"/>
      <c r="AK45" s="2"/>
      <c r="AL45" s="2"/>
      <c r="AM45" s="3"/>
      <c r="AN45" s="3"/>
      <c r="AO45" s="3"/>
      <c r="AP45" s="3"/>
      <c r="AQ45" s="3"/>
      <c r="AR45" s="3"/>
      <c r="AS45" s="2"/>
      <c r="AT45" s="2"/>
      <c r="AU45" s="2"/>
    </row>
    <row r="46" spans="1:63" ht="15">
      <c r="A46" s="5" t="s">
        <v>57</v>
      </c>
      <c r="B46" s="3"/>
      <c r="C46" s="2"/>
      <c r="D46" s="15">
        <f>IF(MIN(C39:H39)&gt;0,0,ABS(MIN(C39:H39)))</f>
        <v>0</v>
      </c>
      <c r="E46" s="2"/>
      <c r="F46" s="2"/>
      <c r="G46" s="3"/>
      <c r="H46" s="3"/>
      <c r="I46" s="3"/>
      <c r="J46" s="3"/>
      <c r="K46" s="3"/>
      <c r="L46" s="3"/>
      <c r="M46" s="2"/>
      <c r="N46" s="2"/>
      <c r="O46" s="2"/>
      <c r="P46" s="3"/>
      <c r="Q46" s="5" t="s">
        <v>57</v>
      </c>
      <c r="R46" s="3"/>
      <c r="S46" s="2"/>
      <c r="T46" s="15">
        <f>IF(MIN(S39:X39)&gt;0,0,ABS(MIN(S39:X39)))</f>
        <v>0</v>
      </c>
      <c r="U46" s="2"/>
      <c r="V46" s="2"/>
      <c r="W46" s="3"/>
      <c r="X46" s="3"/>
      <c r="Y46" s="3"/>
      <c r="Z46" s="3"/>
      <c r="AA46" s="3"/>
      <c r="AB46" s="3"/>
      <c r="AC46" s="2"/>
      <c r="AD46" s="2"/>
      <c r="AE46" s="2"/>
      <c r="AF46" s="3"/>
      <c r="AG46" s="5" t="s">
        <v>54</v>
      </c>
      <c r="AH46" s="3"/>
      <c r="AI46" s="2"/>
      <c r="AJ46" s="15">
        <f>ROUNDDOWN(0.8*AT8*0.5,0)</f>
        <v>174155</v>
      </c>
      <c r="AK46" s="2"/>
      <c r="AL46" s="2"/>
      <c r="AM46" s="5" t="s">
        <v>58</v>
      </c>
      <c r="AN46" s="3"/>
      <c r="AO46" s="3"/>
      <c r="AP46" s="3"/>
      <c r="AQ46" s="13" t="s">
        <v>59</v>
      </c>
      <c r="AR46" s="13" t="s">
        <v>60</v>
      </c>
      <c r="AS46" s="2"/>
      <c r="AT46" s="2"/>
      <c r="AU46" s="2"/>
      <c r="AW46" s="55"/>
      <c r="AX46" s="55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0" ht="15">
      <c r="A47" s="3"/>
      <c r="B47" s="3"/>
      <c r="C47" s="3"/>
      <c r="D47" s="28" t="s">
        <v>55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8" t="s">
        <v>55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2"/>
      <c r="AJ47" s="28" t="s">
        <v>55</v>
      </c>
      <c r="AK47" s="2"/>
      <c r="AL47" s="2"/>
      <c r="AM47" s="3"/>
      <c r="AN47" s="3"/>
      <c r="AO47" s="3"/>
      <c r="AP47" s="3"/>
      <c r="AQ47" s="13" t="s">
        <v>61</v>
      </c>
      <c r="AR47" s="13" t="s">
        <v>62</v>
      </c>
      <c r="AS47" s="2"/>
      <c r="AT47" s="2"/>
      <c r="AU47" s="2"/>
      <c r="AW47" s="60" t="s">
        <v>130</v>
      </c>
      <c r="AX47" s="55"/>
      <c r="AY47" s="6"/>
      <c r="AZ47" s="14">
        <f>0.8*BJ8*0.5</f>
        <v>183832</v>
      </c>
      <c r="BA47" s="6"/>
      <c r="BB47" s="6"/>
      <c r="BC47" s="60" t="s">
        <v>58</v>
      </c>
      <c r="BD47" s="55"/>
      <c r="BE47" s="55"/>
      <c r="BF47" s="55"/>
      <c r="BG47" s="59" t="s">
        <v>59</v>
      </c>
      <c r="BH47" s="59" t="s">
        <v>60</v>
      </c>
    </row>
    <row r="48" spans="1:63" ht="15">
      <c r="A48" s="5" t="s">
        <v>63</v>
      </c>
      <c r="B48" s="3"/>
      <c r="C48" s="2"/>
      <c r="D48" s="15">
        <f>IF(MIN(I39:N39)&gt;0,0,ABS(MIN(I39:N39)))</f>
        <v>0</v>
      </c>
      <c r="E48" s="2"/>
      <c r="F48" s="2"/>
      <c r="G48" s="3"/>
      <c r="H48" s="3"/>
      <c r="I48" s="3"/>
      <c r="J48" s="3"/>
      <c r="K48" s="15"/>
      <c r="L48" s="15"/>
      <c r="M48" s="2"/>
      <c r="N48" s="2"/>
      <c r="O48" s="2"/>
      <c r="P48" s="3"/>
      <c r="Q48" s="5" t="s">
        <v>63</v>
      </c>
      <c r="R48" s="3"/>
      <c r="S48" s="2"/>
      <c r="T48" s="15">
        <f>IF(MIN(Y39:AD39)&gt;0,0,ABS(MIN(Y39:AD39)))</f>
        <v>0</v>
      </c>
      <c r="U48" s="2"/>
      <c r="V48" s="2"/>
      <c r="W48" s="3"/>
      <c r="X48" s="3"/>
      <c r="Y48" s="3"/>
      <c r="Z48" s="3"/>
      <c r="AA48" s="15"/>
      <c r="AB48" s="15"/>
      <c r="AC48" s="2"/>
      <c r="AD48" s="2"/>
      <c r="AE48" s="2"/>
      <c r="AF48" s="3"/>
      <c r="AG48" s="5" t="s">
        <v>57</v>
      </c>
      <c r="AH48" s="3"/>
      <c r="AI48" s="2"/>
      <c r="AJ48" s="15">
        <f>IF(MIN(AI41:AN41)&gt;0,0,ABS(MIN(AI41:AN41)))</f>
        <v>0</v>
      </c>
      <c r="AK48" s="2"/>
      <c r="AL48" s="2"/>
      <c r="AM48" s="3"/>
      <c r="AN48" s="3"/>
      <c r="AO48" s="3"/>
      <c r="AP48" s="3"/>
      <c r="AQ48" s="13" t="s">
        <v>30</v>
      </c>
      <c r="AR48" s="13" t="s">
        <v>30</v>
      </c>
      <c r="AS48" s="2"/>
      <c r="AT48" s="2"/>
      <c r="AU48" s="2"/>
      <c r="AW48" s="55"/>
      <c r="AX48" s="55"/>
      <c r="AY48" s="6"/>
      <c r="AZ48" s="69" t="s">
        <v>55</v>
      </c>
      <c r="BA48" s="6"/>
      <c r="BB48" s="6"/>
      <c r="BC48" s="55"/>
      <c r="BD48" s="55"/>
      <c r="BE48" s="55"/>
      <c r="BF48" s="55"/>
      <c r="BG48" s="59" t="s">
        <v>61</v>
      </c>
      <c r="BH48" s="59" t="s">
        <v>62</v>
      </c>
      <c r="BI48" s="55"/>
      <c r="BJ48" s="55"/>
      <c r="BK48" s="55"/>
    </row>
    <row r="49" spans="1:63" ht="15">
      <c r="A49" s="3"/>
      <c r="B49" s="3"/>
      <c r="C49" s="3"/>
      <c r="D49" s="5" t="s">
        <v>55</v>
      </c>
      <c r="E49" s="2"/>
      <c r="F49" s="2"/>
      <c r="G49" s="3"/>
      <c r="H49" s="3"/>
      <c r="I49" s="3"/>
      <c r="J49" s="3"/>
      <c r="K49" s="3"/>
      <c r="L49" s="3"/>
      <c r="M49" s="2"/>
      <c r="N49" s="2"/>
      <c r="O49" s="2"/>
      <c r="P49" s="3"/>
      <c r="Q49" s="3"/>
      <c r="R49" s="3"/>
      <c r="S49" s="3"/>
      <c r="T49" s="5" t="s">
        <v>55</v>
      </c>
      <c r="U49" s="2"/>
      <c r="V49" s="2"/>
      <c r="W49" s="3"/>
      <c r="X49" s="3"/>
      <c r="Y49" s="3"/>
      <c r="Z49" s="3"/>
      <c r="AA49" s="3"/>
      <c r="AB49" s="3"/>
      <c r="AC49" s="2"/>
      <c r="AD49" s="2"/>
      <c r="AE49" s="2"/>
      <c r="AF49" s="3"/>
      <c r="AG49" s="3"/>
      <c r="AH49" s="3"/>
      <c r="AI49" s="3"/>
      <c r="AJ49" s="28" t="s">
        <v>55</v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W49" s="60" t="s">
        <v>57</v>
      </c>
      <c r="AX49" s="55"/>
      <c r="AY49" s="6"/>
      <c r="AZ49" s="14">
        <f>IF(MIN(AY42:BD42)&gt;0,0,ABS(MIN(AY42:BD42)))</f>
        <v>0</v>
      </c>
      <c r="BA49" s="6"/>
      <c r="BB49" s="6"/>
      <c r="BC49" s="55"/>
      <c r="BD49" s="55"/>
      <c r="BE49" s="55"/>
      <c r="BF49" s="55"/>
      <c r="BG49" s="59" t="s">
        <v>30</v>
      </c>
      <c r="BH49" s="59" t="s">
        <v>30</v>
      </c>
      <c r="BI49" s="6"/>
      <c r="BJ49" s="6"/>
      <c r="BK49" s="6"/>
    </row>
    <row r="50" spans="1:63" ht="15">
      <c r="A50" s="3"/>
      <c r="B50" s="3"/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"/>
      <c r="R50" s="3"/>
      <c r="S50" s="2"/>
      <c r="T50" s="1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3"/>
      <c r="AG50" s="5" t="s">
        <v>64</v>
      </c>
      <c r="AH50" s="3"/>
      <c r="AI50" s="2"/>
      <c r="AJ50" s="15">
        <f>IF(MIN(AM41:AS41)&gt;0,0,ABS(MIN(AM41:AS41)))</f>
        <v>0</v>
      </c>
      <c r="AK50" s="2"/>
      <c r="AL50" s="2"/>
      <c r="AM50" s="5" t="s">
        <v>65</v>
      </c>
      <c r="AN50" s="3"/>
      <c r="AO50" s="3"/>
      <c r="AP50" s="3"/>
      <c r="AQ50" s="15">
        <f>IF(AJ50&gt;(AJ46*2-AU34),(AJ46*2-AU34),IF(AJ50&lt;((AJ46*2)-AU34),0))</f>
        <v>0</v>
      </c>
      <c r="AR50" s="15">
        <f>IF(AJ50&lt;(AJ46*2-AU34),AJ50,0)</f>
        <v>0</v>
      </c>
      <c r="AS50" s="10"/>
      <c r="AT50" s="2"/>
      <c r="AU50" s="2"/>
      <c r="AW50" s="55"/>
      <c r="AX50" s="55"/>
      <c r="AY50" s="55"/>
      <c r="AZ50" s="69" t="s">
        <v>55</v>
      </c>
      <c r="BA50" s="55"/>
      <c r="BB50" s="55"/>
      <c r="BC50" s="55"/>
      <c r="BD50" s="55"/>
      <c r="BE50" s="55"/>
      <c r="BF50" s="55"/>
      <c r="BG50" s="55"/>
      <c r="BH50" s="55"/>
      <c r="BI50" s="6"/>
      <c r="BJ50" s="6"/>
      <c r="BK50" s="6"/>
    </row>
    <row r="51" spans="1:63" ht="15">
      <c r="A51" s="3"/>
      <c r="B51" s="3"/>
      <c r="C51" s="2"/>
      <c r="D51" s="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3"/>
      <c r="S51" s="2"/>
      <c r="T51" s="1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3"/>
      <c r="AG51" s="3"/>
      <c r="AH51" s="3"/>
      <c r="AI51" s="3"/>
      <c r="AJ51" s="28" t="s">
        <v>55</v>
      </c>
      <c r="AK51" s="2"/>
      <c r="AL51" s="2"/>
      <c r="AM51" s="3"/>
      <c r="AN51" s="3"/>
      <c r="AO51" s="3"/>
      <c r="AP51" s="3"/>
      <c r="AQ51" s="13" t="s">
        <v>53</v>
      </c>
      <c r="AR51" s="13" t="s">
        <v>53</v>
      </c>
      <c r="AS51" s="2"/>
      <c r="AT51" s="2"/>
      <c r="AU51" s="2"/>
      <c r="AW51" s="60" t="s">
        <v>63</v>
      </c>
      <c r="AX51" s="55"/>
      <c r="AY51" s="6"/>
      <c r="AZ51" s="14">
        <f>IF(MIN(BE42:BJ42)&gt;0,0,ABS(MIN(BE42:BJ42)))</f>
        <v>0</v>
      </c>
      <c r="BA51" s="6"/>
      <c r="BB51" s="6"/>
      <c r="BC51" s="60" t="s">
        <v>65</v>
      </c>
      <c r="BD51" s="55"/>
      <c r="BE51" s="55"/>
      <c r="BF51" s="55"/>
      <c r="BG51" s="14">
        <f>IF(AZ47&lt;AZ49,AZ47,0)</f>
        <v>0</v>
      </c>
      <c r="BH51" s="14">
        <f>IF(AZ49&lt;AZ47,AZ49,0)</f>
        <v>0</v>
      </c>
      <c r="BI51" s="6"/>
      <c r="BJ51" s="6"/>
      <c r="BK51" s="6"/>
    </row>
    <row r="52" spans="1:6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2"/>
      <c r="AJ52" s="15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W52" s="55"/>
      <c r="AX52" s="55"/>
      <c r="AY52" s="55"/>
      <c r="AZ52" s="69"/>
      <c r="BA52" s="6"/>
      <c r="BB52" s="6"/>
      <c r="BC52" s="55"/>
      <c r="BD52" s="55"/>
      <c r="BE52" s="55"/>
      <c r="BF52" s="55"/>
      <c r="BG52" s="59" t="s">
        <v>53</v>
      </c>
      <c r="BH52" s="59" t="s">
        <v>53</v>
      </c>
      <c r="BI52" s="6"/>
      <c r="BJ52" s="6"/>
      <c r="BK52" s="6"/>
    </row>
    <row r="53" spans="1:63" ht="15">
      <c r="A53" s="3"/>
      <c r="B53" s="3"/>
      <c r="C53" s="2"/>
      <c r="D53" s="1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3"/>
      <c r="S53" s="2"/>
      <c r="T53" s="1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3"/>
      <c r="AG53" s="3"/>
      <c r="AH53" s="3"/>
      <c r="AI53" s="2"/>
      <c r="AJ53" s="15"/>
      <c r="AK53" s="2"/>
      <c r="AL53" s="2"/>
      <c r="AM53" s="1" t="s">
        <v>66</v>
      </c>
      <c r="AN53" s="2"/>
      <c r="AO53" s="2"/>
      <c r="AP53" s="2"/>
      <c r="AQ53" s="15">
        <f>IF(AT34&gt;=AJ46,0,IF(AQ50&gt;0,AJ46-AT34,0))</f>
        <v>0</v>
      </c>
      <c r="AR53" s="15">
        <f>IF(AT34&gt;=AJ46,0,IF(AR50&gt;0,AJ46-AT34,0))</f>
        <v>0</v>
      </c>
      <c r="AS53" s="2"/>
      <c r="AT53" s="2"/>
      <c r="AU53" s="2"/>
      <c r="BA53" s="6"/>
      <c r="BB53" s="6"/>
      <c r="BC53" s="6"/>
      <c r="BD53" s="6"/>
      <c r="BE53" s="6"/>
      <c r="BF53" s="6"/>
      <c r="BG53" s="6"/>
      <c r="BH53" s="6"/>
      <c r="BI53" s="55"/>
      <c r="BJ53" s="55"/>
      <c r="BK53" s="55"/>
    </row>
    <row r="54" spans="1:63" ht="15">
      <c r="A54" s="3"/>
      <c r="B54" s="3"/>
      <c r="C54" s="2"/>
      <c r="D54" s="2"/>
      <c r="E54" s="3"/>
      <c r="F54" s="1" t="s">
        <v>29</v>
      </c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3"/>
      <c r="S54" s="2"/>
      <c r="T54" s="2"/>
      <c r="U54" s="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3"/>
      <c r="AG54" s="29" t="s">
        <v>67</v>
      </c>
      <c r="AH54" s="3"/>
      <c r="AI54" s="3"/>
      <c r="AJ54" s="3"/>
      <c r="AK54" s="3"/>
      <c r="AL54" s="3"/>
      <c r="AM54" s="3"/>
      <c r="AN54" s="3"/>
      <c r="AO54" s="3"/>
      <c r="AP54" s="3"/>
      <c r="AQ54" s="13"/>
      <c r="AR54" s="3"/>
      <c r="AS54" s="3"/>
      <c r="AT54" s="3"/>
      <c r="AU54" s="3"/>
      <c r="AW54" s="70" t="s">
        <v>67</v>
      </c>
      <c r="AX54" s="55"/>
      <c r="AY54" s="6"/>
      <c r="AZ54" s="14"/>
      <c r="BA54" s="6"/>
      <c r="BB54" s="6"/>
      <c r="BC54" s="31" t="s">
        <v>131</v>
      </c>
      <c r="BD54" s="6"/>
      <c r="BE54" s="6"/>
      <c r="BF54" s="6"/>
      <c r="BG54" s="71">
        <f>IF(AZ49&gt;AZ47,AZ49-AZ47,0)</f>
        <v>0</v>
      </c>
      <c r="BH54" s="6"/>
      <c r="BI54" s="6"/>
      <c r="BJ54" s="6"/>
      <c r="BK54" s="6"/>
    </row>
    <row r="55" spans="1:6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2"/>
      <c r="AJ55" s="15"/>
      <c r="AK55" s="2"/>
      <c r="AL55" s="2"/>
      <c r="AM55" s="2" t="s">
        <v>68</v>
      </c>
      <c r="AN55" s="2"/>
      <c r="AO55" s="2"/>
      <c r="AP55" s="2"/>
      <c r="AQ55" s="10">
        <f>AQ50-AQ53</f>
        <v>0</v>
      </c>
      <c r="AR55" s="10">
        <f>AR50-AR53</f>
        <v>0</v>
      </c>
      <c r="AS55" s="30"/>
      <c r="AT55" s="2"/>
      <c r="AU55" s="2"/>
      <c r="AW55" s="55"/>
      <c r="AX55" s="55"/>
      <c r="AY55" s="6"/>
      <c r="AZ55" s="6"/>
      <c r="BA55" s="55"/>
      <c r="BB55" s="55"/>
      <c r="BC55" s="55"/>
      <c r="BD55" s="55"/>
      <c r="BE55" s="55"/>
      <c r="BF55" s="55"/>
      <c r="BG55" s="59" t="s">
        <v>53</v>
      </c>
      <c r="BH55" s="55"/>
      <c r="BI55" s="6"/>
      <c r="BJ55" s="6"/>
      <c r="BK55" s="6"/>
    </row>
    <row r="56" spans="1:6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2"/>
      <c r="AJ56" s="2"/>
      <c r="AK56" s="3"/>
      <c r="AL56" s="1" t="s">
        <v>29</v>
      </c>
      <c r="AM56" s="2"/>
      <c r="AN56" s="2"/>
      <c r="AO56" s="2"/>
      <c r="AP56" s="2"/>
      <c r="AQ56" s="2"/>
      <c r="AR56" s="2"/>
      <c r="AS56" s="2"/>
      <c r="AT56" s="2"/>
      <c r="AU56" s="2"/>
      <c r="BI56" s="6"/>
      <c r="BJ56" s="6"/>
      <c r="BK56" s="6"/>
    </row>
    <row r="57" spans="1:6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10"/>
      <c r="AS57" s="3"/>
      <c r="AT57" s="3"/>
      <c r="AU57" s="3"/>
      <c r="BI57" s="6"/>
      <c r="BJ57" s="6"/>
      <c r="BK57" s="6"/>
    </row>
    <row r="58" spans="1:6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BI58" s="55"/>
      <c r="BJ58" s="55"/>
      <c r="BK58" s="55"/>
    </row>
    <row r="59" spans="1:6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W59" s="55"/>
      <c r="AX59" s="55"/>
      <c r="AY59" s="55"/>
      <c r="AZ59" s="55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W60" s="55"/>
      <c r="AX60" s="55"/>
      <c r="AY60" s="55"/>
      <c r="AZ60" s="55"/>
      <c r="BA60" s="55"/>
      <c r="BB60" s="31" t="s">
        <v>29</v>
      </c>
      <c r="BC60" s="60"/>
      <c r="BD60" s="6"/>
      <c r="BE60" s="72"/>
      <c r="BF60" s="6"/>
      <c r="BG60" s="6"/>
      <c r="BH60" s="6"/>
      <c r="BI60" s="6"/>
      <c r="BJ60" s="6"/>
      <c r="BK60" s="6"/>
    </row>
    <row r="61" spans="1:6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</row>
    <row r="62" spans="1:6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</row>
    <row r="63" spans="1:6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33:63" ht="15"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</row>
    <row r="65" spans="33:63" ht="15"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</row>
    <row r="66" spans="49:63" ht="15"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</row>
    <row r="67" spans="49:63" ht="15"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</row>
    <row r="68" spans="53:63" ht="15"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</row>
    <row r="69" spans="53:63" ht="15"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</row>
  </sheetData>
  <sheetProtection/>
  <printOptions horizontalCentered="1"/>
  <pageMargins left="0.25" right="0.25" top="0.75" bottom="0.5" header="0.5" footer="0.5"/>
  <pageSetup fitToHeight="1" fitToWidth="1" horizontalDpi="600" verticalDpi="600" orientation="landscape" scale="61" r:id="rId1"/>
  <rowBreaks count="1" manualBreakCount="1">
    <brk id="55" max="255" man="1"/>
  </rowBreaks>
  <colBreaks count="3" manualBreakCount="3">
    <brk id="15" max="65535" man="1"/>
    <brk id="31" max="65535" man="1"/>
    <brk id="4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K69"/>
  <sheetViews>
    <sheetView zoomScale="60" zoomScaleNormal="60" zoomScalePageLayoutView="0" workbookViewId="0" topLeftCell="AQ1">
      <selection activeCell="BH42" sqref="BH42"/>
    </sheetView>
  </sheetViews>
  <sheetFormatPr defaultColWidth="8.140625" defaultRowHeight="12.75"/>
  <cols>
    <col min="1" max="1" width="25.28125" style="4" customWidth="1"/>
    <col min="2" max="2" width="9.421875" style="4" customWidth="1"/>
    <col min="3" max="5" width="12.57421875" style="4" customWidth="1"/>
    <col min="6" max="6" width="11.7109375" style="4" customWidth="1"/>
    <col min="7" max="7" width="14.57421875" style="4" customWidth="1"/>
    <col min="8" max="8" width="12.8515625" style="4" customWidth="1"/>
    <col min="9" max="9" width="11.8515625" style="4" customWidth="1"/>
    <col min="10" max="10" width="12.7109375" style="4" customWidth="1"/>
    <col min="11" max="11" width="12.57421875" style="4" customWidth="1"/>
    <col min="12" max="13" width="12.8515625" style="4" customWidth="1"/>
    <col min="14" max="14" width="14.421875" style="4" customWidth="1"/>
    <col min="15" max="15" width="13.57421875" style="4" customWidth="1"/>
    <col min="16" max="16" width="6.7109375" style="4" customWidth="1"/>
    <col min="17" max="17" width="25.57421875" style="4" customWidth="1"/>
    <col min="18" max="18" width="8.140625" style="4" customWidth="1"/>
    <col min="19" max="19" width="12.57421875" style="4" customWidth="1"/>
    <col min="20" max="21" width="12.00390625" style="4" customWidth="1"/>
    <col min="22" max="23" width="12.8515625" style="4" customWidth="1"/>
    <col min="24" max="24" width="12.00390625" style="4" customWidth="1"/>
    <col min="25" max="25" width="12.7109375" style="4" customWidth="1"/>
    <col min="26" max="26" width="12.57421875" style="4" customWidth="1"/>
    <col min="27" max="28" width="12.7109375" style="4" customWidth="1"/>
    <col min="29" max="29" width="12.57421875" style="4" customWidth="1"/>
    <col min="30" max="30" width="14.7109375" style="4" customWidth="1"/>
    <col min="31" max="31" width="13.140625" style="4" customWidth="1"/>
    <col min="32" max="32" width="7.140625" style="4" customWidth="1"/>
    <col min="33" max="33" width="52.28125" style="4" customWidth="1"/>
    <col min="34" max="34" width="4.57421875" style="4" customWidth="1"/>
    <col min="35" max="35" width="13.57421875" style="4" customWidth="1"/>
    <col min="36" max="37" width="12.421875" style="4" customWidth="1"/>
    <col min="38" max="38" width="14.00390625" style="4" customWidth="1"/>
    <col min="39" max="39" width="14.28125" style="4" customWidth="1"/>
    <col min="40" max="40" width="13.421875" style="4" customWidth="1"/>
    <col min="41" max="41" width="12.7109375" style="4" customWidth="1"/>
    <col min="42" max="42" width="12.421875" style="4" customWidth="1"/>
    <col min="43" max="43" width="13.00390625" style="4" customWidth="1"/>
    <col min="44" max="44" width="14.57421875" style="4" customWidth="1"/>
    <col min="45" max="45" width="14.421875" style="4" customWidth="1"/>
    <col min="46" max="46" width="14.57421875" style="4" customWidth="1"/>
    <col min="47" max="47" width="13.421875" style="4" bestFit="1" customWidth="1"/>
    <col min="48" max="48" width="8.140625" style="4" customWidth="1"/>
    <col min="49" max="49" width="44.28125" style="0" customWidth="1"/>
    <col min="50" max="50" width="3.00390625" style="0" customWidth="1"/>
    <col min="51" max="51" width="13.57421875" style="0" customWidth="1"/>
    <col min="52" max="53" width="12.421875" style="0" customWidth="1"/>
    <col min="54" max="54" width="14.00390625" style="0" customWidth="1"/>
    <col min="55" max="55" width="14.28125" style="0" customWidth="1"/>
    <col min="56" max="56" width="13.421875" style="0" customWidth="1"/>
    <col min="57" max="57" width="12.7109375" style="0" customWidth="1"/>
    <col min="58" max="58" width="12.8515625" style="0" customWidth="1"/>
    <col min="59" max="59" width="13.00390625" style="0" customWidth="1"/>
    <col min="60" max="60" width="14.57421875" style="0" customWidth="1"/>
    <col min="61" max="61" width="14.421875" style="0" customWidth="1"/>
    <col min="62" max="62" width="14.57421875" style="0" customWidth="1"/>
    <col min="63" max="63" width="13.00390625" style="0" customWidth="1"/>
    <col min="64" max="16384" width="8.140625" style="4" customWidth="1"/>
  </cols>
  <sheetData>
    <row r="1" spans="1:63" ht="15">
      <c r="A1" s="1" t="s">
        <v>123</v>
      </c>
      <c r="B1" s="2"/>
      <c r="C1" s="2"/>
      <c r="D1" s="2"/>
      <c r="E1" s="1"/>
      <c r="F1" s="3"/>
      <c r="G1" s="3"/>
      <c r="H1" s="2"/>
      <c r="I1" s="2"/>
      <c r="J1" s="2"/>
      <c r="K1" s="2"/>
      <c r="L1" s="1" t="s">
        <v>0</v>
      </c>
      <c r="M1" s="2"/>
      <c r="N1" s="2"/>
      <c r="O1" s="2"/>
      <c r="P1" s="3"/>
      <c r="Q1" s="1" t="str">
        <f>+A1</f>
        <v>INDIANA BOND BANK 2005 CASH FLOW FUNDING PROGRAM</v>
      </c>
      <c r="R1" s="2"/>
      <c r="S1" s="2"/>
      <c r="T1" s="2"/>
      <c r="U1" s="1"/>
      <c r="V1" s="3"/>
      <c r="W1" s="3"/>
      <c r="X1" s="3"/>
      <c r="Y1" s="2"/>
      <c r="Z1" s="2"/>
      <c r="AA1" s="2"/>
      <c r="AB1" s="2"/>
      <c r="AC1" s="2"/>
      <c r="AD1" s="2"/>
      <c r="AE1" s="2"/>
      <c r="AF1" s="3"/>
      <c r="AG1" s="1" t="str">
        <f>+A1</f>
        <v>INDIANA BOND BANK 2005 CASH FLOW FUNDING PROGRAM</v>
      </c>
      <c r="AH1" s="2"/>
      <c r="AI1" s="2"/>
      <c r="AJ1" s="2"/>
      <c r="AK1" s="1"/>
      <c r="AL1" s="3"/>
      <c r="AM1" s="3"/>
      <c r="AN1" s="3"/>
      <c r="AO1" s="2"/>
      <c r="AP1" s="2"/>
      <c r="AQ1" s="2"/>
      <c r="AR1" s="2"/>
      <c r="AS1" s="2"/>
      <c r="AT1" s="2"/>
      <c r="AU1" s="2"/>
      <c r="AW1" s="31" t="str">
        <f>+Q1</f>
        <v>INDIANA BOND BANK 2005 CASH FLOW FUNDING PROGRAM</v>
      </c>
      <c r="AX1" s="6"/>
      <c r="AY1" s="6"/>
      <c r="AZ1" s="6"/>
      <c r="BA1" s="31"/>
      <c r="BB1" s="55"/>
      <c r="BC1" s="55"/>
      <c r="BD1" s="55"/>
      <c r="BE1" s="6"/>
      <c r="BF1" s="6"/>
      <c r="BG1" s="6"/>
      <c r="BH1" s="6"/>
      <c r="BI1" s="6"/>
      <c r="BJ1" s="6"/>
      <c r="BK1" s="6"/>
    </row>
    <row r="2" spans="1:63" ht="15">
      <c r="A2" s="2"/>
      <c r="B2" s="2"/>
      <c r="C2" s="2"/>
      <c r="D2" s="2"/>
      <c r="E2" s="2"/>
      <c r="F2" s="1" t="s">
        <v>1</v>
      </c>
      <c r="G2" s="5" t="s">
        <v>2</v>
      </c>
      <c r="H2" s="31" t="s">
        <v>3</v>
      </c>
      <c r="I2" s="2"/>
      <c r="J2" s="2"/>
      <c r="K2" s="2"/>
      <c r="L2" s="1" t="s">
        <v>4</v>
      </c>
      <c r="M2" s="2"/>
      <c r="N2" s="7">
        <f ca="1">TODAY()</f>
        <v>40520</v>
      </c>
      <c r="O2" s="2"/>
      <c r="P2" s="3"/>
      <c r="Q2" s="2"/>
      <c r="R2" s="2"/>
      <c r="S2" s="2"/>
      <c r="T2" s="2"/>
      <c r="U2" s="2"/>
      <c r="V2" s="1" t="s">
        <v>1</v>
      </c>
      <c r="W2" s="1" t="s">
        <v>2</v>
      </c>
      <c r="X2" s="2" t="str">
        <f>H2</f>
        <v>City of Portage</v>
      </c>
      <c r="Y2" s="2"/>
      <c r="Z2" s="2"/>
      <c r="AA2" s="2"/>
      <c r="AB2" s="1" t="s">
        <v>4</v>
      </c>
      <c r="AC2" s="2"/>
      <c r="AD2" s="8">
        <f>N2</f>
        <v>40520</v>
      </c>
      <c r="AE2" s="2"/>
      <c r="AF2" s="3"/>
      <c r="AG2" s="2"/>
      <c r="AH2" s="2"/>
      <c r="AI2" s="2"/>
      <c r="AJ2" s="2"/>
      <c r="AK2" s="2"/>
      <c r="AL2" s="1" t="s">
        <v>1</v>
      </c>
      <c r="AM2" s="1" t="s">
        <v>2</v>
      </c>
      <c r="AN2" s="2" t="str">
        <f>H2</f>
        <v>City of Portage</v>
      </c>
      <c r="AO2" s="2"/>
      <c r="AP2" s="2"/>
      <c r="AQ2" s="2"/>
      <c r="AR2" s="1" t="s">
        <v>4</v>
      </c>
      <c r="AS2" s="2"/>
      <c r="AT2" s="7">
        <f>N2</f>
        <v>40520</v>
      </c>
      <c r="AU2" s="2"/>
      <c r="AW2" s="6"/>
      <c r="AX2" s="6"/>
      <c r="AY2" s="6"/>
      <c r="AZ2" s="6"/>
      <c r="BA2" s="6"/>
      <c r="BB2" s="31" t="s">
        <v>1</v>
      </c>
      <c r="BC2" s="31" t="s">
        <v>2</v>
      </c>
      <c r="BD2" s="6" t="str">
        <f>X2</f>
        <v>City of Portage</v>
      </c>
      <c r="BE2" s="6"/>
      <c r="BF2" s="6"/>
      <c r="BG2" s="6"/>
      <c r="BH2" s="31" t="s">
        <v>4</v>
      </c>
      <c r="BI2" s="6"/>
      <c r="BJ2" s="56">
        <f>AD2</f>
        <v>40520</v>
      </c>
      <c r="BK2" s="6"/>
    </row>
    <row r="3" spans="1:63" ht="15">
      <c r="A3" s="1" t="s">
        <v>5</v>
      </c>
      <c r="B3" s="2"/>
      <c r="C3" s="2"/>
      <c r="D3" s="2"/>
      <c r="E3" s="2"/>
      <c r="F3" s="2"/>
      <c r="G3" s="2"/>
      <c r="H3" s="6"/>
      <c r="I3" s="2"/>
      <c r="J3" s="2"/>
      <c r="K3" s="2"/>
      <c r="L3" s="3"/>
      <c r="M3" s="3"/>
      <c r="N3" s="9"/>
      <c r="O3" s="2"/>
      <c r="P3" s="3"/>
      <c r="Q3" s="1" t="s">
        <v>5</v>
      </c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2"/>
      <c r="AF3" s="3"/>
      <c r="AG3" s="1" t="s">
        <v>5</v>
      </c>
      <c r="AH3" s="2"/>
      <c r="AI3" s="2"/>
      <c r="AJ3" s="2"/>
      <c r="AK3" s="2"/>
      <c r="AL3" s="2"/>
      <c r="AM3" s="2"/>
      <c r="AN3" s="1" t="s">
        <v>0</v>
      </c>
      <c r="AO3" s="2"/>
      <c r="AP3" s="2"/>
      <c r="AQ3" s="2"/>
      <c r="AR3" s="3"/>
      <c r="AS3" s="3"/>
      <c r="AT3" s="9"/>
      <c r="AU3" s="2"/>
      <c r="AW3" s="31" t="s">
        <v>5</v>
      </c>
      <c r="AX3" s="6"/>
      <c r="AY3" s="6"/>
      <c r="AZ3" s="6"/>
      <c r="BA3" s="6"/>
      <c r="BB3" s="6"/>
      <c r="BC3" s="6"/>
      <c r="BD3" s="31" t="s">
        <v>0</v>
      </c>
      <c r="BE3" s="6"/>
      <c r="BF3" s="6"/>
      <c r="BG3" s="6"/>
      <c r="BH3" s="55"/>
      <c r="BI3" s="55"/>
      <c r="BJ3" s="57"/>
      <c r="BK3" s="6"/>
    </row>
    <row r="4" spans="1:63" ht="15">
      <c r="A4" s="2"/>
      <c r="B4" s="2"/>
      <c r="C4" s="2"/>
      <c r="D4" s="2"/>
      <c r="E4" s="2"/>
      <c r="F4" s="2"/>
      <c r="G4" s="1" t="s">
        <v>6</v>
      </c>
      <c r="H4" s="31" t="s">
        <v>7</v>
      </c>
      <c r="I4" s="2"/>
      <c r="J4" s="2"/>
      <c r="K4" s="2"/>
      <c r="L4" s="1" t="s">
        <v>8</v>
      </c>
      <c r="M4" s="2"/>
      <c r="N4" s="1" t="s">
        <v>9</v>
      </c>
      <c r="O4" s="2"/>
      <c r="P4" s="3"/>
      <c r="Q4" s="2"/>
      <c r="R4" s="2"/>
      <c r="S4" s="2"/>
      <c r="T4" s="2"/>
      <c r="U4" s="2"/>
      <c r="V4" s="2"/>
      <c r="W4" s="1" t="s">
        <v>6</v>
      </c>
      <c r="X4" s="2" t="str">
        <f>H4</f>
        <v>Donna Pappas</v>
      </c>
      <c r="Y4" s="2"/>
      <c r="Z4" s="2"/>
      <c r="AA4" s="2"/>
      <c r="AB4" s="1" t="s">
        <v>8</v>
      </c>
      <c r="AC4" s="2"/>
      <c r="AD4" s="1" t="s">
        <v>10</v>
      </c>
      <c r="AE4" s="2"/>
      <c r="AF4" s="3"/>
      <c r="AG4" s="2"/>
      <c r="AH4" s="2"/>
      <c r="AI4" s="2"/>
      <c r="AJ4" s="2"/>
      <c r="AK4" s="2"/>
      <c r="AL4" s="2"/>
      <c r="AM4" s="1" t="s">
        <v>6</v>
      </c>
      <c r="AN4" s="2" t="str">
        <f>H4</f>
        <v>Donna Pappas</v>
      </c>
      <c r="AO4" s="2"/>
      <c r="AP4" s="2"/>
      <c r="AQ4" s="2"/>
      <c r="AR4" s="1" t="s">
        <v>8</v>
      </c>
      <c r="AS4" s="2"/>
      <c r="AT4" s="1" t="s">
        <v>132</v>
      </c>
      <c r="AU4" s="2"/>
      <c r="AW4" s="6"/>
      <c r="AX4" s="6"/>
      <c r="AY4" s="6"/>
      <c r="AZ4" s="6"/>
      <c r="BA4" s="6"/>
      <c r="BB4" s="6"/>
      <c r="BC4" s="31" t="s">
        <v>6</v>
      </c>
      <c r="BD4" s="6" t="str">
        <f>X4</f>
        <v>Donna Pappas</v>
      </c>
      <c r="BE4" s="6"/>
      <c r="BF4" s="6"/>
      <c r="BG4" s="6"/>
      <c r="BH4" s="31" t="s">
        <v>8</v>
      </c>
      <c r="BI4" s="6"/>
      <c r="BJ4" s="31" t="s">
        <v>124</v>
      </c>
      <c r="BK4" s="6"/>
    </row>
    <row r="5" spans="1:63" ht="15">
      <c r="A5" s="2"/>
      <c r="B5" s="2"/>
      <c r="C5" s="2"/>
      <c r="D5" s="2"/>
      <c r="E5" s="2"/>
      <c r="F5" s="2"/>
      <c r="G5" s="2"/>
      <c r="H5" s="6"/>
      <c r="I5" s="2"/>
      <c r="J5" s="2"/>
      <c r="K5" s="2"/>
      <c r="L5" s="2"/>
      <c r="M5" s="2"/>
      <c r="N5" s="1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  <c r="AG5" s="2"/>
      <c r="AH5" s="2"/>
      <c r="AI5" s="2"/>
      <c r="AJ5" s="2"/>
      <c r="AK5" s="2"/>
      <c r="AL5" s="2"/>
      <c r="AM5" s="2"/>
      <c r="AN5" s="1"/>
      <c r="AO5" s="2"/>
      <c r="AP5" s="2"/>
      <c r="AQ5" s="2"/>
      <c r="AR5" s="2"/>
      <c r="AS5" s="2"/>
      <c r="AT5" s="1"/>
      <c r="AU5" s="2"/>
      <c r="AW5" s="6"/>
      <c r="AX5" s="6"/>
      <c r="AY5" s="6"/>
      <c r="AZ5" s="6"/>
      <c r="BA5" s="6"/>
      <c r="BB5" s="6"/>
      <c r="BC5" s="6"/>
      <c r="BD5" s="31"/>
      <c r="BE5" s="6"/>
      <c r="BF5" s="6"/>
      <c r="BG5" s="6"/>
      <c r="BH5" s="6"/>
      <c r="BI5" s="6"/>
      <c r="BJ5" s="31"/>
      <c r="BK5" s="6"/>
    </row>
    <row r="6" spans="1:63" ht="15">
      <c r="A6" s="2"/>
      <c r="B6" s="2"/>
      <c r="C6" s="2"/>
      <c r="D6" s="2"/>
      <c r="E6" s="2"/>
      <c r="F6" s="2"/>
      <c r="G6" s="1" t="s">
        <v>11</v>
      </c>
      <c r="H6" s="31" t="s">
        <v>12</v>
      </c>
      <c r="I6" s="2"/>
      <c r="J6" s="2"/>
      <c r="K6" s="2"/>
      <c r="L6" s="1" t="s">
        <v>13</v>
      </c>
      <c r="M6" s="2"/>
      <c r="N6" s="31" t="s">
        <v>72</v>
      </c>
      <c r="O6" s="2"/>
      <c r="P6" s="3"/>
      <c r="Q6" s="2"/>
      <c r="R6" s="2"/>
      <c r="S6" s="2"/>
      <c r="T6" s="2"/>
      <c r="U6" s="2"/>
      <c r="V6" s="2"/>
      <c r="W6" s="1" t="s">
        <v>11</v>
      </c>
      <c r="X6" s="2" t="str">
        <f>H6</f>
        <v>219-762-7784</v>
      </c>
      <c r="Y6" s="2"/>
      <c r="Z6" s="2"/>
      <c r="AA6" s="2"/>
      <c r="AB6" s="1" t="s">
        <v>13</v>
      </c>
      <c r="AC6" s="2"/>
      <c r="AD6" s="2" t="str">
        <f>N6</f>
        <v>Bond Redemption (Debt Service)</v>
      </c>
      <c r="AE6" s="2"/>
      <c r="AF6" s="3"/>
      <c r="AG6" s="2"/>
      <c r="AH6" s="2"/>
      <c r="AI6" s="2"/>
      <c r="AJ6" s="2"/>
      <c r="AK6" s="2"/>
      <c r="AL6" s="2"/>
      <c r="AM6" s="1" t="s">
        <v>11</v>
      </c>
      <c r="AN6" s="2" t="str">
        <f>H6</f>
        <v>219-762-7784</v>
      </c>
      <c r="AO6" s="2"/>
      <c r="AP6" s="2"/>
      <c r="AQ6" s="2"/>
      <c r="AR6" s="1" t="s">
        <v>13</v>
      </c>
      <c r="AS6" s="2"/>
      <c r="AT6" s="1" t="str">
        <f>N6</f>
        <v>Bond Redemption (Debt Service)</v>
      </c>
      <c r="AU6" s="2"/>
      <c r="AW6" s="6"/>
      <c r="AX6" s="6"/>
      <c r="AY6" s="6"/>
      <c r="AZ6" s="6"/>
      <c r="BA6" s="6"/>
      <c r="BB6" s="6"/>
      <c r="BC6" s="31" t="s">
        <v>11</v>
      </c>
      <c r="BD6" s="6" t="str">
        <f>X6</f>
        <v>219-762-7784</v>
      </c>
      <c r="BE6" s="6"/>
      <c r="BF6" s="6"/>
      <c r="BG6" s="6"/>
      <c r="BH6" s="31" t="s">
        <v>13</v>
      </c>
      <c r="BI6" s="6"/>
      <c r="BJ6" s="31" t="str">
        <f>AD6</f>
        <v>Bond Redemption (Debt Service)</v>
      </c>
      <c r="BK6" s="6"/>
    </row>
    <row r="7" spans="1:63" ht="15">
      <c r="A7" s="2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1"/>
      <c r="O7" s="2"/>
      <c r="P7" s="3"/>
      <c r="Q7" s="2"/>
      <c r="R7" s="2"/>
      <c r="S7" s="2"/>
      <c r="T7" s="2"/>
      <c r="U7" s="2"/>
      <c r="V7" s="2"/>
      <c r="W7" s="3"/>
      <c r="X7" s="3"/>
      <c r="Y7" s="2"/>
      <c r="Z7" s="2"/>
      <c r="AA7" s="2"/>
      <c r="AB7" s="2"/>
      <c r="AC7" s="2"/>
      <c r="AD7" s="2"/>
      <c r="AE7" s="2"/>
      <c r="AF7" s="3"/>
      <c r="AG7" s="2"/>
      <c r="AH7" s="2"/>
      <c r="AI7" s="2"/>
      <c r="AJ7" s="2"/>
      <c r="AK7" s="2"/>
      <c r="AL7" s="2"/>
      <c r="AM7" s="3"/>
      <c r="AN7" s="3"/>
      <c r="AO7" s="2"/>
      <c r="AP7" s="2"/>
      <c r="AQ7" s="2"/>
      <c r="AR7" s="2"/>
      <c r="AS7" s="2"/>
      <c r="AT7" s="1"/>
      <c r="AU7" s="2"/>
      <c r="AW7" s="6"/>
      <c r="AX7" s="6"/>
      <c r="AY7" s="6"/>
      <c r="AZ7" s="6"/>
      <c r="BA7" s="6"/>
      <c r="BB7" s="6"/>
      <c r="BC7" s="6"/>
      <c r="BD7" s="31"/>
      <c r="BE7" s="6"/>
      <c r="BF7" s="6"/>
      <c r="BG7" s="6"/>
      <c r="BH7" s="6"/>
      <c r="BI7" s="6"/>
      <c r="BJ7" s="31"/>
      <c r="BK7" s="6"/>
    </row>
    <row r="8" spans="1:63" ht="15">
      <c r="A8" s="2"/>
      <c r="B8" s="2"/>
      <c r="C8" s="2"/>
      <c r="D8" s="2"/>
      <c r="E8" s="2"/>
      <c r="F8" s="2"/>
      <c r="G8" s="3"/>
      <c r="H8" s="2"/>
      <c r="I8" s="2"/>
      <c r="J8" s="2"/>
      <c r="K8" s="2"/>
      <c r="L8" s="1" t="s">
        <v>14</v>
      </c>
      <c r="M8" s="10"/>
      <c r="N8" s="11">
        <f>O17</f>
        <v>1597818</v>
      </c>
      <c r="O8" s="2"/>
      <c r="P8" s="3"/>
      <c r="Q8" s="2"/>
      <c r="R8" s="2"/>
      <c r="S8" s="2"/>
      <c r="T8" s="2"/>
      <c r="U8" s="2"/>
      <c r="V8" s="2"/>
      <c r="W8" s="3"/>
      <c r="X8" s="3"/>
      <c r="Y8" s="2"/>
      <c r="Z8" s="2"/>
      <c r="AA8" s="2"/>
      <c r="AB8" s="1" t="s">
        <v>14</v>
      </c>
      <c r="AC8" s="10"/>
      <c r="AD8" s="10">
        <v>1626553</v>
      </c>
      <c r="AE8" s="2"/>
      <c r="AF8" s="3"/>
      <c r="AG8" s="2"/>
      <c r="AH8" s="2"/>
      <c r="AI8" s="2"/>
      <c r="AJ8" s="2"/>
      <c r="AK8" s="2"/>
      <c r="AL8" s="2"/>
      <c r="AM8" s="3"/>
      <c r="AN8" s="3"/>
      <c r="AO8" s="2"/>
      <c r="AP8" s="2"/>
      <c r="AQ8" s="2"/>
      <c r="AR8" s="1" t="s">
        <v>15</v>
      </c>
      <c r="AS8" s="10"/>
      <c r="AT8" s="12">
        <v>1669468</v>
      </c>
      <c r="AU8" s="2"/>
      <c r="AW8" s="6"/>
      <c r="AX8" s="6"/>
      <c r="AY8" s="6"/>
      <c r="AZ8" s="6"/>
      <c r="BA8" s="6"/>
      <c r="BB8" s="6"/>
      <c r="BE8" s="6"/>
      <c r="BF8" s="6"/>
      <c r="BG8" s="6"/>
      <c r="BH8" s="31" t="s">
        <v>125</v>
      </c>
      <c r="BI8" s="11"/>
      <c r="BJ8" s="58">
        <v>1440000</v>
      </c>
      <c r="BK8" s="6"/>
    </row>
    <row r="9" spans="1:6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W9" s="6"/>
      <c r="AX9" s="6"/>
      <c r="AY9" s="6"/>
      <c r="AZ9" s="6"/>
      <c r="BA9" s="6"/>
      <c r="BB9" s="6"/>
      <c r="BC9" s="55"/>
      <c r="BD9" s="55"/>
      <c r="BE9" s="6"/>
      <c r="BF9" s="6"/>
      <c r="BG9" s="6"/>
      <c r="BK9" s="6"/>
    </row>
    <row r="10" spans="1:6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W10" s="6"/>
      <c r="AX10" s="6"/>
      <c r="AY10" s="6"/>
      <c r="AZ10" s="6"/>
      <c r="BA10" s="6"/>
      <c r="BB10" s="6"/>
      <c r="BC10" s="55"/>
      <c r="BD10" s="55"/>
      <c r="BE10" s="6"/>
      <c r="BF10" s="6"/>
      <c r="BG10" s="6"/>
      <c r="BK10" s="6"/>
    </row>
    <row r="11" spans="1:63" ht="15">
      <c r="A11" s="3"/>
      <c r="B11" s="3"/>
      <c r="C11" s="13" t="s">
        <v>16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  <c r="M11" s="13" t="s">
        <v>26</v>
      </c>
      <c r="N11" s="13" t="s">
        <v>27</v>
      </c>
      <c r="O11" s="13" t="s">
        <v>28</v>
      </c>
      <c r="P11" s="3"/>
      <c r="Q11" s="3"/>
      <c r="R11" s="3"/>
      <c r="S11" s="13" t="s">
        <v>16</v>
      </c>
      <c r="T11" s="13" t="s">
        <v>17</v>
      </c>
      <c r="U11" s="13" t="s">
        <v>18</v>
      </c>
      <c r="V11" s="13" t="s">
        <v>19</v>
      </c>
      <c r="W11" s="13" t="s">
        <v>20</v>
      </c>
      <c r="X11" s="13" t="s">
        <v>21</v>
      </c>
      <c r="Y11" s="13" t="s">
        <v>22</v>
      </c>
      <c r="Z11" s="13" t="s">
        <v>23</v>
      </c>
      <c r="AA11" s="13" t="s">
        <v>24</v>
      </c>
      <c r="AB11" s="13" t="s">
        <v>25</v>
      </c>
      <c r="AC11" s="13" t="s">
        <v>26</v>
      </c>
      <c r="AD11" s="13" t="s">
        <v>27</v>
      </c>
      <c r="AE11" s="13" t="s">
        <v>28</v>
      </c>
      <c r="AF11" s="3"/>
      <c r="AG11" s="3"/>
      <c r="AH11" s="3"/>
      <c r="AI11" s="13" t="s">
        <v>16</v>
      </c>
      <c r="AJ11" s="13" t="s">
        <v>17</v>
      </c>
      <c r="AK11" s="13" t="s">
        <v>18</v>
      </c>
      <c r="AL11" s="13" t="s">
        <v>19</v>
      </c>
      <c r="AM11" s="13" t="s">
        <v>20</v>
      </c>
      <c r="AN11" s="13" t="s">
        <v>21</v>
      </c>
      <c r="AO11" s="13" t="s">
        <v>22</v>
      </c>
      <c r="AP11" s="13" t="s">
        <v>23</v>
      </c>
      <c r="AQ11" s="13" t="s">
        <v>24</v>
      </c>
      <c r="AR11" s="13" t="s">
        <v>25</v>
      </c>
      <c r="AS11" s="13" t="s">
        <v>26</v>
      </c>
      <c r="AT11" s="13" t="s">
        <v>27</v>
      </c>
      <c r="AU11" s="13" t="s">
        <v>28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5">
      <c r="A12" s="5" t="s">
        <v>29</v>
      </c>
      <c r="B12" s="3"/>
      <c r="C12" s="13" t="s">
        <v>30</v>
      </c>
      <c r="D12" s="13" t="s">
        <v>30</v>
      </c>
      <c r="E12" s="13" t="s">
        <v>30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  <c r="M12" s="13" t="s">
        <v>30</v>
      </c>
      <c r="N12" s="13" t="s">
        <v>30</v>
      </c>
      <c r="O12" s="13" t="s">
        <v>30</v>
      </c>
      <c r="P12" s="3"/>
      <c r="Q12" s="5" t="s">
        <v>29</v>
      </c>
      <c r="R12" s="3"/>
      <c r="S12" s="13" t="s">
        <v>30</v>
      </c>
      <c r="T12" s="13" t="s">
        <v>30</v>
      </c>
      <c r="U12" s="13" t="s">
        <v>30</v>
      </c>
      <c r="V12" s="13" t="s">
        <v>30</v>
      </c>
      <c r="W12" s="13" t="s">
        <v>30</v>
      </c>
      <c r="X12" s="13" t="s">
        <v>30</v>
      </c>
      <c r="Y12" s="13" t="s">
        <v>30</v>
      </c>
      <c r="Z12" s="13" t="s">
        <v>30</v>
      </c>
      <c r="AA12" s="13" t="s">
        <v>30</v>
      </c>
      <c r="AB12" s="13" t="s">
        <v>30</v>
      </c>
      <c r="AC12" s="13" t="s">
        <v>30</v>
      </c>
      <c r="AD12" s="13" t="s">
        <v>30</v>
      </c>
      <c r="AE12" s="13" t="s">
        <v>30</v>
      </c>
      <c r="AF12" s="3"/>
      <c r="AG12" s="5" t="s">
        <v>29</v>
      </c>
      <c r="AH12" s="3"/>
      <c r="AI12" s="13" t="s">
        <v>30</v>
      </c>
      <c r="AJ12" s="13" t="s">
        <v>30</v>
      </c>
      <c r="AK12" s="13" t="s">
        <v>30</v>
      </c>
      <c r="AL12" s="13" t="s">
        <v>30</v>
      </c>
      <c r="AM12" s="13" t="s">
        <v>30</v>
      </c>
      <c r="AN12" s="13" t="s">
        <v>30</v>
      </c>
      <c r="AO12" s="13" t="s">
        <v>30</v>
      </c>
      <c r="AP12" s="13" t="s">
        <v>30</v>
      </c>
      <c r="AQ12" s="13" t="s">
        <v>30</v>
      </c>
      <c r="AR12" s="13" t="s">
        <v>30</v>
      </c>
      <c r="AS12" s="13" t="s">
        <v>30</v>
      </c>
      <c r="AT12" s="13" t="s">
        <v>30</v>
      </c>
      <c r="AU12" s="13" t="s">
        <v>30</v>
      </c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5">
      <c r="A13" s="5" t="s">
        <v>31</v>
      </c>
      <c r="B13" s="3"/>
      <c r="C13" s="14">
        <v>-1</v>
      </c>
      <c r="D13" s="15">
        <f aca="true" t="shared" si="0" ref="D13:N13">C39</f>
        <v>78694</v>
      </c>
      <c r="E13" s="15">
        <f t="shared" si="0"/>
        <v>77928</v>
      </c>
      <c r="F13" s="15">
        <f t="shared" si="0"/>
        <v>77528</v>
      </c>
      <c r="G13" s="15">
        <f t="shared" si="0"/>
        <v>222737</v>
      </c>
      <c r="H13" s="15">
        <f t="shared" si="0"/>
        <v>139535</v>
      </c>
      <c r="I13" s="15">
        <f t="shared" si="0"/>
        <v>551387</v>
      </c>
      <c r="J13" s="15">
        <f t="shared" si="0"/>
        <v>69306</v>
      </c>
      <c r="K13" s="15">
        <f t="shared" si="0"/>
        <v>168637</v>
      </c>
      <c r="L13" s="15">
        <f t="shared" si="0"/>
        <v>218811</v>
      </c>
      <c r="M13" s="15">
        <f t="shared" si="0"/>
        <v>18811</v>
      </c>
      <c r="N13" s="15">
        <f t="shared" si="0"/>
        <v>538779</v>
      </c>
      <c r="O13" s="15">
        <f>C13</f>
        <v>-1</v>
      </c>
      <c r="P13" s="3"/>
      <c r="Q13" s="5" t="s">
        <v>31</v>
      </c>
      <c r="R13" s="3"/>
      <c r="S13" s="15">
        <f>O39</f>
        <v>302654</v>
      </c>
      <c r="T13" s="15">
        <f aca="true" t="shared" si="1" ref="T13:AD13">S39</f>
        <v>0</v>
      </c>
      <c r="U13" s="15">
        <f t="shared" si="1"/>
        <v>0</v>
      </c>
      <c r="V13" s="15">
        <f t="shared" si="1"/>
        <v>24289</v>
      </c>
      <c r="W13" s="15">
        <f t="shared" si="1"/>
        <v>114561</v>
      </c>
      <c r="X13" s="15">
        <f t="shared" si="1"/>
        <v>114561</v>
      </c>
      <c r="Y13" s="15">
        <f t="shared" si="1"/>
        <v>17065</v>
      </c>
      <c r="Z13" s="15">
        <f t="shared" si="1"/>
        <v>218165</v>
      </c>
      <c r="AA13" s="15">
        <f t="shared" si="1"/>
        <v>602351</v>
      </c>
      <c r="AB13" s="15">
        <f t="shared" si="1"/>
        <v>602351</v>
      </c>
      <c r="AC13" s="15">
        <f t="shared" si="1"/>
        <v>1146453</v>
      </c>
      <c r="AD13" s="15">
        <f t="shared" si="1"/>
        <v>1121453</v>
      </c>
      <c r="AE13" s="15">
        <f>S13</f>
        <v>302654</v>
      </c>
      <c r="AF13" s="3"/>
      <c r="AG13" s="5" t="s">
        <v>31</v>
      </c>
      <c r="AH13" s="3"/>
      <c r="AI13" s="15">
        <f>AE39</f>
        <v>784724</v>
      </c>
      <c r="AJ13" s="15">
        <f aca="true" t="shared" si="2" ref="AJ13:AT13">AI41</f>
        <v>67205</v>
      </c>
      <c r="AK13" s="15">
        <f t="shared" si="2"/>
        <v>239728</v>
      </c>
      <c r="AL13" s="15">
        <f t="shared" si="2"/>
        <v>239728</v>
      </c>
      <c r="AM13" s="15">
        <f t="shared" si="2"/>
        <v>239549</v>
      </c>
      <c r="AN13" s="15">
        <f>AM41</f>
        <v>228734</v>
      </c>
      <c r="AO13" s="15">
        <f t="shared" si="2"/>
        <v>243569</v>
      </c>
      <c r="AP13" s="15">
        <f t="shared" si="2"/>
        <v>121299</v>
      </c>
      <c r="AQ13" s="15">
        <f t="shared" si="2"/>
        <v>132466.82</v>
      </c>
      <c r="AR13" s="15">
        <f t="shared" si="2"/>
        <v>635587.8200000001</v>
      </c>
      <c r="AS13" s="15">
        <f t="shared" si="2"/>
        <v>1101011.82</v>
      </c>
      <c r="AT13" s="15">
        <f t="shared" si="2"/>
        <v>1101011.82</v>
      </c>
      <c r="AU13" s="15">
        <f>AI13</f>
        <v>784724</v>
      </c>
      <c r="AW13" s="55"/>
      <c r="AX13" s="55"/>
      <c r="AY13" s="59" t="s">
        <v>16</v>
      </c>
      <c r="AZ13" s="59" t="s">
        <v>17</v>
      </c>
      <c r="BA13" s="59" t="s">
        <v>18</v>
      </c>
      <c r="BB13" s="59" t="s">
        <v>19</v>
      </c>
      <c r="BC13" s="59" t="s">
        <v>20</v>
      </c>
      <c r="BD13" s="59" t="s">
        <v>21</v>
      </c>
      <c r="BE13" s="59" t="s">
        <v>22</v>
      </c>
      <c r="BF13" s="59" t="s">
        <v>23</v>
      </c>
      <c r="BG13" s="59" t="s">
        <v>24</v>
      </c>
      <c r="BH13" s="59" t="s">
        <v>25</v>
      </c>
      <c r="BI13" s="59" t="s">
        <v>26</v>
      </c>
      <c r="BJ13" s="59" t="s">
        <v>27</v>
      </c>
      <c r="BK13" s="59" t="s">
        <v>28</v>
      </c>
    </row>
    <row r="14" spans="1:63" ht="15">
      <c r="A14" s="3"/>
      <c r="B14" s="3"/>
      <c r="C14" s="13" t="s">
        <v>30</v>
      </c>
      <c r="D14" s="13" t="s">
        <v>30</v>
      </c>
      <c r="E14" s="13" t="s">
        <v>30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  <c r="K14" s="13" t="s">
        <v>30</v>
      </c>
      <c r="L14" s="13" t="s">
        <v>30</v>
      </c>
      <c r="M14" s="13" t="s">
        <v>30</v>
      </c>
      <c r="N14" s="13" t="s">
        <v>30</v>
      </c>
      <c r="O14" s="13" t="s">
        <v>30</v>
      </c>
      <c r="P14" s="3"/>
      <c r="Q14" s="3"/>
      <c r="R14" s="3"/>
      <c r="S14" s="13" t="s">
        <v>30</v>
      </c>
      <c r="T14" s="13" t="s">
        <v>30</v>
      </c>
      <c r="U14" s="13" t="s">
        <v>30</v>
      </c>
      <c r="V14" s="13" t="s">
        <v>30</v>
      </c>
      <c r="W14" s="13" t="s">
        <v>30</v>
      </c>
      <c r="X14" s="13" t="s">
        <v>30</v>
      </c>
      <c r="Y14" s="13" t="s">
        <v>30</v>
      </c>
      <c r="Z14" s="13" t="s">
        <v>30</v>
      </c>
      <c r="AA14" s="13" t="s">
        <v>30</v>
      </c>
      <c r="AB14" s="13" t="s">
        <v>30</v>
      </c>
      <c r="AC14" s="13" t="s">
        <v>30</v>
      </c>
      <c r="AD14" s="13" t="s">
        <v>30</v>
      </c>
      <c r="AE14" s="13" t="s">
        <v>30</v>
      </c>
      <c r="AF14" s="3"/>
      <c r="AG14" s="3"/>
      <c r="AH14" s="3"/>
      <c r="AI14" s="13" t="s">
        <v>30</v>
      </c>
      <c r="AJ14" s="13" t="s">
        <v>30</v>
      </c>
      <c r="AK14" s="13" t="s">
        <v>30</v>
      </c>
      <c r="AL14" s="13" t="s">
        <v>30</v>
      </c>
      <c r="AM14" s="13" t="s">
        <v>30</v>
      </c>
      <c r="AN14" s="13" t="s">
        <v>30</v>
      </c>
      <c r="AO14" s="13" t="s">
        <v>30</v>
      </c>
      <c r="AP14" s="13" t="s">
        <v>30</v>
      </c>
      <c r="AQ14" s="13" t="s">
        <v>30</v>
      </c>
      <c r="AR14" s="13" t="s">
        <v>30</v>
      </c>
      <c r="AS14" s="13" t="s">
        <v>30</v>
      </c>
      <c r="AT14" s="13" t="s">
        <v>30</v>
      </c>
      <c r="AU14" s="13" t="s">
        <v>30</v>
      </c>
      <c r="AW14" s="60" t="s">
        <v>29</v>
      </c>
      <c r="AX14" s="55"/>
      <c r="AY14" s="59" t="s">
        <v>30</v>
      </c>
      <c r="AZ14" s="59" t="s">
        <v>30</v>
      </c>
      <c r="BA14" s="59" t="s">
        <v>30</v>
      </c>
      <c r="BB14" s="59" t="s">
        <v>30</v>
      </c>
      <c r="BC14" s="59" t="s">
        <v>30</v>
      </c>
      <c r="BD14" s="59" t="s">
        <v>30</v>
      </c>
      <c r="BE14" s="59" t="s">
        <v>30</v>
      </c>
      <c r="BF14" s="59" t="s">
        <v>30</v>
      </c>
      <c r="BG14" s="59" t="s">
        <v>30</v>
      </c>
      <c r="BH14" s="59" t="s">
        <v>30</v>
      </c>
      <c r="BI14" s="59" t="s">
        <v>30</v>
      </c>
      <c r="BJ14" s="59" t="s">
        <v>30</v>
      </c>
      <c r="BK14" s="59" t="s">
        <v>30</v>
      </c>
    </row>
    <row r="15" spans="1:63" ht="15">
      <c r="A15" s="5" t="s">
        <v>29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  <c r="Q15" s="5" t="s">
        <v>29</v>
      </c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  <c r="AG15" s="5" t="s">
        <v>29</v>
      </c>
      <c r="AH15" s="3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W15" s="60" t="s">
        <v>31</v>
      </c>
      <c r="AX15" s="55"/>
      <c r="AY15" s="14">
        <f>AU41</f>
        <v>713277.8199999998</v>
      </c>
      <c r="AZ15" s="14">
        <f aca="true" t="shared" si="3" ref="AZ15:BJ15">AY42</f>
        <v>401636.81999999983</v>
      </c>
      <c r="BA15" s="14">
        <f t="shared" si="3"/>
        <v>400943.81999999983</v>
      </c>
      <c r="BB15" s="14">
        <f t="shared" si="3"/>
        <v>400943.81999999983</v>
      </c>
      <c r="BC15" s="14">
        <f t="shared" si="3"/>
        <v>400764.81999999983</v>
      </c>
      <c r="BD15" s="14">
        <f t="shared" si="3"/>
        <v>389949.81999999983</v>
      </c>
      <c r="BE15" s="14">
        <f t="shared" si="3"/>
        <v>986246.8199999998</v>
      </c>
      <c r="BF15" s="14">
        <f t="shared" si="3"/>
        <v>743173.8199999998</v>
      </c>
      <c r="BG15" s="14">
        <f t="shared" si="3"/>
        <v>742561.8199999998</v>
      </c>
      <c r="BH15" s="14">
        <f t="shared" si="3"/>
        <v>741931.8199999998</v>
      </c>
      <c r="BI15" s="14">
        <f t="shared" si="3"/>
        <v>740681.8199999998</v>
      </c>
      <c r="BJ15" s="14">
        <f t="shared" si="3"/>
        <v>740681.8199999998</v>
      </c>
      <c r="BK15" s="14">
        <f>AY15</f>
        <v>713277.8199999998</v>
      </c>
    </row>
    <row r="16" spans="1:63" ht="15">
      <c r="A16" s="5" t="s">
        <v>32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5" t="s">
        <v>32</v>
      </c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  <c r="AG16" s="3" t="s">
        <v>32</v>
      </c>
      <c r="AH16" s="3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W16" s="55"/>
      <c r="AX16" s="55"/>
      <c r="AY16" s="59" t="s">
        <v>30</v>
      </c>
      <c r="AZ16" s="59" t="s">
        <v>30</v>
      </c>
      <c r="BA16" s="59" t="s">
        <v>30</v>
      </c>
      <c r="BB16" s="59" t="s">
        <v>30</v>
      </c>
      <c r="BC16" s="59" t="s">
        <v>30</v>
      </c>
      <c r="BD16" s="59" t="s">
        <v>30</v>
      </c>
      <c r="BE16" s="59" t="s">
        <v>30</v>
      </c>
      <c r="BF16" s="59" t="s">
        <v>30</v>
      </c>
      <c r="BG16" s="59" t="s">
        <v>30</v>
      </c>
      <c r="BH16" s="59" t="s">
        <v>30</v>
      </c>
      <c r="BI16" s="59" t="s">
        <v>30</v>
      </c>
      <c r="BJ16" s="59" t="s">
        <v>30</v>
      </c>
      <c r="BK16" s="59" t="s">
        <v>30</v>
      </c>
    </row>
    <row r="17" spans="1:63" s="23" customFormat="1" ht="15">
      <c r="A17" s="16" t="s">
        <v>33</v>
      </c>
      <c r="B17" s="17"/>
      <c r="C17" s="18">
        <v>0</v>
      </c>
      <c r="D17" s="18">
        <v>0</v>
      </c>
      <c r="E17" s="18">
        <v>0</v>
      </c>
      <c r="F17" s="18">
        <v>90219</v>
      </c>
      <c r="G17" s="18">
        <v>316798</v>
      </c>
      <c r="H17" s="18">
        <v>428336</v>
      </c>
      <c r="I17" s="18">
        <v>0</v>
      </c>
      <c r="J17" s="18">
        <v>0</v>
      </c>
      <c r="K17" s="18">
        <v>0</v>
      </c>
      <c r="L17" s="18">
        <v>0</v>
      </c>
      <c r="M17" s="18">
        <v>440600</v>
      </c>
      <c r="N17" s="18">
        <v>321865</v>
      </c>
      <c r="O17" s="19">
        <f>SUM(C17:N17)</f>
        <v>1597818</v>
      </c>
      <c r="P17" s="17"/>
      <c r="Q17" s="16" t="s">
        <v>33</v>
      </c>
      <c r="R17" s="17"/>
      <c r="S17" s="18">
        <v>0</v>
      </c>
      <c r="T17" s="18">
        <v>0</v>
      </c>
      <c r="U17" s="18">
        <v>0</v>
      </c>
      <c r="V17" s="18">
        <v>48760</v>
      </c>
      <c r="W17" s="18">
        <v>0</v>
      </c>
      <c r="X17" s="18">
        <v>145879</v>
      </c>
      <c r="Y17" s="18">
        <v>292756</v>
      </c>
      <c r="Z17" s="18">
        <v>374113</v>
      </c>
      <c r="AA17" s="18">
        <v>0</v>
      </c>
      <c r="AB17" s="18">
        <v>0</v>
      </c>
      <c r="AC17" s="18">
        <v>0</v>
      </c>
      <c r="AD17" s="18">
        <v>487539</v>
      </c>
      <c r="AE17" s="19">
        <f>SUM(S17:AD17)</f>
        <v>1349047</v>
      </c>
      <c r="AF17" s="17"/>
      <c r="AG17" s="20" t="s">
        <v>34</v>
      </c>
      <c r="AH17" s="17"/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43971</v>
      </c>
      <c r="AO17" s="21">
        <v>0</v>
      </c>
      <c r="AP17" s="21">
        <v>0</v>
      </c>
      <c r="AQ17" s="21">
        <v>358291</v>
      </c>
      <c r="AR17" s="21">
        <v>466674</v>
      </c>
      <c r="AS17" s="21">
        <v>0</v>
      </c>
      <c r="AT17" s="21">
        <v>800532</v>
      </c>
      <c r="AU17" s="22">
        <f aca="true" t="shared" si="4" ref="AU17:AU22">SUM(AI17:AT17)</f>
        <v>1669468</v>
      </c>
      <c r="AW17" s="60" t="s">
        <v>29</v>
      </c>
      <c r="AX17" s="55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23" customFormat="1" ht="15">
      <c r="A18" s="16" t="s">
        <v>35</v>
      </c>
      <c r="B18" s="17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f>SUM(C18:N18)</f>
        <v>0</v>
      </c>
      <c r="P18" s="17"/>
      <c r="Q18" s="16" t="s">
        <v>35</v>
      </c>
      <c r="R18" s="17"/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9">
        <f>SUM(S18:AD18)</f>
        <v>0</v>
      </c>
      <c r="AF18" s="17"/>
      <c r="AG18" s="20" t="s">
        <v>36</v>
      </c>
      <c r="AH18" s="17"/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2">
        <f t="shared" si="4"/>
        <v>0</v>
      </c>
      <c r="AW18" s="55"/>
      <c r="AX18" s="55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23" customFormat="1" ht="15">
      <c r="A19" s="16" t="s">
        <v>37</v>
      </c>
      <c r="B19" s="17"/>
      <c r="C19" s="18">
        <v>400000</v>
      </c>
      <c r="D19" s="18">
        <v>0</v>
      </c>
      <c r="E19" s="18">
        <v>0</v>
      </c>
      <c r="F19" s="18">
        <v>0</v>
      </c>
      <c r="G19" s="18">
        <v>0</v>
      </c>
      <c r="H19" s="18">
        <v>200000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300000</v>
      </c>
      <c r="O19" s="19">
        <f>SUM(C19:N19)</f>
        <v>900000</v>
      </c>
      <c r="P19" s="17"/>
      <c r="Q19" s="16" t="s">
        <v>37</v>
      </c>
      <c r="R19" s="17"/>
      <c r="S19" s="18">
        <v>604980</v>
      </c>
      <c r="T19" s="18">
        <v>0</v>
      </c>
      <c r="U19" s="18">
        <v>25000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9">
        <f>SUM(S19:AD19)</f>
        <v>629980</v>
      </c>
      <c r="AF19" s="17"/>
      <c r="AG19" s="20" t="s">
        <v>38</v>
      </c>
      <c r="AH19" s="17"/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2">
        <f t="shared" si="4"/>
        <v>0</v>
      </c>
      <c r="AW19" s="61" t="s">
        <v>32</v>
      </c>
      <c r="AX19" s="24"/>
      <c r="AY19" s="62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 s="23" customFormat="1" ht="15">
      <c r="A20" s="16" t="s">
        <v>39</v>
      </c>
      <c r="B20" s="17"/>
      <c r="C20" s="18">
        <v>0</v>
      </c>
      <c r="D20" s="18">
        <v>0</v>
      </c>
      <c r="E20" s="18">
        <v>0</v>
      </c>
      <c r="F20" s="18">
        <v>54990</v>
      </c>
      <c r="G20" s="18">
        <v>0</v>
      </c>
      <c r="H20" s="18">
        <f>40334</f>
        <v>40334</v>
      </c>
      <c r="I20" s="18">
        <v>0</v>
      </c>
      <c r="J20" s="18">
        <v>100171</v>
      </c>
      <c r="K20" s="18">
        <v>50174</v>
      </c>
      <c r="L20" s="18">
        <v>0</v>
      </c>
      <c r="M20" s="18">
        <v>79368</v>
      </c>
      <c r="N20" s="18">
        <f>29878</f>
        <v>29878</v>
      </c>
      <c r="O20" s="19">
        <f>SUM(C20:N20)</f>
        <v>354915</v>
      </c>
      <c r="P20" s="17"/>
      <c r="Q20" s="16" t="s">
        <v>39</v>
      </c>
      <c r="R20" s="17"/>
      <c r="S20" s="18">
        <v>216</v>
      </c>
      <c r="T20" s="18">
        <v>0</v>
      </c>
      <c r="U20" s="18">
        <v>0</v>
      </c>
      <c r="V20" s="18">
        <v>41512</v>
      </c>
      <c r="W20" s="18">
        <v>0</v>
      </c>
      <c r="X20" s="18">
        <v>0</v>
      </c>
      <c r="Y20" s="18">
        <v>35347</v>
      </c>
      <c r="Z20" s="18">
        <v>11664</v>
      </c>
      <c r="AA20" s="18">
        <v>0</v>
      </c>
      <c r="AB20" s="18">
        <v>0</v>
      </c>
      <c r="AC20" s="18">
        <v>0</v>
      </c>
      <c r="AD20" s="18">
        <v>85157</v>
      </c>
      <c r="AE20" s="19">
        <f>SUM(S20:AD20)</f>
        <v>173896</v>
      </c>
      <c r="AF20" s="17"/>
      <c r="AG20" s="20" t="s">
        <v>40</v>
      </c>
      <c r="AH20" s="17"/>
      <c r="AI20" s="21">
        <v>220492</v>
      </c>
      <c r="AJ20" s="21">
        <v>0</v>
      </c>
      <c r="AK20" s="21">
        <v>0</v>
      </c>
      <c r="AL20" s="21">
        <v>0</v>
      </c>
      <c r="AM20" s="21">
        <v>0</v>
      </c>
      <c r="AN20" s="21">
        <v>116183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2">
        <f t="shared" si="4"/>
        <v>336675</v>
      </c>
      <c r="AW20" s="63"/>
      <c r="AX20" s="24"/>
      <c r="AY20" s="62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</row>
    <row r="21" spans="1:63" ht="15">
      <c r="A21" s="3"/>
      <c r="B21" s="3"/>
      <c r="C21" s="25" t="s">
        <v>30</v>
      </c>
      <c r="D21" s="25" t="s">
        <v>30</v>
      </c>
      <c r="E21" s="25" t="s">
        <v>30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 t="s">
        <v>30</v>
      </c>
      <c r="L21" s="25" t="s">
        <v>30</v>
      </c>
      <c r="M21" s="25" t="s">
        <v>30</v>
      </c>
      <c r="N21" s="25" t="s">
        <v>30</v>
      </c>
      <c r="O21" s="13" t="s">
        <v>30</v>
      </c>
      <c r="P21" s="3"/>
      <c r="Q21" s="3"/>
      <c r="R21" s="3"/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5" t="s">
        <v>30</v>
      </c>
      <c r="Z21" s="25" t="s">
        <v>30</v>
      </c>
      <c r="AA21" s="25" t="s">
        <v>30</v>
      </c>
      <c r="AB21" s="25" t="s">
        <v>30</v>
      </c>
      <c r="AC21" s="25" t="s">
        <v>30</v>
      </c>
      <c r="AD21" s="25" t="s">
        <v>30</v>
      </c>
      <c r="AE21" s="13" t="s">
        <v>30</v>
      </c>
      <c r="AF21" s="3"/>
      <c r="AG21" s="20" t="s">
        <v>41</v>
      </c>
      <c r="AH21" s="17"/>
      <c r="AI21" s="21">
        <v>0</v>
      </c>
      <c r="AJ21" s="21">
        <v>16386</v>
      </c>
      <c r="AK21" s="21">
        <v>0</v>
      </c>
      <c r="AL21" s="21">
        <v>0</v>
      </c>
      <c r="AM21" s="21">
        <v>0</v>
      </c>
      <c r="AN21" s="21">
        <v>75006</v>
      </c>
      <c r="AO21" s="21">
        <v>0</v>
      </c>
      <c r="AP21" s="21">
        <v>11779.82</v>
      </c>
      <c r="AQ21" s="21">
        <v>145460</v>
      </c>
      <c r="AR21" s="21">
        <f>AB20</f>
        <v>0</v>
      </c>
      <c r="AS21" s="21">
        <f>AC20</f>
        <v>0</v>
      </c>
      <c r="AT21" s="21">
        <f>AD20</f>
        <v>85157</v>
      </c>
      <c r="AU21" s="22">
        <f t="shared" si="4"/>
        <v>333788.82</v>
      </c>
      <c r="AW21" s="63" t="s">
        <v>126</v>
      </c>
      <c r="AX21" s="24"/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720000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720000</v>
      </c>
      <c r="BK21" s="18">
        <f>SUM(AY21:BJ21)</f>
        <v>1440000</v>
      </c>
    </row>
    <row r="22" spans="1:63" ht="15">
      <c r="A22" s="3"/>
      <c r="B22" s="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3"/>
      <c r="P22" s="3"/>
      <c r="Q22" s="3"/>
      <c r="R22" s="3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13"/>
      <c r="AF22" s="3"/>
      <c r="AG22" s="20" t="s">
        <v>42</v>
      </c>
      <c r="AH22" s="17"/>
      <c r="AI22" s="21">
        <v>0</v>
      </c>
      <c r="AJ22" s="21">
        <v>156830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2">
        <f t="shared" si="4"/>
        <v>156830</v>
      </c>
      <c r="AW22" s="16" t="s">
        <v>127</v>
      </c>
      <c r="AX22" s="24"/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f>SUM(AY22:BJ22)</f>
        <v>0</v>
      </c>
    </row>
    <row r="23" spans="1:63" s="23" customFormat="1" ht="15">
      <c r="A23" s="16" t="s">
        <v>43</v>
      </c>
      <c r="B23" s="17"/>
      <c r="C23" s="19">
        <f aca="true" t="shared" si="5" ref="C23:O23">SUM(C17:C20)</f>
        <v>400000</v>
      </c>
      <c r="D23" s="19">
        <f t="shared" si="5"/>
        <v>0</v>
      </c>
      <c r="E23" s="19">
        <f t="shared" si="5"/>
        <v>0</v>
      </c>
      <c r="F23" s="19">
        <f t="shared" si="5"/>
        <v>145209</v>
      </c>
      <c r="G23" s="19">
        <f t="shared" si="5"/>
        <v>316798</v>
      </c>
      <c r="H23" s="19">
        <f t="shared" si="5"/>
        <v>668670</v>
      </c>
      <c r="I23" s="19">
        <f t="shared" si="5"/>
        <v>0</v>
      </c>
      <c r="J23" s="19">
        <f t="shared" si="5"/>
        <v>100171</v>
      </c>
      <c r="K23" s="19">
        <f t="shared" si="5"/>
        <v>50174</v>
      </c>
      <c r="L23" s="19">
        <f t="shared" si="5"/>
        <v>0</v>
      </c>
      <c r="M23" s="19">
        <f t="shared" si="5"/>
        <v>519968</v>
      </c>
      <c r="N23" s="19">
        <f t="shared" si="5"/>
        <v>651743</v>
      </c>
      <c r="O23" s="19">
        <f t="shared" si="5"/>
        <v>2852733</v>
      </c>
      <c r="P23" s="17"/>
      <c r="Q23" s="16" t="s">
        <v>43</v>
      </c>
      <c r="R23" s="17"/>
      <c r="S23" s="19">
        <f>SUM(S17:S20)</f>
        <v>605196</v>
      </c>
      <c r="T23" s="19">
        <f aca="true" t="shared" si="6" ref="T23:AD23">SUM(T17:T20)</f>
        <v>0</v>
      </c>
      <c r="U23" s="19">
        <f t="shared" si="6"/>
        <v>25000</v>
      </c>
      <c r="V23" s="19">
        <f t="shared" si="6"/>
        <v>90272</v>
      </c>
      <c r="W23" s="19">
        <f t="shared" si="6"/>
        <v>0</v>
      </c>
      <c r="X23" s="19">
        <f t="shared" si="6"/>
        <v>145879</v>
      </c>
      <c r="Y23" s="19">
        <f t="shared" si="6"/>
        <v>328103</v>
      </c>
      <c r="Z23" s="19">
        <f t="shared" si="6"/>
        <v>385777</v>
      </c>
      <c r="AA23" s="19">
        <f t="shared" si="6"/>
        <v>0</v>
      </c>
      <c r="AB23" s="19">
        <f t="shared" si="6"/>
        <v>0</v>
      </c>
      <c r="AC23" s="19">
        <f t="shared" si="6"/>
        <v>0</v>
      </c>
      <c r="AD23" s="19">
        <f t="shared" si="6"/>
        <v>572696</v>
      </c>
      <c r="AE23" s="19">
        <f>SUM(AE17:AE20)</f>
        <v>2152923</v>
      </c>
      <c r="AF23" s="17"/>
      <c r="AG23" s="3"/>
      <c r="AH23" s="3"/>
      <c r="AI23" s="25" t="s">
        <v>30</v>
      </c>
      <c r="AJ23" s="25" t="s">
        <v>30</v>
      </c>
      <c r="AK23" s="25" t="s">
        <v>30</v>
      </c>
      <c r="AL23" s="25" t="s">
        <v>30</v>
      </c>
      <c r="AM23" s="25" t="s">
        <v>30</v>
      </c>
      <c r="AN23" s="25" t="s">
        <v>30</v>
      </c>
      <c r="AO23" s="25" t="s">
        <v>30</v>
      </c>
      <c r="AP23" s="25" t="s">
        <v>30</v>
      </c>
      <c r="AQ23" s="25" t="s">
        <v>30</v>
      </c>
      <c r="AR23" s="25" t="s">
        <v>30</v>
      </c>
      <c r="AS23" s="25" t="s">
        <v>30</v>
      </c>
      <c r="AT23" s="25" t="s">
        <v>30</v>
      </c>
      <c r="AU23" s="25" t="s">
        <v>30</v>
      </c>
      <c r="AW23" s="64" t="s">
        <v>128</v>
      </c>
      <c r="AX23" s="24"/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f>SUM(AY23:BJ23)</f>
        <v>0</v>
      </c>
    </row>
    <row r="24" spans="1:63" ht="15">
      <c r="A24" s="3"/>
      <c r="B24" s="3"/>
      <c r="C24" s="25" t="s">
        <v>30</v>
      </c>
      <c r="D24" s="25" t="s">
        <v>30</v>
      </c>
      <c r="E24" s="25" t="s">
        <v>30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30</v>
      </c>
      <c r="K24" s="25" t="s">
        <v>30</v>
      </c>
      <c r="L24" s="25" t="s">
        <v>30</v>
      </c>
      <c r="M24" s="25" t="s">
        <v>30</v>
      </c>
      <c r="N24" s="25" t="s">
        <v>30</v>
      </c>
      <c r="O24" s="13" t="s">
        <v>30</v>
      </c>
      <c r="P24" s="3"/>
      <c r="Q24" s="3"/>
      <c r="R24" s="3"/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 t="s">
        <v>30</v>
      </c>
      <c r="AC24" s="25" t="s">
        <v>30</v>
      </c>
      <c r="AD24" s="25" t="s">
        <v>30</v>
      </c>
      <c r="AE24" s="13" t="s">
        <v>30</v>
      </c>
      <c r="AF24" s="3"/>
      <c r="AG24" s="26" t="s">
        <v>43</v>
      </c>
      <c r="AH24" s="17"/>
      <c r="AI24" s="19">
        <f>SUM(AI17:AI22)</f>
        <v>220492</v>
      </c>
      <c r="AJ24" s="19">
        <f aca="true" t="shared" si="7" ref="AJ24:AU24">SUM(AJ17:AJ22)</f>
        <v>173216</v>
      </c>
      <c r="AK24" s="19">
        <f t="shared" si="7"/>
        <v>0</v>
      </c>
      <c r="AL24" s="19">
        <f t="shared" si="7"/>
        <v>0</v>
      </c>
      <c r="AM24" s="19">
        <f t="shared" si="7"/>
        <v>0</v>
      </c>
      <c r="AN24" s="19">
        <f t="shared" si="7"/>
        <v>235160</v>
      </c>
      <c r="AO24" s="19">
        <f t="shared" si="7"/>
        <v>0</v>
      </c>
      <c r="AP24" s="19">
        <f t="shared" si="7"/>
        <v>11779.82</v>
      </c>
      <c r="AQ24" s="19">
        <f t="shared" si="7"/>
        <v>503751</v>
      </c>
      <c r="AR24" s="19">
        <f t="shared" si="7"/>
        <v>466674</v>
      </c>
      <c r="AS24" s="19">
        <f t="shared" si="7"/>
        <v>0</v>
      </c>
      <c r="AT24" s="19">
        <f t="shared" si="7"/>
        <v>885689</v>
      </c>
      <c r="AU24" s="19">
        <f t="shared" si="7"/>
        <v>2496761.82</v>
      </c>
      <c r="AW24" s="64" t="s">
        <v>41</v>
      </c>
      <c r="AX24" s="24"/>
      <c r="AY24" s="18">
        <f>AI21</f>
        <v>0</v>
      </c>
      <c r="AZ24" s="18">
        <v>0</v>
      </c>
      <c r="BA24" s="18">
        <f aca="true" t="shared" si="8" ref="BA24:BI24">AK21</f>
        <v>0</v>
      </c>
      <c r="BB24" s="18">
        <f t="shared" si="8"/>
        <v>0</v>
      </c>
      <c r="BC24" s="18">
        <f t="shared" si="8"/>
        <v>0</v>
      </c>
      <c r="BD24" s="18">
        <v>96622</v>
      </c>
      <c r="BE24" s="18">
        <f t="shared" si="8"/>
        <v>0</v>
      </c>
      <c r="BF24" s="18">
        <v>0</v>
      </c>
      <c r="BG24" s="18">
        <v>0</v>
      </c>
      <c r="BH24" s="18">
        <v>0</v>
      </c>
      <c r="BI24" s="18">
        <f t="shared" si="8"/>
        <v>0</v>
      </c>
      <c r="BJ24" s="18">
        <v>96622</v>
      </c>
      <c r="BK24" s="18">
        <f>SUM(AY24:BJ24)</f>
        <v>193244</v>
      </c>
    </row>
    <row r="25" spans="1:63" ht="15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"/>
      <c r="AF25" s="3"/>
      <c r="AG25" s="3"/>
      <c r="AH25" s="3"/>
      <c r="AI25" s="25" t="s">
        <v>30</v>
      </c>
      <c r="AJ25" s="25" t="s">
        <v>30</v>
      </c>
      <c r="AK25" s="25" t="s">
        <v>30</v>
      </c>
      <c r="AL25" s="25" t="s">
        <v>30</v>
      </c>
      <c r="AM25" s="25" t="s">
        <v>30</v>
      </c>
      <c r="AN25" s="25" t="s">
        <v>30</v>
      </c>
      <c r="AO25" s="25" t="s">
        <v>30</v>
      </c>
      <c r="AP25" s="25" t="s">
        <v>30</v>
      </c>
      <c r="AQ25" s="25" t="s">
        <v>30</v>
      </c>
      <c r="AR25" s="25" t="s">
        <v>30</v>
      </c>
      <c r="AS25" s="25" t="s">
        <v>30</v>
      </c>
      <c r="AT25" s="25" t="s">
        <v>30</v>
      </c>
      <c r="AU25" s="25" t="s">
        <v>30</v>
      </c>
      <c r="AW25" s="55"/>
      <c r="AX25" s="55"/>
      <c r="AY25" s="65" t="s">
        <v>30</v>
      </c>
      <c r="AZ25" s="65" t="s">
        <v>30</v>
      </c>
      <c r="BA25" s="65" t="s">
        <v>30</v>
      </c>
      <c r="BB25" s="65" t="s">
        <v>30</v>
      </c>
      <c r="BC25" s="65" t="s">
        <v>30</v>
      </c>
      <c r="BD25" s="65" t="s">
        <v>30</v>
      </c>
      <c r="BE25" s="65" t="s">
        <v>30</v>
      </c>
      <c r="BF25" s="65" t="s">
        <v>30</v>
      </c>
      <c r="BG25" s="65" t="s">
        <v>30</v>
      </c>
      <c r="BH25" s="65" t="s">
        <v>30</v>
      </c>
      <c r="BI25" s="65" t="s">
        <v>30</v>
      </c>
      <c r="BJ25" s="65" t="s">
        <v>30</v>
      </c>
      <c r="BK25" s="65" t="s">
        <v>30</v>
      </c>
    </row>
    <row r="26" spans="1:63" ht="15">
      <c r="A26" s="5" t="s">
        <v>44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  <c r="Q26" s="5" t="s">
        <v>44</v>
      </c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3"/>
      <c r="AF26" s="3"/>
      <c r="AG26" s="3"/>
      <c r="AH26" s="3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W26" s="63" t="s">
        <v>43</v>
      </c>
      <c r="AX26" s="24"/>
      <c r="AY26" s="66">
        <f>SUM(AY21:AY24)</f>
        <v>0</v>
      </c>
      <c r="AZ26" s="66">
        <f aca="true" t="shared" si="9" ref="AZ26:BK26">SUM(AZ21:AZ24)</f>
        <v>0</v>
      </c>
      <c r="BA26" s="66">
        <f t="shared" si="9"/>
        <v>0</v>
      </c>
      <c r="BB26" s="66">
        <f t="shared" si="9"/>
        <v>0</v>
      </c>
      <c r="BC26" s="66">
        <f t="shared" si="9"/>
        <v>0</v>
      </c>
      <c r="BD26" s="66">
        <f t="shared" si="9"/>
        <v>816622</v>
      </c>
      <c r="BE26" s="66">
        <f t="shared" si="9"/>
        <v>0</v>
      </c>
      <c r="BF26" s="66">
        <f t="shared" si="9"/>
        <v>0</v>
      </c>
      <c r="BG26" s="66">
        <f t="shared" si="9"/>
        <v>0</v>
      </c>
      <c r="BH26" s="66">
        <f t="shared" si="9"/>
        <v>0</v>
      </c>
      <c r="BI26" s="66">
        <f t="shared" si="9"/>
        <v>0</v>
      </c>
      <c r="BJ26" s="66">
        <f t="shared" si="9"/>
        <v>816622</v>
      </c>
      <c r="BK26" s="66">
        <f t="shared" si="9"/>
        <v>1633244</v>
      </c>
    </row>
    <row r="27" spans="1:63" s="23" customFormat="1" ht="15">
      <c r="A27" s="16" t="s">
        <v>45</v>
      </c>
      <c r="B27" s="17"/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9">
        <f>SUM(C27:N27)</f>
        <v>0</v>
      </c>
      <c r="P27" s="17"/>
      <c r="Q27" s="16" t="s">
        <v>45</v>
      </c>
      <c r="R27" s="17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9">
        <f aca="true" t="shared" si="10" ref="AE27:AE33">SUM(S27:AD27)</f>
        <v>0</v>
      </c>
      <c r="AF27" s="17"/>
      <c r="AG27" s="16" t="s">
        <v>44</v>
      </c>
      <c r="AH27" s="17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2"/>
      <c r="AW27" s="55"/>
      <c r="AX27" s="55"/>
      <c r="AY27" s="65" t="s">
        <v>30</v>
      </c>
      <c r="AZ27" s="65" t="s">
        <v>30</v>
      </c>
      <c r="BA27" s="65" t="s">
        <v>30</v>
      </c>
      <c r="BB27" s="65" t="s">
        <v>30</v>
      </c>
      <c r="BC27" s="65" t="s">
        <v>30</v>
      </c>
      <c r="BD27" s="65" t="s">
        <v>30</v>
      </c>
      <c r="BE27" s="65" t="s">
        <v>30</v>
      </c>
      <c r="BF27" s="65" t="s">
        <v>30</v>
      </c>
      <c r="BG27" s="65" t="s">
        <v>30</v>
      </c>
      <c r="BH27" s="65" t="s">
        <v>30</v>
      </c>
      <c r="BI27" s="65" t="s">
        <v>30</v>
      </c>
      <c r="BJ27" s="65" t="s">
        <v>30</v>
      </c>
      <c r="BK27" s="65" t="s">
        <v>30</v>
      </c>
    </row>
    <row r="28" spans="1:63" s="23" customFormat="1" ht="15">
      <c r="A28" s="16" t="s">
        <v>37</v>
      </c>
      <c r="B28" s="17"/>
      <c r="C28" s="18">
        <v>0</v>
      </c>
      <c r="D28" s="18">
        <v>0</v>
      </c>
      <c r="E28" s="18">
        <v>0</v>
      </c>
      <c r="F28" s="18">
        <v>0</v>
      </c>
      <c r="G28" s="18">
        <v>400000</v>
      </c>
      <c r="H28" s="18">
        <v>0</v>
      </c>
      <c r="I28" s="18">
        <v>200000</v>
      </c>
      <c r="J28" s="18">
        <v>0</v>
      </c>
      <c r="K28" s="18">
        <v>0</v>
      </c>
      <c r="L28" s="18">
        <v>200000</v>
      </c>
      <c r="M28" s="18">
        <v>0</v>
      </c>
      <c r="N28" s="18">
        <v>0</v>
      </c>
      <c r="O28" s="19">
        <f>SUM(C28:N28)</f>
        <v>800000</v>
      </c>
      <c r="P28" s="17"/>
      <c r="Q28" s="16" t="s">
        <v>37</v>
      </c>
      <c r="R28" s="17"/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25000</v>
      </c>
      <c r="AD28" s="18">
        <v>0</v>
      </c>
      <c r="AE28" s="19">
        <f t="shared" si="10"/>
        <v>25000</v>
      </c>
      <c r="AF28" s="17"/>
      <c r="AG28" s="20" t="s">
        <v>46</v>
      </c>
      <c r="AH28" s="17"/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2">
        <f>SUM(AI28:AT28)</f>
        <v>0</v>
      </c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23" customFormat="1" ht="1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7"/>
      <c r="Q29" s="16" t="s">
        <v>139</v>
      </c>
      <c r="R29" s="17"/>
      <c r="S29" s="18">
        <v>36201</v>
      </c>
      <c r="T29" s="18"/>
      <c r="U29" s="18"/>
      <c r="V29" s="18"/>
      <c r="W29" s="18"/>
      <c r="X29" s="18"/>
      <c r="Y29" s="18"/>
      <c r="Z29" s="18">
        <v>0</v>
      </c>
      <c r="AA29" s="18">
        <v>0</v>
      </c>
      <c r="AB29" s="18"/>
      <c r="AC29" s="18"/>
      <c r="AD29" s="18">
        <v>0</v>
      </c>
      <c r="AE29" s="19">
        <f t="shared" si="10"/>
        <v>36201</v>
      </c>
      <c r="AF29" s="17"/>
      <c r="AG29" s="20"/>
      <c r="AH29" s="17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2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23" customFormat="1" ht="1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7"/>
      <c r="Q30" s="16" t="s">
        <v>141</v>
      </c>
      <c r="R30" s="17"/>
      <c r="S30" s="18">
        <v>550000</v>
      </c>
      <c r="T30" s="18"/>
      <c r="U30" s="18"/>
      <c r="V30" s="18"/>
      <c r="W30" s="18"/>
      <c r="X30" s="18">
        <v>181500</v>
      </c>
      <c r="Y30" s="18"/>
      <c r="Z30" s="18">
        <v>0</v>
      </c>
      <c r="AA30" s="18">
        <v>0</v>
      </c>
      <c r="AB30" s="18">
        <v>-355000</v>
      </c>
      <c r="AC30" s="18"/>
      <c r="AD30" s="18">
        <v>846500</v>
      </c>
      <c r="AE30" s="19">
        <f t="shared" si="10"/>
        <v>1223000</v>
      </c>
      <c r="AF30" s="17"/>
      <c r="AG30" s="20"/>
      <c r="AH30" s="17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2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23" customFormat="1" ht="1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7"/>
      <c r="Q31" s="16" t="s">
        <v>142</v>
      </c>
      <c r="R31" s="17"/>
      <c r="S31" s="18">
        <v>320555</v>
      </c>
      <c r="T31" s="18"/>
      <c r="U31" s="18"/>
      <c r="V31" s="18"/>
      <c r="W31" s="18"/>
      <c r="X31" s="18">
        <v>61875</v>
      </c>
      <c r="Y31" s="18">
        <v>127003</v>
      </c>
      <c r="Z31" s="18">
        <v>0</v>
      </c>
      <c r="AA31" s="18">
        <v>0</v>
      </c>
      <c r="AB31" s="18">
        <v>-189102</v>
      </c>
      <c r="AC31" s="18"/>
      <c r="AD31" s="18">
        <v>61875</v>
      </c>
      <c r="AE31" s="19">
        <f t="shared" si="10"/>
        <v>382206</v>
      </c>
      <c r="AF31" s="17"/>
      <c r="AG31" s="20"/>
      <c r="AH31" s="17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2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23" customFormat="1" ht="1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7"/>
      <c r="Q32" s="16" t="s">
        <v>143</v>
      </c>
      <c r="R32" s="17"/>
      <c r="S32" s="18">
        <v>1094</v>
      </c>
      <c r="T32" s="18"/>
      <c r="U32" s="18">
        <v>711</v>
      </c>
      <c r="V32" s="18">
        <v>0</v>
      </c>
      <c r="W32" s="18">
        <v>0</v>
      </c>
      <c r="X32" s="18">
        <v>0</v>
      </c>
      <c r="Y32" s="18">
        <v>0</v>
      </c>
      <c r="Z32" s="18">
        <v>1591</v>
      </c>
      <c r="AA32" s="18">
        <v>0</v>
      </c>
      <c r="AB32" s="18"/>
      <c r="AC32" s="18"/>
      <c r="AD32" s="18">
        <v>1050</v>
      </c>
      <c r="AE32" s="19">
        <f t="shared" si="10"/>
        <v>4446</v>
      </c>
      <c r="AF32" s="17"/>
      <c r="AG32" s="20"/>
      <c r="AH32" s="17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23" customFormat="1" ht="15">
      <c r="A33" s="16" t="s">
        <v>47</v>
      </c>
      <c r="B33" s="17"/>
      <c r="C33" s="18">
        <f>185000+135585+720</f>
        <v>321305</v>
      </c>
      <c r="D33" s="18">
        <v>766</v>
      </c>
      <c r="E33" s="18">
        <v>400</v>
      </c>
      <c r="F33" s="18">
        <v>0</v>
      </c>
      <c r="G33" s="18">
        <v>0</v>
      </c>
      <c r="H33" s="18">
        <f>181500+75318</f>
        <v>256818</v>
      </c>
      <c r="I33" s="18">
        <f>150000+131452+629</f>
        <v>282081</v>
      </c>
      <c r="J33" s="18">
        <v>840</v>
      </c>
      <c r="K33" s="18">
        <v>0</v>
      </c>
      <c r="L33" s="18">
        <v>0</v>
      </c>
      <c r="M33" s="18">
        <v>0</v>
      </c>
      <c r="N33" s="18">
        <f>811500+75318+1050</f>
        <v>887868</v>
      </c>
      <c r="O33" s="19">
        <f>SUM(C33:N33)</f>
        <v>1750078</v>
      </c>
      <c r="P33" s="17"/>
      <c r="Q33" s="16" t="s">
        <v>47</v>
      </c>
      <c r="R33" s="17"/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9">
        <f t="shared" si="10"/>
        <v>0</v>
      </c>
      <c r="AF33" s="17"/>
      <c r="AG33" s="20" t="s">
        <v>38</v>
      </c>
      <c r="AH33" s="17"/>
      <c r="AI33" s="21">
        <v>604980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2">
        <f>SUM(AI33:AT33)</f>
        <v>604980</v>
      </c>
      <c r="AW33" s="67" t="s">
        <v>44</v>
      </c>
      <c r="AX33" s="24"/>
      <c r="AY33" s="62"/>
      <c r="AZ33" s="62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63" ht="15">
      <c r="A34" s="3"/>
      <c r="B34" s="3"/>
      <c r="C34" s="25" t="s">
        <v>30</v>
      </c>
      <c r="D34" s="25" t="s">
        <v>30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30</v>
      </c>
      <c r="L34" s="25" t="s">
        <v>30</v>
      </c>
      <c r="M34" s="25" t="s">
        <v>30</v>
      </c>
      <c r="N34" s="25" t="s">
        <v>30</v>
      </c>
      <c r="O34" s="13" t="s">
        <v>30</v>
      </c>
      <c r="P34" s="3"/>
      <c r="Q34" s="3"/>
      <c r="R34" s="3"/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30</v>
      </c>
      <c r="Y34" s="25" t="s">
        <v>30</v>
      </c>
      <c r="Z34" s="25" t="s">
        <v>30</v>
      </c>
      <c r="AA34" s="25" t="s">
        <v>30</v>
      </c>
      <c r="AB34" s="25" t="s">
        <v>30</v>
      </c>
      <c r="AC34" s="25" t="s">
        <v>30</v>
      </c>
      <c r="AD34" s="25" t="s">
        <v>30</v>
      </c>
      <c r="AE34" s="13" t="s">
        <v>30</v>
      </c>
      <c r="AF34" s="3"/>
      <c r="AG34" s="20" t="s">
        <v>48</v>
      </c>
      <c r="AH34" s="17"/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336675</v>
      </c>
      <c r="AU34" s="22">
        <f>SUM(AI34:AT34)</f>
        <v>336675</v>
      </c>
      <c r="AW34" s="63" t="s">
        <v>46</v>
      </c>
      <c r="AX34" s="24"/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f>SUM(AY34:BJ34)</f>
        <v>0</v>
      </c>
    </row>
    <row r="35" spans="1:63" s="23" customFormat="1" ht="15">
      <c r="A35" s="16" t="s">
        <v>49</v>
      </c>
      <c r="B35" s="17"/>
      <c r="C35" s="19">
        <f aca="true" t="shared" si="11" ref="C35:O35">SUM(C27:C33)</f>
        <v>321305</v>
      </c>
      <c r="D35" s="19">
        <f t="shared" si="11"/>
        <v>766</v>
      </c>
      <c r="E35" s="19">
        <f t="shared" si="11"/>
        <v>400</v>
      </c>
      <c r="F35" s="19">
        <f t="shared" si="11"/>
        <v>0</v>
      </c>
      <c r="G35" s="19">
        <f t="shared" si="11"/>
        <v>400000</v>
      </c>
      <c r="H35" s="19">
        <f t="shared" si="11"/>
        <v>256818</v>
      </c>
      <c r="I35" s="19">
        <f t="shared" si="11"/>
        <v>482081</v>
      </c>
      <c r="J35" s="19">
        <f t="shared" si="11"/>
        <v>840</v>
      </c>
      <c r="K35" s="19">
        <f t="shared" si="11"/>
        <v>0</v>
      </c>
      <c r="L35" s="19">
        <f t="shared" si="11"/>
        <v>200000</v>
      </c>
      <c r="M35" s="19">
        <f t="shared" si="11"/>
        <v>0</v>
      </c>
      <c r="N35" s="19">
        <f t="shared" si="11"/>
        <v>887868</v>
      </c>
      <c r="O35" s="19">
        <f t="shared" si="11"/>
        <v>2550078</v>
      </c>
      <c r="P35" s="17"/>
      <c r="Q35" s="16" t="s">
        <v>49</v>
      </c>
      <c r="R35" s="17"/>
      <c r="S35" s="19">
        <f aca="true" t="shared" si="12" ref="S35:AE35">SUM(S27:S33)</f>
        <v>907850</v>
      </c>
      <c r="T35" s="19">
        <f t="shared" si="12"/>
        <v>0</v>
      </c>
      <c r="U35" s="19">
        <f t="shared" si="12"/>
        <v>711</v>
      </c>
      <c r="V35" s="19">
        <f t="shared" si="12"/>
        <v>0</v>
      </c>
      <c r="W35" s="19">
        <f t="shared" si="12"/>
        <v>0</v>
      </c>
      <c r="X35" s="19">
        <f t="shared" si="12"/>
        <v>243375</v>
      </c>
      <c r="Y35" s="19">
        <f t="shared" si="12"/>
        <v>127003</v>
      </c>
      <c r="Z35" s="19">
        <f t="shared" si="12"/>
        <v>1591</v>
      </c>
      <c r="AA35" s="19">
        <f t="shared" si="12"/>
        <v>0</v>
      </c>
      <c r="AB35" s="19">
        <f t="shared" si="12"/>
        <v>-544102</v>
      </c>
      <c r="AC35" s="19">
        <f t="shared" si="12"/>
        <v>25000</v>
      </c>
      <c r="AD35" s="19">
        <f t="shared" si="12"/>
        <v>909425</v>
      </c>
      <c r="AE35" s="19">
        <f t="shared" si="12"/>
        <v>1670853</v>
      </c>
      <c r="AF35" s="17"/>
      <c r="AG35" s="20" t="s">
        <v>50</v>
      </c>
      <c r="AH35" s="17"/>
      <c r="AI35" s="21">
        <f>205000+127003+1028</f>
        <v>333031</v>
      </c>
      <c r="AJ35" s="21">
        <v>693</v>
      </c>
      <c r="AK35" s="21">
        <v>0</v>
      </c>
      <c r="AL35" s="21">
        <v>179</v>
      </c>
      <c r="AM35" s="54">
        <v>10815</v>
      </c>
      <c r="AN35" s="21">
        <v>220325</v>
      </c>
      <c r="AO35" s="21">
        <v>122270</v>
      </c>
      <c r="AP35" s="21">
        <v>612</v>
      </c>
      <c r="AQ35" s="21">
        <v>630</v>
      </c>
      <c r="AR35" s="21">
        <v>1250</v>
      </c>
      <c r="AS35" s="21">
        <v>0</v>
      </c>
      <c r="AT35" s="21">
        <f>936140+608</f>
        <v>936748</v>
      </c>
      <c r="AU35" s="22">
        <f>SUM(AI35:AT35)</f>
        <v>1626553</v>
      </c>
      <c r="AW35" s="63" t="s">
        <v>50</v>
      </c>
      <c r="AX35" s="24"/>
      <c r="AY35" s="18">
        <v>311641</v>
      </c>
      <c r="AZ35" s="18">
        <f aca="true" t="shared" si="13" ref="AZ35:BI35">AJ35</f>
        <v>693</v>
      </c>
      <c r="BA35" s="18">
        <f t="shared" si="13"/>
        <v>0</v>
      </c>
      <c r="BB35" s="18">
        <f t="shared" si="13"/>
        <v>179</v>
      </c>
      <c r="BC35" s="18">
        <f t="shared" si="13"/>
        <v>10815</v>
      </c>
      <c r="BD35" s="18">
        <f t="shared" si="13"/>
        <v>220325</v>
      </c>
      <c r="BE35" s="18">
        <v>243073</v>
      </c>
      <c r="BF35" s="18">
        <f t="shared" si="13"/>
        <v>612</v>
      </c>
      <c r="BG35" s="18">
        <f t="shared" si="13"/>
        <v>630</v>
      </c>
      <c r="BH35" s="18">
        <f t="shared" si="13"/>
        <v>1250</v>
      </c>
      <c r="BI35" s="18">
        <f t="shared" si="13"/>
        <v>0</v>
      </c>
      <c r="BJ35" s="18">
        <f>420050+21175</f>
        <v>441225</v>
      </c>
      <c r="BK35" s="18">
        <f>SUM(AY35:BJ35)</f>
        <v>1230443</v>
      </c>
    </row>
    <row r="36" spans="1:63" ht="15">
      <c r="A36" s="3"/>
      <c r="B36" s="3"/>
      <c r="C36" s="13" t="s">
        <v>30</v>
      </c>
      <c r="D36" s="13" t="s">
        <v>30</v>
      </c>
      <c r="E36" s="13" t="s">
        <v>30</v>
      </c>
      <c r="F36" s="13" t="s">
        <v>30</v>
      </c>
      <c r="G36" s="13" t="s">
        <v>30</v>
      </c>
      <c r="H36" s="13" t="s">
        <v>30</v>
      </c>
      <c r="I36" s="13" t="s">
        <v>30</v>
      </c>
      <c r="J36" s="13" t="s">
        <v>30</v>
      </c>
      <c r="K36" s="13" t="s">
        <v>30</v>
      </c>
      <c r="L36" s="13" t="s">
        <v>30</v>
      </c>
      <c r="M36" s="13" t="s">
        <v>30</v>
      </c>
      <c r="N36" s="13" t="s">
        <v>30</v>
      </c>
      <c r="O36" s="13" t="s">
        <v>30</v>
      </c>
      <c r="P36" s="3"/>
      <c r="Q36" s="3"/>
      <c r="R36" s="3"/>
      <c r="S36" s="13" t="s">
        <v>30</v>
      </c>
      <c r="T36" s="13" t="s">
        <v>30</v>
      </c>
      <c r="U36" s="13" t="s">
        <v>30</v>
      </c>
      <c r="V36" s="13" t="s">
        <v>30</v>
      </c>
      <c r="W36" s="13" t="s">
        <v>30</v>
      </c>
      <c r="X36" s="13" t="s">
        <v>30</v>
      </c>
      <c r="Y36" s="13" t="s">
        <v>30</v>
      </c>
      <c r="Z36" s="13" t="s">
        <v>30</v>
      </c>
      <c r="AA36" s="13" t="s">
        <v>30</v>
      </c>
      <c r="AB36" s="13" t="s">
        <v>30</v>
      </c>
      <c r="AC36" s="13" t="s">
        <v>30</v>
      </c>
      <c r="AD36" s="13" t="s">
        <v>30</v>
      </c>
      <c r="AE36" s="13" t="s">
        <v>30</v>
      </c>
      <c r="AF36" s="3"/>
      <c r="AG36" s="27" t="s">
        <v>51</v>
      </c>
      <c r="AH36" s="3"/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2">
        <f>SUM(AI36:AT36)</f>
        <v>0</v>
      </c>
      <c r="AW36" s="68" t="s">
        <v>129</v>
      </c>
      <c r="AX36" s="24"/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f>SUM(AY36:BJ36)</f>
        <v>0</v>
      </c>
    </row>
    <row r="37" spans="1:63" ht="15">
      <c r="A37" s="3"/>
      <c r="B37" s="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"/>
      <c r="Q37" s="3"/>
      <c r="R37" s="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3"/>
      <c r="AG37" s="3"/>
      <c r="AH37" s="3"/>
      <c r="AI37" s="25" t="s">
        <v>30</v>
      </c>
      <c r="AJ37" s="25" t="s">
        <v>30</v>
      </c>
      <c r="AK37" s="25" t="s">
        <v>30</v>
      </c>
      <c r="AL37" s="25" t="s">
        <v>30</v>
      </c>
      <c r="AM37" s="25" t="s">
        <v>30</v>
      </c>
      <c r="AN37" s="25" t="s">
        <v>30</v>
      </c>
      <c r="AO37" s="25" t="s">
        <v>30</v>
      </c>
      <c r="AP37" s="25" t="s">
        <v>30</v>
      </c>
      <c r="AQ37" s="25" t="s">
        <v>30</v>
      </c>
      <c r="AR37" s="25" t="s">
        <v>30</v>
      </c>
      <c r="AS37" s="25" t="s">
        <v>30</v>
      </c>
      <c r="AT37" s="25" t="s">
        <v>30</v>
      </c>
      <c r="AU37" s="25" t="s">
        <v>30</v>
      </c>
      <c r="AW37" s="55"/>
      <c r="AX37" s="55"/>
      <c r="AY37" s="65" t="s">
        <v>30</v>
      </c>
      <c r="AZ37" s="65" t="s">
        <v>30</v>
      </c>
      <c r="BA37" s="65" t="s">
        <v>30</v>
      </c>
      <c r="BB37" s="65" t="s">
        <v>30</v>
      </c>
      <c r="BC37" s="65" t="s">
        <v>30</v>
      </c>
      <c r="BD37" s="65" t="s">
        <v>30</v>
      </c>
      <c r="BE37" s="65" t="s">
        <v>30</v>
      </c>
      <c r="BF37" s="65" t="s">
        <v>30</v>
      </c>
      <c r="BG37" s="65" t="s">
        <v>30</v>
      </c>
      <c r="BH37" s="65" t="s">
        <v>30</v>
      </c>
      <c r="BI37" s="65" t="s">
        <v>30</v>
      </c>
      <c r="BJ37" s="65" t="s">
        <v>30</v>
      </c>
      <c r="BK37" s="65" t="s">
        <v>30</v>
      </c>
    </row>
    <row r="38" spans="1:6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26" t="s">
        <v>49</v>
      </c>
      <c r="AH38" s="17"/>
      <c r="AI38" s="19">
        <f>SUM(AI27:AI36)</f>
        <v>938011</v>
      </c>
      <c r="AJ38" s="19">
        <f aca="true" t="shared" si="14" ref="AJ38:AU38">SUM(AJ27:AJ36)</f>
        <v>693</v>
      </c>
      <c r="AK38" s="19">
        <f t="shared" si="14"/>
        <v>0</v>
      </c>
      <c r="AL38" s="19">
        <f t="shared" si="14"/>
        <v>179</v>
      </c>
      <c r="AM38" s="19">
        <f t="shared" si="14"/>
        <v>10815</v>
      </c>
      <c r="AN38" s="19">
        <f t="shared" si="14"/>
        <v>220325</v>
      </c>
      <c r="AO38" s="19">
        <f t="shared" si="14"/>
        <v>122270</v>
      </c>
      <c r="AP38" s="19">
        <f t="shared" si="14"/>
        <v>612</v>
      </c>
      <c r="AQ38" s="19">
        <f t="shared" si="14"/>
        <v>630</v>
      </c>
      <c r="AR38" s="19">
        <f t="shared" si="14"/>
        <v>1250</v>
      </c>
      <c r="AS38" s="19">
        <f t="shared" si="14"/>
        <v>0</v>
      </c>
      <c r="AT38" s="19">
        <f t="shared" si="14"/>
        <v>1273423</v>
      </c>
      <c r="AU38" s="19">
        <f t="shared" si="14"/>
        <v>2568208</v>
      </c>
      <c r="AW38" s="55"/>
      <c r="AX38" s="5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</row>
    <row r="39" spans="1:63" ht="15">
      <c r="A39" s="5" t="s">
        <v>52</v>
      </c>
      <c r="B39" s="3"/>
      <c r="C39" s="15">
        <f aca="true" t="shared" si="15" ref="C39:O39">C13+C23-C35</f>
        <v>78694</v>
      </c>
      <c r="D39" s="15">
        <f t="shared" si="15"/>
        <v>77928</v>
      </c>
      <c r="E39" s="15">
        <f t="shared" si="15"/>
        <v>77528</v>
      </c>
      <c r="F39" s="15">
        <f t="shared" si="15"/>
        <v>222737</v>
      </c>
      <c r="G39" s="15">
        <f t="shared" si="15"/>
        <v>139535</v>
      </c>
      <c r="H39" s="15">
        <f t="shared" si="15"/>
        <v>551387</v>
      </c>
      <c r="I39" s="15">
        <f t="shared" si="15"/>
        <v>69306</v>
      </c>
      <c r="J39" s="15">
        <f t="shared" si="15"/>
        <v>168637</v>
      </c>
      <c r="K39" s="15">
        <f t="shared" si="15"/>
        <v>218811</v>
      </c>
      <c r="L39" s="15">
        <f t="shared" si="15"/>
        <v>18811</v>
      </c>
      <c r="M39" s="15">
        <f t="shared" si="15"/>
        <v>538779</v>
      </c>
      <c r="N39" s="15">
        <f t="shared" si="15"/>
        <v>302654</v>
      </c>
      <c r="O39" s="15">
        <f t="shared" si="15"/>
        <v>302654</v>
      </c>
      <c r="P39" s="3"/>
      <c r="Q39" s="5" t="s">
        <v>52</v>
      </c>
      <c r="R39" s="3"/>
      <c r="S39" s="15">
        <f aca="true" t="shared" si="16" ref="S39:AE39">S13+S23-S35</f>
        <v>0</v>
      </c>
      <c r="T39" s="15">
        <f t="shared" si="16"/>
        <v>0</v>
      </c>
      <c r="U39" s="15">
        <f t="shared" si="16"/>
        <v>24289</v>
      </c>
      <c r="V39" s="15">
        <f t="shared" si="16"/>
        <v>114561</v>
      </c>
      <c r="W39" s="15">
        <f t="shared" si="16"/>
        <v>114561</v>
      </c>
      <c r="X39" s="15">
        <f t="shared" si="16"/>
        <v>17065</v>
      </c>
      <c r="Y39" s="15">
        <f t="shared" si="16"/>
        <v>218165</v>
      </c>
      <c r="Z39" s="15">
        <f t="shared" si="16"/>
        <v>602351</v>
      </c>
      <c r="AA39" s="15">
        <f t="shared" si="16"/>
        <v>602351</v>
      </c>
      <c r="AB39" s="15">
        <f t="shared" si="16"/>
        <v>1146453</v>
      </c>
      <c r="AC39" s="15">
        <f t="shared" si="16"/>
        <v>1121453</v>
      </c>
      <c r="AD39" s="15">
        <f t="shared" si="16"/>
        <v>784724</v>
      </c>
      <c r="AE39" s="15">
        <f t="shared" si="16"/>
        <v>784724</v>
      </c>
      <c r="AF39" s="3"/>
      <c r="AG39" s="3"/>
      <c r="AH39" s="3"/>
      <c r="AI39" s="25" t="s">
        <v>30</v>
      </c>
      <c r="AJ39" s="25" t="s">
        <v>30</v>
      </c>
      <c r="AK39" s="25" t="s">
        <v>30</v>
      </c>
      <c r="AL39" s="25" t="s">
        <v>30</v>
      </c>
      <c r="AM39" s="25" t="s">
        <v>30</v>
      </c>
      <c r="AN39" s="25" t="s">
        <v>30</v>
      </c>
      <c r="AO39" s="25" t="s">
        <v>30</v>
      </c>
      <c r="AP39" s="25" t="s">
        <v>30</v>
      </c>
      <c r="AQ39" s="25" t="s">
        <v>30</v>
      </c>
      <c r="AR39" s="25" t="s">
        <v>30</v>
      </c>
      <c r="AS39" s="25" t="s">
        <v>30</v>
      </c>
      <c r="AT39" s="25" t="s">
        <v>30</v>
      </c>
      <c r="AU39" s="25" t="s">
        <v>30</v>
      </c>
      <c r="AW39" s="63" t="s">
        <v>49</v>
      </c>
      <c r="AX39" s="24"/>
      <c r="AY39" s="66">
        <f>SUM(AY34:AY36)</f>
        <v>311641</v>
      </c>
      <c r="AZ39" s="66">
        <f aca="true" t="shared" si="17" ref="AZ39:BK39">SUM(AZ34:AZ36)</f>
        <v>693</v>
      </c>
      <c r="BA39" s="66">
        <f t="shared" si="17"/>
        <v>0</v>
      </c>
      <c r="BB39" s="66">
        <f t="shared" si="17"/>
        <v>179</v>
      </c>
      <c r="BC39" s="66">
        <f t="shared" si="17"/>
        <v>10815</v>
      </c>
      <c r="BD39" s="66">
        <f t="shared" si="17"/>
        <v>220325</v>
      </c>
      <c r="BE39" s="66">
        <f t="shared" si="17"/>
        <v>243073</v>
      </c>
      <c r="BF39" s="66">
        <f t="shared" si="17"/>
        <v>612</v>
      </c>
      <c r="BG39" s="66">
        <f t="shared" si="17"/>
        <v>630</v>
      </c>
      <c r="BH39" s="66">
        <f t="shared" si="17"/>
        <v>1250</v>
      </c>
      <c r="BI39" s="66">
        <f t="shared" si="17"/>
        <v>0</v>
      </c>
      <c r="BJ39" s="66">
        <f t="shared" si="17"/>
        <v>441225</v>
      </c>
      <c r="BK39" s="66">
        <f t="shared" si="17"/>
        <v>1230443</v>
      </c>
    </row>
    <row r="40" spans="1:63" ht="15">
      <c r="A40" s="3"/>
      <c r="B40" s="3"/>
      <c r="C40" s="13" t="s">
        <v>53</v>
      </c>
      <c r="D40" s="13" t="s">
        <v>53</v>
      </c>
      <c r="E40" s="13" t="s">
        <v>53</v>
      </c>
      <c r="F40" s="13" t="s">
        <v>53</v>
      </c>
      <c r="G40" s="13" t="s">
        <v>53</v>
      </c>
      <c r="H40" s="13" t="s">
        <v>53</v>
      </c>
      <c r="I40" s="13" t="s">
        <v>53</v>
      </c>
      <c r="J40" s="13" t="s">
        <v>53</v>
      </c>
      <c r="K40" s="13" t="s">
        <v>53</v>
      </c>
      <c r="L40" s="13" t="s">
        <v>53</v>
      </c>
      <c r="M40" s="13" t="s">
        <v>53</v>
      </c>
      <c r="N40" s="13" t="s">
        <v>53</v>
      </c>
      <c r="O40" s="13" t="s">
        <v>53</v>
      </c>
      <c r="P40" s="3"/>
      <c r="Q40" s="3"/>
      <c r="R40" s="3"/>
      <c r="S40" s="13" t="s">
        <v>53</v>
      </c>
      <c r="T40" s="13" t="s">
        <v>53</v>
      </c>
      <c r="U40" s="13" t="s">
        <v>53</v>
      </c>
      <c r="V40" s="13" t="s">
        <v>53</v>
      </c>
      <c r="W40" s="13" t="s">
        <v>53</v>
      </c>
      <c r="X40" s="13" t="s">
        <v>53</v>
      </c>
      <c r="Y40" s="13" t="s">
        <v>53</v>
      </c>
      <c r="Z40" s="13" t="s">
        <v>53</v>
      </c>
      <c r="AA40" s="13" t="s">
        <v>53</v>
      </c>
      <c r="AB40" s="13" t="s">
        <v>53</v>
      </c>
      <c r="AC40" s="13" t="s">
        <v>53</v>
      </c>
      <c r="AD40" s="13" t="s">
        <v>53</v>
      </c>
      <c r="AE40" s="13" t="s">
        <v>53</v>
      </c>
      <c r="AF40" s="3"/>
      <c r="AG40" s="3"/>
      <c r="AH40" s="3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W40" s="55"/>
      <c r="AX40" s="55"/>
      <c r="AY40" s="65" t="s">
        <v>30</v>
      </c>
      <c r="AZ40" s="65" t="s">
        <v>30</v>
      </c>
      <c r="BA40" s="65" t="s">
        <v>30</v>
      </c>
      <c r="BB40" s="65" t="s">
        <v>30</v>
      </c>
      <c r="BC40" s="65" t="s">
        <v>30</v>
      </c>
      <c r="BD40" s="65" t="s">
        <v>30</v>
      </c>
      <c r="BE40" s="65" t="s">
        <v>30</v>
      </c>
      <c r="BF40" s="65" t="s">
        <v>30</v>
      </c>
      <c r="BG40" s="65" t="s">
        <v>30</v>
      </c>
      <c r="BH40" s="65" t="s">
        <v>30</v>
      </c>
      <c r="BI40" s="65" t="s">
        <v>30</v>
      </c>
      <c r="BJ40" s="65" t="s">
        <v>30</v>
      </c>
      <c r="BK40" s="65" t="s">
        <v>30</v>
      </c>
    </row>
    <row r="41" spans="1:63" ht="15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3"/>
      <c r="AG41" s="5" t="s">
        <v>52</v>
      </c>
      <c r="AH41" s="3"/>
      <c r="AI41" s="15">
        <f aca="true" t="shared" si="18" ref="AI41:AU41">AI13+AI24-AI38</f>
        <v>67205</v>
      </c>
      <c r="AJ41" s="15">
        <f t="shared" si="18"/>
        <v>239728</v>
      </c>
      <c r="AK41" s="15">
        <f t="shared" si="18"/>
        <v>239728</v>
      </c>
      <c r="AL41" s="15">
        <f t="shared" si="18"/>
        <v>239549</v>
      </c>
      <c r="AM41" s="15">
        <f t="shared" si="18"/>
        <v>228734</v>
      </c>
      <c r="AN41" s="15">
        <f t="shared" si="18"/>
        <v>243569</v>
      </c>
      <c r="AO41" s="15">
        <f t="shared" si="18"/>
        <v>121299</v>
      </c>
      <c r="AP41" s="15">
        <f t="shared" si="18"/>
        <v>132466.82</v>
      </c>
      <c r="AQ41" s="15">
        <f t="shared" si="18"/>
        <v>635587.8200000001</v>
      </c>
      <c r="AR41" s="15">
        <f t="shared" si="18"/>
        <v>1101011.82</v>
      </c>
      <c r="AS41" s="15">
        <f t="shared" si="18"/>
        <v>1101011.82</v>
      </c>
      <c r="AT41" s="15">
        <f t="shared" si="18"/>
        <v>713277.8200000001</v>
      </c>
      <c r="AU41" s="15">
        <f t="shared" si="18"/>
        <v>713277.8199999998</v>
      </c>
      <c r="AW41" s="55"/>
      <c r="AX41" s="55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3" t="s">
        <v>53</v>
      </c>
      <c r="AJ42" s="13" t="s">
        <v>53</v>
      </c>
      <c r="AK42" s="13" t="s">
        <v>53</v>
      </c>
      <c r="AL42" s="13" t="s">
        <v>53</v>
      </c>
      <c r="AM42" s="13" t="s">
        <v>53</v>
      </c>
      <c r="AN42" s="13" t="s">
        <v>53</v>
      </c>
      <c r="AO42" s="13" t="s">
        <v>53</v>
      </c>
      <c r="AP42" s="13" t="s">
        <v>53</v>
      </c>
      <c r="AQ42" s="13" t="s">
        <v>53</v>
      </c>
      <c r="AR42" s="13" t="s">
        <v>53</v>
      </c>
      <c r="AS42" s="13" t="s">
        <v>53</v>
      </c>
      <c r="AT42" s="13" t="s">
        <v>53</v>
      </c>
      <c r="AU42" s="13" t="s">
        <v>53</v>
      </c>
      <c r="AW42" s="60" t="s">
        <v>52</v>
      </c>
      <c r="AX42" s="55"/>
      <c r="AY42" s="14">
        <f>AY15+AY26-AY39</f>
        <v>401636.81999999983</v>
      </c>
      <c r="AZ42" s="14">
        <f aca="true" t="shared" si="19" ref="AZ42:BK42">AZ15+AZ26-AZ39</f>
        <v>400943.81999999983</v>
      </c>
      <c r="BA42" s="14">
        <f t="shared" si="19"/>
        <v>400943.81999999983</v>
      </c>
      <c r="BB42" s="14">
        <f t="shared" si="19"/>
        <v>400764.81999999983</v>
      </c>
      <c r="BC42" s="14">
        <f t="shared" si="19"/>
        <v>389949.81999999983</v>
      </c>
      <c r="BD42" s="14">
        <f t="shared" si="19"/>
        <v>986246.8199999998</v>
      </c>
      <c r="BE42" s="14">
        <f t="shared" si="19"/>
        <v>743173.8199999998</v>
      </c>
      <c r="BF42" s="14">
        <f t="shared" si="19"/>
        <v>742561.8199999998</v>
      </c>
      <c r="BG42" s="14">
        <f t="shared" si="19"/>
        <v>741931.8199999998</v>
      </c>
      <c r="BH42" s="14">
        <f t="shared" si="19"/>
        <v>740681.8199999998</v>
      </c>
      <c r="BI42" s="14">
        <f t="shared" si="19"/>
        <v>740681.8199999998</v>
      </c>
      <c r="BJ42" s="14">
        <f t="shared" si="19"/>
        <v>1116078.8199999998</v>
      </c>
      <c r="BK42" s="14">
        <f t="shared" si="19"/>
        <v>1116078.8199999998</v>
      </c>
    </row>
    <row r="43" spans="1:63" ht="15">
      <c r="A43" s="3"/>
      <c r="B43" s="3"/>
      <c r="C43" s="2"/>
      <c r="D43" s="2"/>
      <c r="E43" s="2"/>
      <c r="F43" s="2"/>
      <c r="G43" s="3"/>
      <c r="H43" s="3"/>
      <c r="I43" s="3"/>
      <c r="J43" s="3"/>
      <c r="K43" s="3"/>
      <c r="L43" s="3"/>
      <c r="M43" s="2"/>
      <c r="N43" s="2"/>
      <c r="O43" s="2"/>
      <c r="P43" s="3"/>
      <c r="Q43" s="3"/>
      <c r="R43" s="3"/>
      <c r="S43" s="2"/>
      <c r="T43" s="2"/>
      <c r="U43" s="2"/>
      <c r="V43" s="2"/>
      <c r="W43" s="3"/>
      <c r="X43" s="3"/>
      <c r="Y43" s="3"/>
      <c r="Z43" s="3"/>
      <c r="AA43" s="3"/>
      <c r="AB43" s="3"/>
      <c r="AC43" s="2"/>
      <c r="AD43" s="2"/>
      <c r="AE43" s="2"/>
      <c r="AF43" s="3"/>
      <c r="AG43" s="3"/>
      <c r="AH43" s="3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W43" s="55"/>
      <c r="AX43" s="55"/>
      <c r="AY43" s="59" t="s">
        <v>53</v>
      </c>
      <c r="AZ43" s="59" t="s">
        <v>53</v>
      </c>
      <c r="BA43" s="59" t="s">
        <v>53</v>
      </c>
      <c r="BB43" s="59" t="s">
        <v>53</v>
      </c>
      <c r="BC43" s="59" t="s">
        <v>53</v>
      </c>
      <c r="BD43" s="59" t="s">
        <v>53</v>
      </c>
      <c r="BE43" s="59" t="s">
        <v>53</v>
      </c>
      <c r="BF43" s="59" t="s">
        <v>53</v>
      </c>
      <c r="BG43" s="59" t="s">
        <v>53</v>
      </c>
      <c r="BH43" s="59" t="s">
        <v>53</v>
      </c>
      <c r="BI43" s="59" t="s">
        <v>53</v>
      </c>
      <c r="BJ43" s="59" t="s">
        <v>53</v>
      </c>
      <c r="BK43" s="59" t="s">
        <v>53</v>
      </c>
    </row>
    <row r="44" spans="1:47" ht="15">
      <c r="A44" s="5" t="s">
        <v>54</v>
      </c>
      <c r="B44" s="3"/>
      <c r="C44" s="2"/>
      <c r="D44" s="15">
        <f>0.8*N8*0.5</f>
        <v>639127.2000000001</v>
      </c>
      <c r="E44" s="2"/>
      <c r="F44" s="2"/>
      <c r="G44" s="3"/>
      <c r="H44" s="3"/>
      <c r="I44" s="3"/>
      <c r="J44" s="3"/>
      <c r="K44" s="3"/>
      <c r="L44" s="3"/>
      <c r="M44" s="2"/>
      <c r="N44" s="2"/>
      <c r="O44" s="2"/>
      <c r="P44" s="3"/>
      <c r="Q44" s="5" t="s">
        <v>54</v>
      </c>
      <c r="R44" s="3"/>
      <c r="S44" s="2"/>
      <c r="T44" s="15">
        <f>0.8*AD8*0.5</f>
        <v>650621.2000000001</v>
      </c>
      <c r="U44" s="2"/>
      <c r="V44" s="2"/>
      <c r="W44" s="3"/>
      <c r="X44" s="3"/>
      <c r="Y44" s="3"/>
      <c r="Z44" s="3"/>
      <c r="AA44" s="3"/>
      <c r="AB44" s="3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5">
      <c r="A45" s="3"/>
      <c r="B45" s="3"/>
      <c r="C45" s="2"/>
      <c r="D45" s="28" t="s">
        <v>55</v>
      </c>
      <c r="E45" s="2"/>
      <c r="F45" s="2"/>
      <c r="G45" s="3"/>
      <c r="H45" s="3"/>
      <c r="I45" s="3"/>
      <c r="J45" s="3"/>
      <c r="K45" s="3"/>
      <c r="L45" s="3"/>
      <c r="M45" s="2"/>
      <c r="N45" s="2"/>
      <c r="O45" s="2"/>
      <c r="P45" s="3"/>
      <c r="Q45" s="3"/>
      <c r="R45" s="3"/>
      <c r="S45" s="2"/>
      <c r="T45" s="28" t="s">
        <v>55</v>
      </c>
      <c r="U45" s="2"/>
      <c r="V45" s="2"/>
      <c r="W45" s="3"/>
      <c r="X45" s="3"/>
      <c r="Y45" s="3"/>
      <c r="Z45" s="3"/>
      <c r="AA45" s="3"/>
      <c r="AB45" s="3"/>
      <c r="AC45" s="2" t="s">
        <v>56</v>
      </c>
      <c r="AD45" s="2"/>
      <c r="AE45" s="2"/>
      <c r="AF45" s="3"/>
      <c r="AG45" s="3"/>
      <c r="AH45" s="3"/>
      <c r="AI45" s="2"/>
      <c r="AJ45" s="2"/>
      <c r="AK45" s="2"/>
      <c r="AL45" s="2"/>
      <c r="AM45" s="3"/>
      <c r="AN45" s="3"/>
      <c r="AO45" s="3"/>
      <c r="AP45" s="3"/>
      <c r="AQ45" s="3"/>
      <c r="AR45" s="3"/>
      <c r="AS45" s="2"/>
      <c r="AT45" s="2"/>
      <c r="AU45" s="2"/>
    </row>
    <row r="46" spans="1:63" ht="15">
      <c r="A46" s="5" t="s">
        <v>57</v>
      </c>
      <c r="B46" s="3"/>
      <c r="C46" s="2"/>
      <c r="D46" s="15">
        <f>IF(MIN(C39:H39)&gt;0,0,ABS(MIN(C39:H39)))</f>
        <v>0</v>
      </c>
      <c r="E46" s="2"/>
      <c r="F46" s="2"/>
      <c r="G46" s="3"/>
      <c r="H46" s="3"/>
      <c r="I46" s="3"/>
      <c r="J46" s="3"/>
      <c r="K46" s="3"/>
      <c r="L46" s="3"/>
      <c r="M46" s="2"/>
      <c r="N46" s="2"/>
      <c r="O46" s="2"/>
      <c r="P46" s="3"/>
      <c r="Q46" s="5" t="s">
        <v>57</v>
      </c>
      <c r="R46" s="3"/>
      <c r="S46" s="2"/>
      <c r="T46" s="15">
        <f>IF(MIN(S39:X39)&gt;0,0,ABS(MIN(S39:X39)))</f>
        <v>0</v>
      </c>
      <c r="U46" s="2"/>
      <c r="V46" s="2"/>
      <c r="W46" s="3"/>
      <c r="X46" s="3"/>
      <c r="Y46" s="3"/>
      <c r="Z46" s="3"/>
      <c r="AA46" s="3"/>
      <c r="AB46" s="3"/>
      <c r="AC46" s="2"/>
      <c r="AD46" s="2"/>
      <c r="AE46" s="2"/>
      <c r="AF46" s="3"/>
      <c r="AG46" s="5" t="s">
        <v>54</v>
      </c>
      <c r="AH46" s="3"/>
      <c r="AI46" s="2"/>
      <c r="AJ46" s="15">
        <f>ROUNDDOWN(0.8*AT8*0.5,0)</f>
        <v>667787</v>
      </c>
      <c r="AK46" s="2"/>
      <c r="AL46" s="2"/>
      <c r="AM46" s="5" t="s">
        <v>58</v>
      </c>
      <c r="AN46" s="3"/>
      <c r="AO46" s="3"/>
      <c r="AP46" s="3"/>
      <c r="AQ46" s="13" t="s">
        <v>59</v>
      </c>
      <c r="AR46" s="13" t="s">
        <v>60</v>
      </c>
      <c r="AS46" s="2"/>
      <c r="AT46" s="2"/>
      <c r="AU46" s="2"/>
      <c r="AW46" s="55"/>
      <c r="AX46" s="55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0" ht="15">
      <c r="A47" s="3"/>
      <c r="B47" s="3"/>
      <c r="C47" s="3"/>
      <c r="D47" s="28" t="s">
        <v>55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8" t="s">
        <v>55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2"/>
      <c r="AJ47" s="28" t="s">
        <v>55</v>
      </c>
      <c r="AK47" s="2"/>
      <c r="AL47" s="2"/>
      <c r="AM47" s="3"/>
      <c r="AN47" s="3"/>
      <c r="AO47" s="3"/>
      <c r="AP47" s="3"/>
      <c r="AQ47" s="13" t="s">
        <v>61</v>
      </c>
      <c r="AR47" s="13" t="s">
        <v>62</v>
      </c>
      <c r="AS47" s="2"/>
      <c r="AT47" s="2"/>
      <c r="AU47" s="2"/>
      <c r="AW47" s="60" t="s">
        <v>130</v>
      </c>
      <c r="AX47" s="55"/>
      <c r="AY47" s="6"/>
      <c r="AZ47" s="14">
        <f>0.8*BJ8*0.5</f>
        <v>576000</v>
      </c>
      <c r="BA47" s="6"/>
      <c r="BB47" s="6"/>
      <c r="BC47" s="60" t="s">
        <v>58</v>
      </c>
      <c r="BD47" s="55"/>
      <c r="BE47" s="55"/>
      <c r="BF47" s="55"/>
      <c r="BG47" s="59" t="s">
        <v>59</v>
      </c>
      <c r="BH47" s="59" t="s">
        <v>60</v>
      </c>
    </row>
    <row r="48" spans="1:63" ht="15">
      <c r="A48" s="5" t="s">
        <v>63</v>
      </c>
      <c r="B48" s="3"/>
      <c r="C48" s="2"/>
      <c r="D48" s="15">
        <f>IF(MIN(I39:N39)&gt;0,0,ABS(MIN(I39:N39)))</f>
        <v>0</v>
      </c>
      <c r="E48" s="2"/>
      <c r="F48" s="2"/>
      <c r="G48" s="3"/>
      <c r="H48" s="3"/>
      <c r="I48" s="3"/>
      <c r="J48" s="3"/>
      <c r="K48" s="15"/>
      <c r="L48" s="15"/>
      <c r="M48" s="2"/>
      <c r="N48" s="2"/>
      <c r="O48" s="2"/>
      <c r="P48" s="3"/>
      <c r="Q48" s="5" t="s">
        <v>63</v>
      </c>
      <c r="R48" s="3"/>
      <c r="S48" s="2"/>
      <c r="T48" s="15">
        <f>IF(MIN(Y39:AD39)&gt;0,0,ABS(MIN(Y39:AD39)))</f>
        <v>0</v>
      </c>
      <c r="U48" s="2"/>
      <c r="V48" s="2"/>
      <c r="W48" s="3"/>
      <c r="X48" s="3"/>
      <c r="Y48" s="3"/>
      <c r="Z48" s="3"/>
      <c r="AA48" s="15"/>
      <c r="AB48" s="15"/>
      <c r="AC48" s="2"/>
      <c r="AD48" s="2"/>
      <c r="AE48" s="2"/>
      <c r="AF48" s="3"/>
      <c r="AG48" s="5" t="s">
        <v>57</v>
      </c>
      <c r="AH48" s="3"/>
      <c r="AI48" s="2"/>
      <c r="AJ48" s="15">
        <f>IF(MIN(AI41:AN41)&gt;0,0,ABS(MIN(AI41:AN41)))</f>
        <v>0</v>
      </c>
      <c r="AK48" s="2"/>
      <c r="AL48" s="2"/>
      <c r="AM48" s="3"/>
      <c r="AN48" s="3"/>
      <c r="AO48" s="3"/>
      <c r="AP48" s="3"/>
      <c r="AQ48" s="13" t="s">
        <v>30</v>
      </c>
      <c r="AR48" s="13" t="s">
        <v>30</v>
      </c>
      <c r="AS48" s="2"/>
      <c r="AT48" s="2"/>
      <c r="AU48" s="2"/>
      <c r="AW48" s="55"/>
      <c r="AX48" s="55"/>
      <c r="AY48" s="6"/>
      <c r="AZ48" s="69" t="s">
        <v>55</v>
      </c>
      <c r="BA48" s="6"/>
      <c r="BB48" s="6"/>
      <c r="BC48" s="55"/>
      <c r="BD48" s="55"/>
      <c r="BE48" s="55"/>
      <c r="BF48" s="55"/>
      <c r="BG48" s="59" t="s">
        <v>61</v>
      </c>
      <c r="BH48" s="59" t="s">
        <v>62</v>
      </c>
      <c r="BI48" s="55"/>
      <c r="BJ48" s="55"/>
      <c r="BK48" s="55"/>
    </row>
    <row r="49" spans="1:63" ht="15">
      <c r="A49" s="3"/>
      <c r="B49" s="3"/>
      <c r="C49" s="3"/>
      <c r="D49" s="5" t="s">
        <v>55</v>
      </c>
      <c r="E49" s="2"/>
      <c r="F49" s="2"/>
      <c r="G49" s="3"/>
      <c r="H49" s="3"/>
      <c r="I49" s="3"/>
      <c r="J49" s="3"/>
      <c r="K49" s="3"/>
      <c r="L49" s="3"/>
      <c r="M49" s="2"/>
      <c r="N49" s="2"/>
      <c r="O49" s="2"/>
      <c r="P49" s="3"/>
      <c r="Q49" s="3"/>
      <c r="R49" s="3"/>
      <c r="S49" s="3"/>
      <c r="T49" s="5" t="s">
        <v>55</v>
      </c>
      <c r="U49" s="2"/>
      <c r="V49" s="2"/>
      <c r="W49" s="3"/>
      <c r="X49" s="3"/>
      <c r="Y49" s="3"/>
      <c r="Z49" s="3"/>
      <c r="AA49" s="3"/>
      <c r="AB49" s="3"/>
      <c r="AC49" s="2"/>
      <c r="AD49" s="2"/>
      <c r="AE49" s="2"/>
      <c r="AF49" s="3"/>
      <c r="AG49" s="3"/>
      <c r="AH49" s="3"/>
      <c r="AI49" s="3"/>
      <c r="AJ49" s="28" t="s">
        <v>55</v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W49" s="60" t="s">
        <v>57</v>
      </c>
      <c r="AX49" s="55"/>
      <c r="AY49" s="6"/>
      <c r="AZ49" s="14">
        <f>IF(MIN(AY42:BD42)&gt;0,0,ABS(MIN(AY42:BD42)))</f>
        <v>0</v>
      </c>
      <c r="BA49" s="6"/>
      <c r="BB49" s="6"/>
      <c r="BC49" s="55"/>
      <c r="BD49" s="55"/>
      <c r="BE49" s="55"/>
      <c r="BF49" s="55"/>
      <c r="BG49" s="59" t="s">
        <v>30</v>
      </c>
      <c r="BH49" s="59" t="s">
        <v>30</v>
      </c>
      <c r="BI49" s="6"/>
      <c r="BJ49" s="6"/>
      <c r="BK49" s="6"/>
    </row>
    <row r="50" spans="1:63" ht="15">
      <c r="A50" s="3"/>
      <c r="B50" s="3"/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"/>
      <c r="R50" s="3"/>
      <c r="S50" s="2"/>
      <c r="T50" s="1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3"/>
      <c r="AG50" s="5" t="s">
        <v>64</v>
      </c>
      <c r="AH50" s="3"/>
      <c r="AI50" s="2"/>
      <c r="AJ50" s="15">
        <f>IF(MIN(AM41:AS41)&gt;0,0,ABS(MIN(AM41:AS41)))</f>
        <v>0</v>
      </c>
      <c r="AK50" s="2"/>
      <c r="AL50" s="2"/>
      <c r="AM50" s="5" t="s">
        <v>65</v>
      </c>
      <c r="AN50" s="3"/>
      <c r="AO50" s="3"/>
      <c r="AP50" s="3"/>
      <c r="AQ50" s="15">
        <f>IF(AJ50&gt;(AJ46*2-AU34),(AJ46*2-AU34),IF(AJ50&lt;((AJ46*2)-AU34),0))</f>
        <v>0</v>
      </c>
      <c r="AR50" s="15">
        <f>IF(AJ50&lt;(AJ46*2-AU34),AJ50,0)</f>
        <v>0</v>
      </c>
      <c r="AS50" s="10"/>
      <c r="AT50" s="2"/>
      <c r="AU50" s="2"/>
      <c r="AW50" s="55"/>
      <c r="AX50" s="55"/>
      <c r="AY50" s="55"/>
      <c r="AZ50" s="69" t="s">
        <v>55</v>
      </c>
      <c r="BA50" s="55"/>
      <c r="BB50" s="55"/>
      <c r="BC50" s="55"/>
      <c r="BD50" s="55"/>
      <c r="BE50" s="55"/>
      <c r="BF50" s="55"/>
      <c r="BG50" s="55"/>
      <c r="BH50" s="55"/>
      <c r="BI50" s="6"/>
      <c r="BJ50" s="6"/>
      <c r="BK50" s="6"/>
    </row>
    <row r="51" spans="1:63" ht="15">
      <c r="A51" s="3"/>
      <c r="B51" s="3"/>
      <c r="C51" s="2"/>
      <c r="D51" s="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3"/>
      <c r="S51" s="2"/>
      <c r="T51" s="1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3"/>
      <c r="AG51" s="3"/>
      <c r="AH51" s="3"/>
      <c r="AI51" s="3"/>
      <c r="AJ51" s="28" t="s">
        <v>55</v>
      </c>
      <c r="AK51" s="2"/>
      <c r="AL51" s="2"/>
      <c r="AM51" s="3"/>
      <c r="AN51" s="3"/>
      <c r="AO51" s="3"/>
      <c r="AP51" s="3"/>
      <c r="AQ51" s="13" t="s">
        <v>53</v>
      </c>
      <c r="AR51" s="13" t="s">
        <v>53</v>
      </c>
      <c r="AS51" s="2"/>
      <c r="AT51" s="2"/>
      <c r="AU51" s="2"/>
      <c r="AW51" s="60" t="s">
        <v>63</v>
      </c>
      <c r="AX51" s="55"/>
      <c r="AY51" s="6"/>
      <c r="AZ51" s="14">
        <f>IF(MIN(BE42:BJ42)&gt;0,0,ABS(MIN(BE42:BJ42)))</f>
        <v>0</v>
      </c>
      <c r="BA51" s="6"/>
      <c r="BB51" s="6"/>
      <c r="BC51" s="60" t="s">
        <v>65</v>
      </c>
      <c r="BD51" s="55"/>
      <c r="BE51" s="55"/>
      <c r="BF51" s="55"/>
      <c r="BG51" s="14">
        <f>IF(AZ47&lt;AZ49,AZ47,0)</f>
        <v>0</v>
      </c>
      <c r="BH51" s="14">
        <f>IF(AZ49&lt;AZ47,AZ49,0)</f>
        <v>0</v>
      </c>
      <c r="BI51" s="6"/>
      <c r="BJ51" s="6"/>
      <c r="BK51" s="6"/>
    </row>
    <row r="52" spans="1:6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2"/>
      <c r="AJ52" s="15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W52" s="55"/>
      <c r="AX52" s="55"/>
      <c r="AY52" s="55"/>
      <c r="AZ52" s="69"/>
      <c r="BA52" s="6"/>
      <c r="BB52" s="6"/>
      <c r="BC52" s="55"/>
      <c r="BD52" s="55"/>
      <c r="BE52" s="55"/>
      <c r="BF52" s="55"/>
      <c r="BG52" s="59" t="s">
        <v>53</v>
      </c>
      <c r="BH52" s="59" t="s">
        <v>53</v>
      </c>
      <c r="BI52" s="6"/>
      <c r="BJ52" s="6"/>
      <c r="BK52" s="6"/>
    </row>
    <row r="53" spans="1:63" ht="15">
      <c r="A53" s="3"/>
      <c r="B53" s="3"/>
      <c r="C53" s="2"/>
      <c r="D53" s="1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3"/>
      <c r="S53" s="2"/>
      <c r="T53" s="1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3"/>
      <c r="AG53" s="3"/>
      <c r="AH53" s="3"/>
      <c r="AI53" s="2"/>
      <c r="AJ53" s="15"/>
      <c r="AK53" s="2"/>
      <c r="AL53" s="2"/>
      <c r="AM53" s="1" t="s">
        <v>66</v>
      </c>
      <c r="AN53" s="2"/>
      <c r="AO53" s="2"/>
      <c r="AP53" s="2"/>
      <c r="AQ53" s="15">
        <f>IF(AT34&gt;=AJ46,0,IF(AQ50&gt;0,AJ46-AT34,0))</f>
        <v>0</v>
      </c>
      <c r="AR53" s="15">
        <f>IF(AT34&gt;=AJ46,0,IF(AR50&gt;0,AJ46-AT34,0))</f>
        <v>0</v>
      </c>
      <c r="AS53" s="2"/>
      <c r="AT53" s="2"/>
      <c r="AU53" s="2"/>
      <c r="BA53" s="6"/>
      <c r="BB53" s="6"/>
      <c r="BC53" s="6"/>
      <c r="BD53" s="6"/>
      <c r="BE53" s="6"/>
      <c r="BF53" s="6"/>
      <c r="BG53" s="6"/>
      <c r="BH53" s="6"/>
      <c r="BI53" s="55"/>
      <c r="BJ53" s="55"/>
      <c r="BK53" s="55"/>
    </row>
    <row r="54" spans="1:63" ht="15">
      <c r="A54" s="3"/>
      <c r="B54" s="3"/>
      <c r="C54" s="2"/>
      <c r="D54" s="2"/>
      <c r="E54" s="3"/>
      <c r="F54" s="1" t="s">
        <v>29</v>
      </c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3"/>
      <c r="S54" s="2"/>
      <c r="T54" s="2"/>
      <c r="U54" s="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3"/>
      <c r="AG54" s="29" t="s">
        <v>67</v>
      </c>
      <c r="AH54" s="3"/>
      <c r="AI54" s="3"/>
      <c r="AJ54" s="3"/>
      <c r="AK54" s="3"/>
      <c r="AL54" s="3"/>
      <c r="AM54" s="3"/>
      <c r="AN54" s="3"/>
      <c r="AO54" s="3"/>
      <c r="AP54" s="3"/>
      <c r="AQ54" s="13"/>
      <c r="AR54" s="3"/>
      <c r="AS54" s="3"/>
      <c r="AT54" s="3"/>
      <c r="AU54" s="3"/>
      <c r="AW54" s="70" t="s">
        <v>67</v>
      </c>
      <c r="AX54" s="55"/>
      <c r="AY54" s="6"/>
      <c r="AZ54" s="14"/>
      <c r="BA54" s="6"/>
      <c r="BB54" s="6"/>
      <c r="BC54" s="31" t="s">
        <v>131</v>
      </c>
      <c r="BD54" s="6"/>
      <c r="BE54" s="6"/>
      <c r="BF54" s="6"/>
      <c r="BG54" s="71">
        <f>IF(AZ49&gt;AZ47,AZ49-AZ47,0)</f>
        <v>0</v>
      </c>
      <c r="BH54" s="6"/>
      <c r="BI54" s="6"/>
      <c r="BJ54" s="6"/>
      <c r="BK54" s="6"/>
    </row>
    <row r="55" spans="1:6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2"/>
      <c r="AJ55" s="15"/>
      <c r="AK55" s="2"/>
      <c r="AL55" s="2"/>
      <c r="AM55" s="2" t="s">
        <v>68</v>
      </c>
      <c r="AN55" s="2"/>
      <c r="AO55" s="2"/>
      <c r="AP55" s="2"/>
      <c r="AQ55" s="10">
        <f>AQ50-AQ53</f>
        <v>0</v>
      </c>
      <c r="AR55" s="10">
        <f>AR50-AR53</f>
        <v>0</v>
      </c>
      <c r="AS55" s="30"/>
      <c r="AT55" s="2"/>
      <c r="AU55" s="2"/>
      <c r="AW55" s="55"/>
      <c r="AX55" s="55"/>
      <c r="AY55" s="6"/>
      <c r="AZ55" s="6"/>
      <c r="BA55" s="55"/>
      <c r="BB55" s="55"/>
      <c r="BC55" s="55"/>
      <c r="BD55" s="55"/>
      <c r="BE55" s="55"/>
      <c r="BF55" s="55"/>
      <c r="BG55" s="59" t="s">
        <v>53</v>
      </c>
      <c r="BH55" s="55"/>
      <c r="BI55" s="6"/>
      <c r="BJ55" s="6"/>
      <c r="BK55" s="6"/>
    </row>
    <row r="56" spans="1:6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2"/>
      <c r="AJ56" s="2"/>
      <c r="AK56" s="3"/>
      <c r="AL56" s="1" t="s">
        <v>29</v>
      </c>
      <c r="AM56" s="2"/>
      <c r="AN56" s="2"/>
      <c r="AO56" s="2"/>
      <c r="AP56" s="2"/>
      <c r="AQ56" s="2"/>
      <c r="AR56" s="2"/>
      <c r="AS56" s="2"/>
      <c r="AT56" s="2"/>
      <c r="AU56" s="2"/>
      <c r="BI56" s="6"/>
      <c r="BJ56" s="6"/>
      <c r="BK56" s="6"/>
    </row>
    <row r="57" spans="1:6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10"/>
      <c r="AS57" s="3"/>
      <c r="AT57" s="3"/>
      <c r="AU57" s="3"/>
      <c r="BI57" s="6"/>
      <c r="BJ57" s="6"/>
      <c r="BK57" s="6"/>
    </row>
    <row r="58" spans="1:6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BI58" s="55"/>
      <c r="BJ58" s="55"/>
      <c r="BK58" s="55"/>
    </row>
    <row r="59" spans="1:6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W59" s="55"/>
      <c r="AX59" s="55"/>
      <c r="AY59" s="55"/>
      <c r="AZ59" s="55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W60" s="55"/>
      <c r="AX60" s="55"/>
      <c r="AY60" s="55"/>
      <c r="AZ60" s="55"/>
      <c r="BA60" s="55"/>
      <c r="BB60" s="31" t="s">
        <v>29</v>
      </c>
      <c r="BC60" s="60"/>
      <c r="BD60" s="6"/>
      <c r="BE60" s="72"/>
      <c r="BF60" s="6"/>
      <c r="BG60" s="6"/>
      <c r="BH60" s="6"/>
      <c r="BI60" s="6"/>
      <c r="BJ60" s="6"/>
      <c r="BK60" s="6"/>
    </row>
    <row r="61" spans="1:6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</row>
    <row r="62" spans="1:6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</row>
    <row r="63" spans="1:6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33:63" ht="15"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</row>
    <row r="65" spans="33:63" ht="15"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</row>
    <row r="66" spans="49:63" ht="15"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</row>
    <row r="67" spans="49:63" ht="15"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</row>
    <row r="68" spans="53:63" ht="15"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</row>
    <row r="69" spans="53:63" ht="15"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</row>
  </sheetData>
  <sheetProtection/>
  <printOptions/>
  <pageMargins left="0.75" right="0.75" top="1" bottom="1" header="0.5" footer="0.5"/>
  <pageSetup horizontalDpi="600" verticalDpi="600" orientation="landscape" scale="51" r:id="rId1"/>
  <rowBreaks count="1" manualBreakCount="1">
    <brk id="55" max="255" man="1"/>
  </rowBreaks>
  <colBreaks count="3" manualBreakCount="3">
    <brk id="15" max="65535" man="1"/>
    <brk id="31" max="65535" man="1"/>
    <brk id="4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O90"/>
  <sheetViews>
    <sheetView zoomScale="75" zoomScaleNormal="75" zoomScalePageLayoutView="0" workbookViewId="0" topLeftCell="A11">
      <selection activeCell="A45" sqref="A45"/>
    </sheetView>
  </sheetViews>
  <sheetFormatPr defaultColWidth="9.140625" defaultRowHeight="12.75"/>
  <cols>
    <col min="1" max="1" width="17.140625" style="32" customWidth="1"/>
    <col min="2" max="2" width="14.8515625" style="32" bestFit="1" customWidth="1"/>
    <col min="3" max="5" width="13.57421875" style="32" bestFit="1" customWidth="1"/>
    <col min="6" max="7" width="13.28125" style="32" bestFit="1" customWidth="1"/>
    <col min="8" max="8" width="15.00390625" style="32" bestFit="1" customWidth="1"/>
    <col min="9" max="9" width="13.28125" style="32" bestFit="1" customWidth="1"/>
    <col min="10" max="11" width="13.57421875" style="32" bestFit="1" customWidth="1"/>
    <col min="12" max="12" width="13.421875" style="32" bestFit="1" customWidth="1"/>
    <col min="13" max="13" width="15.8515625" style="32" bestFit="1" customWidth="1"/>
    <col min="14" max="14" width="16.00390625" style="32" bestFit="1" customWidth="1"/>
    <col min="15" max="15" width="15.00390625" style="32" bestFit="1" customWidth="1"/>
    <col min="16" max="16384" width="9.140625" style="32" customWidth="1"/>
  </cols>
  <sheetData>
    <row r="1" ht="16.5">
      <c r="A1" s="32" t="s">
        <v>3</v>
      </c>
    </row>
    <row r="2" ht="16.5">
      <c r="A2" s="32" t="s">
        <v>73</v>
      </c>
    </row>
    <row r="4" ht="16.5">
      <c r="A4" s="33">
        <v>2001</v>
      </c>
    </row>
    <row r="5" spans="1:14" ht="16.5">
      <c r="A5" s="34" t="s">
        <v>74</v>
      </c>
      <c r="B5" s="34" t="s">
        <v>75</v>
      </c>
      <c r="C5" s="34" t="s">
        <v>76</v>
      </c>
      <c r="D5" s="34" t="s">
        <v>77</v>
      </c>
      <c r="E5" s="34" t="s">
        <v>78</v>
      </c>
      <c r="F5" s="34" t="s">
        <v>20</v>
      </c>
      <c r="G5" s="34" t="s">
        <v>79</v>
      </c>
      <c r="H5" s="34" t="s">
        <v>80</v>
      </c>
      <c r="I5" s="34" t="s">
        <v>81</v>
      </c>
      <c r="J5" s="34" t="s">
        <v>82</v>
      </c>
      <c r="K5" s="34" t="s">
        <v>83</v>
      </c>
      <c r="L5" s="34" t="s">
        <v>84</v>
      </c>
      <c r="M5" s="34" t="s">
        <v>85</v>
      </c>
      <c r="N5" s="32" t="s">
        <v>28</v>
      </c>
    </row>
    <row r="6" spans="1:14" ht="16.5">
      <c r="A6" s="32" t="s">
        <v>86</v>
      </c>
      <c r="B6" s="35">
        <v>3907.4</v>
      </c>
      <c r="C6" s="35">
        <v>3936.49</v>
      </c>
      <c r="D6" s="35">
        <v>5904.34</v>
      </c>
      <c r="E6" s="35">
        <v>4415.31</v>
      </c>
      <c r="F6" s="35">
        <v>3936.48</v>
      </c>
      <c r="G6" s="35">
        <v>3936.46</v>
      </c>
      <c r="H6" s="35">
        <v>4347.74</v>
      </c>
      <c r="I6" s="35">
        <v>5904.33</v>
      </c>
      <c r="J6" s="35">
        <v>3936.46</v>
      </c>
      <c r="K6" s="35">
        <v>4416.34</v>
      </c>
      <c r="L6" s="35">
        <v>3936.47</v>
      </c>
      <c r="M6" s="35">
        <v>3935.05</v>
      </c>
      <c r="N6" s="35">
        <f>SUM(B6:M6)</f>
        <v>52512.87000000001</v>
      </c>
    </row>
    <row r="7" spans="1:14" ht="16.5">
      <c r="A7" s="32" t="s">
        <v>87</v>
      </c>
      <c r="B7" s="35">
        <v>6766.63</v>
      </c>
      <c r="C7" s="35">
        <v>7187.14</v>
      </c>
      <c r="D7" s="35">
        <v>10836.9</v>
      </c>
      <c r="E7" s="35">
        <v>7002.16</v>
      </c>
      <c r="F7" s="35">
        <v>7224.16</v>
      </c>
      <c r="G7" s="35">
        <v>6483.48</v>
      </c>
      <c r="H7" s="35">
        <v>7669.63</v>
      </c>
      <c r="I7" s="35">
        <v>10836.9</v>
      </c>
      <c r="J7" s="35">
        <v>7563.24</v>
      </c>
      <c r="K7" s="35">
        <v>7913.47</v>
      </c>
      <c r="L7" s="35">
        <v>6668.66</v>
      </c>
      <c r="M7" s="35">
        <v>6297.58</v>
      </c>
      <c r="N7" s="35">
        <f aca="true" t="shared" si="0" ref="N7:N17">SUM(B7:M7)</f>
        <v>92449.95000000001</v>
      </c>
    </row>
    <row r="8" spans="1:14" ht="16.5">
      <c r="A8" s="32" t="s">
        <v>88</v>
      </c>
      <c r="B8" s="35">
        <v>0</v>
      </c>
      <c r="C8" s="35">
        <v>1356.32</v>
      </c>
      <c r="D8" s="35">
        <v>1224.06</v>
      </c>
      <c r="E8" s="35">
        <v>353.82</v>
      </c>
      <c r="F8" s="35">
        <v>785.87</v>
      </c>
      <c r="G8" s="35">
        <v>465.37</v>
      </c>
      <c r="H8" s="35">
        <v>39.29</v>
      </c>
      <c r="I8" s="35">
        <v>1401.26</v>
      </c>
      <c r="J8" s="35">
        <v>1020</v>
      </c>
      <c r="K8" s="35">
        <v>1035.4</v>
      </c>
      <c r="L8" s="35">
        <v>845.51</v>
      </c>
      <c r="M8" s="35">
        <v>1003.61</v>
      </c>
      <c r="N8" s="35">
        <f t="shared" si="0"/>
        <v>9530.510000000002</v>
      </c>
    </row>
    <row r="9" spans="1:14" ht="16.5">
      <c r="A9" s="32" t="s">
        <v>89</v>
      </c>
      <c r="B9" s="35">
        <v>628.05</v>
      </c>
      <c r="C9" s="35">
        <v>813.85</v>
      </c>
      <c r="D9" s="35">
        <v>1264.86</v>
      </c>
      <c r="E9" s="35">
        <v>664.65</v>
      </c>
      <c r="F9" s="35">
        <v>1811.71</v>
      </c>
      <c r="G9" s="35">
        <v>1598.06</v>
      </c>
      <c r="H9" s="35">
        <v>1636.95</v>
      </c>
      <c r="I9" s="35">
        <v>1598.76</v>
      </c>
      <c r="J9" s="35">
        <v>0.7</v>
      </c>
      <c r="K9" s="35">
        <v>192.96</v>
      </c>
      <c r="L9" s="35">
        <v>0.7</v>
      </c>
      <c r="M9" s="35">
        <v>0</v>
      </c>
      <c r="N9" s="35">
        <f t="shared" si="0"/>
        <v>10211.250000000002</v>
      </c>
    </row>
    <row r="10" spans="1:14" ht="16.5">
      <c r="A10" s="32" t="s">
        <v>90</v>
      </c>
      <c r="B10" s="35">
        <v>13694.02</v>
      </c>
      <c r="C10" s="35">
        <v>14007.24</v>
      </c>
      <c r="D10" s="35">
        <v>20953.73</v>
      </c>
      <c r="E10" s="35">
        <v>15736.08</v>
      </c>
      <c r="F10" s="35">
        <v>15094.12</v>
      </c>
      <c r="G10" s="35">
        <v>14919.47</v>
      </c>
      <c r="H10" s="35">
        <v>16734.15</v>
      </c>
      <c r="I10" s="35">
        <v>22663.87</v>
      </c>
      <c r="J10" s="35">
        <v>12867.48</v>
      </c>
      <c r="K10" s="35">
        <v>14774.91</v>
      </c>
      <c r="L10" s="35">
        <v>12945.16</v>
      </c>
      <c r="M10" s="35">
        <v>13077.25</v>
      </c>
      <c r="N10" s="35">
        <f t="shared" si="0"/>
        <v>187467.48</v>
      </c>
    </row>
    <row r="11" spans="1:14" ht="16.5">
      <c r="A11" s="32" t="s">
        <v>91</v>
      </c>
      <c r="B11" s="35">
        <v>3488.93</v>
      </c>
      <c r="C11" s="35">
        <v>3526.61</v>
      </c>
      <c r="D11" s="35">
        <v>5289.92</v>
      </c>
      <c r="E11" s="35">
        <v>3955.3</v>
      </c>
      <c r="F11" s="35">
        <v>3526.61</v>
      </c>
      <c r="G11" s="35">
        <v>3526.6</v>
      </c>
      <c r="H11" s="35">
        <v>3895.12</v>
      </c>
      <c r="I11" s="35">
        <v>5289.9</v>
      </c>
      <c r="J11" s="35">
        <v>3526.59</v>
      </c>
      <c r="K11" s="35">
        <v>3956.61</v>
      </c>
      <c r="L11" s="35">
        <v>3526.6</v>
      </c>
      <c r="M11" s="35">
        <v>3526.58</v>
      </c>
      <c r="N11" s="35">
        <f t="shared" si="0"/>
        <v>47035.37</v>
      </c>
    </row>
    <row r="12" spans="1:14" ht="16.5">
      <c r="A12" s="32" t="s">
        <v>92</v>
      </c>
      <c r="B12" s="35">
        <v>8656.14</v>
      </c>
      <c r="C12" s="35">
        <v>8709.43</v>
      </c>
      <c r="D12" s="35">
        <v>13530.34</v>
      </c>
      <c r="E12" s="35">
        <v>10231.5</v>
      </c>
      <c r="F12" s="35">
        <v>9530.63</v>
      </c>
      <c r="G12" s="35">
        <v>9839.01</v>
      </c>
      <c r="H12" s="35">
        <v>10589.27</v>
      </c>
      <c r="I12" s="35">
        <v>15467.76</v>
      </c>
      <c r="J12" s="35">
        <v>11103.38</v>
      </c>
      <c r="K12" s="35">
        <v>12020.47</v>
      </c>
      <c r="L12" s="35">
        <v>11100.69</v>
      </c>
      <c r="M12" s="35">
        <v>11025.31</v>
      </c>
      <c r="N12" s="35">
        <f t="shared" si="0"/>
        <v>131803.93000000002</v>
      </c>
    </row>
    <row r="13" spans="1:14" ht="16.5">
      <c r="A13" s="32" t="s">
        <v>93</v>
      </c>
      <c r="B13" s="35">
        <v>163897.14</v>
      </c>
      <c r="C13" s="35">
        <v>154367.3</v>
      </c>
      <c r="D13" s="35">
        <v>238908.18</v>
      </c>
      <c r="E13" s="35">
        <v>246844.61</v>
      </c>
      <c r="F13" s="35">
        <v>159507.15</v>
      </c>
      <c r="G13" s="35">
        <v>199555.5</v>
      </c>
      <c r="H13" s="35">
        <v>285238.04</v>
      </c>
      <c r="I13" s="35">
        <v>243428.73</v>
      </c>
      <c r="J13" s="35">
        <v>172775.44</v>
      </c>
      <c r="K13" s="35">
        <v>277932.54</v>
      </c>
      <c r="L13" s="35">
        <v>193101.37</v>
      </c>
      <c r="M13" s="35">
        <v>298679.23</v>
      </c>
      <c r="N13" s="35">
        <f t="shared" si="0"/>
        <v>2634235.23</v>
      </c>
    </row>
    <row r="14" spans="1:14" ht="16.5">
      <c r="A14" s="32" t="s">
        <v>94</v>
      </c>
      <c r="B14" s="35">
        <v>5557.14</v>
      </c>
      <c r="C14" s="35">
        <v>5594.29</v>
      </c>
      <c r="D14" s="35">
        <v>8392.12</v>
      </c>
      <c r="E14" s="35">
        <v>6275.24</v>
      </c>
      <c r="F14" s="35">
        <v>5594.29</v>
      </c>
      <c r="G14" s="35">
        <v>5594.27</v>
      </c>
      <c r="H14" s="35">
        <v>6179.04</v>
      </c>
      <c r="I14" s="35">
        <v>8354.93</v>
      </c>
      <c r="J14" s="35">
        <v>5594.27</v>
      </c>
      <c r="K14" s="35">
        <v>6276.52</v>
      </c>
      <c r="L14" s="35">
        <v>5594.28</v>
      </c>
      <c r="M14" s="35">
        <v>5592.87</v>
      </c>
      <c r="N14" s="35">
        <f t="shared" si="0"/>
        <v>74599.26000000001</v>
      </c>
    </row>
    <row r="15" spans="1:14" ht="16.5">
      <c r="A15" s="32" t="s">
        <v>95</v>
      </c>
      <c r="B15" s="35">
        <v>7003.8</v>
      </c>
      <c r="C15" s="35">
        <v>7054.95</v>
      </c>
      <c r="D15" s="35">
        <v>10582.8</v>
      </c>
      <c r="E15" s="35">
        <v>7822.75</v>
      </c>
      <c r="F15" s="35">
        <v>7101.24</v>
      </c>
      <c r="G15" s="35">
        <v>7054.94</v>
      </c>
      <c r="H15" s="35">
        <v>7833.1</v>
      </c>
      <c r="I15" s="35">
        <v>11163.2</v>
      </c>
      <c r="J15" s="35">
        <v>7238.32</v>
      </c>
      <c r="K15" s="35">
        <v>7878.22</v>
      </c>
      <c r="L15" s="35">
        <v>7055.65</v>
      </c>
      <c r="M15" s="35">
        <v>7052.84</v>
      </c>
      <c r="N15" s="35">
        <f t="shared" si="0"/>
        <v>94841.81</v>
      </c>
    </row>
    <row r="16" spans="1:14" ht="16.5">
      <c r="A16" s="32" t="s">
        <v>96</v>
      </c>
      <c r="B16" s="35">
        <v>195918.63</v>
      </c>
      <c r="C16" s="35">
        <v>196270.93</v>
      </c>
      <c r="D16" s="35">
        <v>291362.67</v>
      </c>
      <c r="E16" s="35">
        <v>290806.24</v>
      </c>
      <c r="F16" s="35">
        <v>190785.43</v>
      </c>
      <c r="G16" s="35">
        <v>215522.01</v>
      </c>
      <c r="H16" s="35">
        <v>297371.35</v>
      </c>
      <c r="I16" s="35">
        <v>290138.63</v>
      </c>
      <c r="J16" s="35">
        <v>194241.78</v>
      </c>
      <c r="K16" s="35">
        <v>299367.99</v>
      </c>
      <c r="L16" s="35">
        <v>195033.94</v>
      </c>
      <c r="M16" s="35">
        <v>248038.68</v>
      </c>
      <c r="N16" s="35">
        <f t="shared" si="0"/>
        <v>2904858.2799999993</v>
      </c>
    </row>
    <row r="17" spans="1:14" ht="16.5">
      <c r="A17" s="32" t="s">
        <v>97</v>
      </c>
      <c r="B17" s="36">
        <v>62423.59</v>
      </c>
      <c r="C17" s="36">
        <v>50658.28</v>
      </c>
      <c r="D17" s="36">
        <v>86312.26</v>
      </c>
      <c r="E17" s="36">
        <v>66738.81</v>
      </c>
      <c r="F17" s="36">
        <v>56378.57</v>
      </c>
      <c r="G17" s="36">
        <v>58633.34</v>
      </c>
      <c r="H17" s="36">
        <v>63615.27</v>
      </c>
      <c r="I17" s="36">
        <v>84334.31</v>
      </c>
      <c r="J17" s="36">
        <v>57188.05</v>
      </c>
      <c r="K17" s="36">
        <v>60013.92</v>
      </c>
      <c r="L17" s="36">
        <v>59453.13</v>
      </c>
      <c r="M17" s="36">
        <v>58844.03</v>
      </c>
      <c r="N17" s="35">
        <f t="shared" si="0"/>
        <v>764593.56</v>
      </c>
    </row>
    <row r="18" spans="1:14" ht="16.5">
      <c r="A18" s="32" t="s">
        <v>28</v>
      </c>
      <c r="B18" s="35">
        <f>SUM(B6:B17)</f>
        <v>471941.47</v>
      </c>
      <c r="C18" s="35">
        <f aca="true" t="shared" si="1" ref="C18:N18">SUM(C6:C17)</f>
        <v>453482.8300000001</v>
      </c>
      <c r="D18" s="35">
        <f t="shared" si="1"/>
        <v>694562.1799999999</v>
      </c>
      <c r="E18" s="35">
        <f t="shared" si="1"/>
        <v>660846.47</v>
      </c>
      <c r="F18" s="35">
        <f t="shared" si="1"/>
        <v>461276.25999999995</v>
      </c>
      <c r="G18" s="35">
        <f t="shared" si="1"/>
        <v>527128.51</v>
      </c>
      <c r="H18" s="35">
        <f t="shared" si="1"/>
        <v>705148.95</v>
      </c>
      <c r="I18" s="35">
        <f t="shared" si="1"/>
        <v>700582.5800000001</v>
      </c>
      <c r="J18" s="35">
        <f t="shared" si="1"/>
        <v>477055.71</v>
      </c>
      <c r="K18" s="35">
        <f t="shared" si="1"/>
        <v>695779.35</v>
      </c>
      <c r="L18" s="35">
        <f t="shared" si="1"/>
        <v>499262.16000000003</v>
      </c>
      <c r="M18" s="35">
        <f t="shared" si="1"/>
        <v>657073.03</v>
      </c>
      <c r="N18" s="35">
        <f t="shared" si="1"/>
        <v>7004139.5</v>
      </c>
    </row>
    <row r="21" ht="16.5">
      <c r="A21" s="33">
        <v>2002</v>
      </c>
    </row>
    <row r="22" spans="1:15" ht="16.5">
      <c r="A22" s="34" t="s">
        <v>74</v>
      </c>
      <c r="B22" s="34" t="s">
        <v>75</v>
      </c>
      <c r="C22" s="34" t="s">
        <v>76</v>
      </c>
      <c r="D22" s="34" t="s">
        <v>77</v>
      </c>
      <c r="E22" s="34" t="s">
        <v>78</v>
      </c>
      <c r="F22" s="34" t="s">
        <v>20</v>
      </c>
      <c r="G22" s="34" t="s">
        <v>79</v>
      </c>
      <c r="H22" s="34" t="s">
        <v>80</v>
      </c>
      <c r="I22" s="34" t="s">
        <v>81</v>
      </c>
      <c r="J22" s="34" t="s">
        <v>82</v>
      </c>
      <c r="K22" s="34" t="s">
        <v>83</v>
      </c>
      <c r="L22" s="34" t="s">
        <v>84</v>
      </c>
      <c r="M22" s="34" t="s">
        <v>85</v>
      </c>
      <c r="N22" s="32" t="s">
        <v>28</v>
      </c>
      <c r="O22" s="34"/>
    </row>
    <row r="23" spans="1:15" ht="16.5">
      <c r="A23" s="32" t="s">
        <v>86</v>
      </c>
      <c r="B23" s="35">
        <v>4481.83</v>
      </c>
      <c r="C23" s="35">
        <v>4125.94</v>
      </c>
      <c r="D23" s="35">
        <v>3885.35</v>
      </c>
      <c r="E23" s="35">
        <v>2484.79</v>
      </c>
      <c r="F23" s="35">
        <v>2063.35</v>
      </c>
      <c r="G23" s="35">
        <v>4125.92</v>
      </c>
      <c r="H23" s="35">
        <v>4124.51</v>
      </c>
      <c r="I23" s="35">
        <v>6188.47</v>
      </c>
      <c r="J23" s="35">
        <v>4413.31</v>
      </c>
      <c r="K23" s="35">
        <v>4637.85</v>
      </c>
      <c r="L23" s="35">
        <v>4125.91</v>
      </c>
      <c r="M23" s="35">
        <v>4125.91</v>
      </c>
      <c r="N23" s="35">
        <f>SUM(B23:M23)</f>
        <v>48783.14</v>
      </c>
      <c r="O23" s="35"/>
    </row>
    <row r="24" spans="1:15" ht="16.5">
      <c r="A24" s="32" t="s">
        <v>87</v>
      </c>
      <c r="B24" s="35">
        <v>11226.94</v>
      </c>
      <c r="C24" s="35">
        <v>12736.14</v>
      </c>
      <c r="D24" s="35">
        <v>18564.83</v>
      </c>
      <c r="E24" s="35">
        <v>13412.67</v>
      </c>
      <c r="F24" s="35">
        <v>12380.89</v>
      </c>
      <c r="G24" s="35">
        <v>12679.9</v>
      </c>
      <c r="H24" s="35">
        <v>12788.69</v>
      </c>
      <c r="I24" s="35">
        <v>19188.02</v>
      </c>
      <c r="J24" s="35">
        <v>13691.49</v>
      </c>
      <c r="K24" s="35">
        <v>13546.13</v>
      </c>
      <c r="L24" s="35">
        <v>12125.3</v>
      </c>
      <c r="M24" s="35">
        <v>11932.88</v>
      </c>
      <c r="N24" s="35">
        <f aca="true" t="shared" si="2" ref="N24:N34">SUM(B24:M24)</f>
        <v>164273.88</v>
      </c>
      <c r="O24" s="35"/>
    </row>
    <row r="25" spans="1:15" ht="16.5">
      <c r="A25" s="32" t="s">
        <v>88</v>
      </c>
      <c r="B25" s="35">
        <v>1385.85</v>
      </c>
      <c r="C25" s="35">
        <v>1525.69</v>
      </c>
      <c r="D25" s="35">
        <v>1817.15</v>
      </c>
      <c r="E25" s="35">
        <v>951.66</v>
      </c>
      <c r="F25" s="35">
        <v>1031.83</v>
      </c>
      <c r="G25" s="35">
        <v>1014.92</v>
      </c>
      <c r="H25" s="35">
        <v>853.85</v>
      </c>
      <c r="I25" s="35">
        <v>213.57</v>
      </c>
      <c r="J25" s="35">
        <v>0</v>
      </c>
      <c r="K25" s="35">
        <v>0</v>
      </c>
      <c r="L25" s="35">
        <v>0</v>
      </c>
      <c r="M25" s="35">
        <v>0</v>
      </c>
      <c r="N25" s="35">
        <f t="shared" si="2"/>
        <v>8794.52</v>
      </c>
      <c r="O25" s="35"/>
    </row>
    <row r="26" spans="1:15" ht="16.5">
      <c r="A26" s="32" t="s">
        <v>89</v>
      </c>
      <c r="B26" s="35">
        <v>1542.64</v>
      </c>
      <c r="C26" s="35">
        <v>1598.77</v>
      </c>
      <c r="D26" s="35">
        <v>2398.62</v>
      </c>
      <c r="E26" s="35">
        <v>1793.12</v>
      </c>
      <c r="F26" s="35">
        <v>1599.48</v>
      </c>
      <c r="G26" s="35">
        <v>1599.48</v>
      </c>
      <c r="H26" s="35">
        <v>1598.08</v>
      </c>
      <c r="I26" s="35">
        <v>2398.62</v>
      </c>
      <c r="J26" s="35">
        <v>2133.95</v>
      </c>
      <c r="K26" s="35">
        <v>2370.11</v>
      </c>
      <c r="L26" s="35">
        <v>2154.24</v>
      </c>
      <c r="M26" s="35">
        <v>2049.4</v>
      </c>
      <c r="N26" s="35">
        <f t="shared" si="2"/>
        <v>23236.510000000002</v>
      </c>
      <c r="O26" s="35"/>
    </row>
    <row r="27" spans="1:15" ht="16.5">
      <c r="A27" s="32" t="s">
        <v>90</v>
      </c>
      <c r="B27" s="35">
        <v>14418.03</v>
      </c>
      <c r="C27" s="35">
        <v>13677.22</v>
      </c>
      <c r="D27" s="35">
        <v>20446.43</v>
      </c>
      <c r="E27" s="35">
        <v>15495.44</v>
      </c>
      <c r="F27" s="35">
        <v>13681.64</v>
      </c>
      <c r="G27" s="35">
        <v>13681.67</v>
      </c>
      <c r="H27" s="35">
        <v>13794.28</v>
      </c>
      <c r="I27" s="35">
        <v>20644.42</v>
      </c>
      <c r="J27" s="35">
        <v>16344.26</v>
      </c>
      <c r="K27" s="35">
        <v>16500.17</v>
      </c>
      <c r="L27" s="35">
        <v>15052.72</v>
      </c>
      <c r="M27" s="35">
        <v>15039.7</v>
      </c>
      <c r="N27" s="35">
        <f t="shared" si="2"/>
        <v>188775.98</v>
      </c>
      <c r="O27" s="35"/>
    </row>
    <row r="28" spans="1:15" ht="16.5">
      <c r="A28" s="32" t="s">
        <v>91</v>
      </c>
      <c r="B28" s="35">
        <v>4908.87</v>
      </c>
      <c r="C28" s="35">
        <v>4867.93</v>
      </c>
      <c r="D28" s="35">
        <v>7301.91</v>
      </c>
      <c r="E28" s="35">
        <v>5447.47</v>
      </c>
      <c r="F28" s="35">
        <v>4867.94</v>
      </c>
      <c r="G28" s="35">
        <v>4867.94</v>
      </c>
      <c r="H28" s="35">
        <v>4867.94</v>
      </c>
      <c r="I28" s="35">
        <v>7301.91</v>
      </c>
      <c r="J28" s="35">
        <v>5028.96</v>
      </c>
      <c r="K28" s="35">
        <v>5374.61</v>
      </c>
      <c r="L28" s="35">
        <v>4867.94</v>
      </c>
      <c r="M28" s="35">
        <v>4867.94</v>
      </c>
      <c r="N28" s="35">
        <f t="shared" si="2"/>
        <v>64571.36000000001</v>
      </c>
      <c r="O28" s="35"/>
    </row>
    <row r="29" spans="1:15" ht="16.5">
      <c r="A29" s="32" t="s">
        <v>92</v>
      </c>
      <c r="B29" s="35">
        <v>10992.83</v>
      </c>
      <c r="C29" s="35">
        <v>9714.37</v>
      </c>
      <c r="D29" s="35">
        <v>14733.88</v>
      </c>
      <c r="E29" s="35">
        <v>10974.52</v>
      </c>
      <c r="F29" s="35">
        <v>9975.99</v>
      </c>
      <c r="G29" s="35">
        <v>10010.54</v>
      </c>
      <c r="H29" s="35">
        <v>9973.57</v>
      </c>
      <c r="I29" s="35">
        <v>14912.61</v>
      </c>
      <c r="J29" s="35">
        <v>10967.97</v>
      </c>
      <c r="K29" s="35">
        <v>11391.62</v>
      </c>
      <c r="L29" s="35">
        <v>10243.27</v>
      </c>
      <c r="M29" s="35">
        <v>10172.34</v>
      </c>
      <c r="N29" s="35">
        <f t="shared" si="2"/>
        <v>134063.51</v>
      </c>
      <c r="O29" s="35"/>
    </row>
    <row r="30" spans="1:15" ht="16.5">
      <c r="A30" s="32" t="s">
        <v>93</v>
      </c>
      <c r="B30" s="35">
        <v>293932.51</v>
      </c>
      <c r="C30" s="35">
        <v>180164.38</v>
      </c>
      <c r="D30" s="35">
        <v>279226.85</v>
      </c>
      <c r="E30" s="35">
        <v>193123.01</v>
      </c>
      <c r="F30" s="35">
        <v>184887.85</v>
      </c>
      <c r="G30" s="35">
        <v>331981.59</v>
      </c>
      <c r="H30" s="35">
        <v>192473.85</v>
      </c>
      <c r="I30" s="35">
        <v>302510.4</v>
      </c>
      <c r="J30" s="35">
        <v>297309.13</v>
      </c>
      <c r="K30" s="35">
        <v>320445.79</v>
      </c>
      <c r="L30" s="35">
        <v>195649.87</v>
      </c>
      <c r="M30" s="35">
        <v>226471.89</v>
      </c>
      <c r="N30" s="35">
        <f t="shared" si="2"/>
        <v>2998177.1200000006</v>
      </c>
      <c r="O30" s="35"/>
    </row>
    <row r="31" spans="1:15" ht="16.5">
      <c r="A31" s="32" t="s">
        <v>94</v>
      </c>
      <c r="B31" s="35">
        <v>6457.78</v>
      </c>
      <c r="C31" s="35">
        <v>5990.43</v>
      </c>
      <c r="D31" s="35">
        <v>8986.36</v>
      </c>
      <c r="E31" s="35">
        <v>6715.46</v>
      </c>
      <c r="F31" s="35">
        <v>5991.86</v>
      </c>
      <c r="G31" s="35">
        <v>5991.86</v>
      </c>
      <c r="H31" s="35">
        <v>6452.51</v>
      </c>
      <c r="I31" s="35">
        <v>9236.31</v>
      </c>
      <c r="J31" s="35">
        <v>6616.64</v>
      </c>
      <c r="K31" s="35">
        <v>6721</v>
      </c>
      <c r="L31" s="35">
        <v>5990.46</v>
      </c>
      <c r="M31" s="35">
        <v>5990.46</v>
      </c>
      <c r="N31" s="35">
        <f t="shared" si="2"/>
        <v>81141.13</v>
      </c>
      <c r="O31" s="35"/>
    </row>
    <row r="32" spans="1:15" ht="16.5">
      <c r="A32" s="32" t="s">
        <v>95</v>
      </c>
      <c r="B32" s="35">
        <v>5800.05</v>
      </c>
      <c r="C32" s="35">
        <v>5621.41</v>
      </c>
      <c r="D32" s="35">
        <v>8388.79</v>
      </c>
      <c r="E32" s="35">
        <v>6306.87</v>
      </c>
      <c r="F32" s="35">
        <v>5622.82</v>
      </c>
      <c r="G32" s="35">
        <v>5720.03</v>
      </c>
      <c r="H32" s="35">
        <v>6029.67</v>
      </c>
      <c r="I32" s="35">
        <v>8592.01</v>
      </c>
      <c r="J32" s="35">
        <v>6208.45</v>
      </c>
      <c r="K32" s="35">
        <v>6317.71</v>
      </c>
      <c r="L32" s="35">
        <v>5681.42</v>
      </c>
      <c r="M32" s="35">
        <v>5621.42</v>
      </c>
      <c r="N32" s="35">
        <f t="shared" si="2"/>
        <v>75910.65</v>
      </c>
      <c r="O32" s="35"/>
    </row>
    <row r="33" spans="1:15" ht="16.5">
      <c r="A33" s="32" t="s">
        <v>96</v>
      </c>
      <c r="B33" s="35">
        <v>303133.71</v>
      </c>
      <c r="C33" s="35">
        <v>199931.98</v>
      </c>
      <c r="D33" s="35">
        <v>299085.75</v>
      </c>
      <c r="E33" s="35">
        <v>203925.94</v>
      </c>
      <c r="F33" s="35">
        <v>199203.96</v>
      </c>
      <c r="G33" s="35">
        <v>323412.47</v>
      </c>
      <c r="H33" s="35">
        <v>198590.56</v>
      </c>
      <c r="I33" s="35">
        <v>304654.02</v>
      </c>
      <c r="J33" s="35">
        <v>328886.11</v>
      </c>
      <c r="K33" s="35">
        <v>310681.13</v>
      </c>
      <c r="L33" s="35">
        <v>203283.48</v>
      </c>
      <c r="M33" s="35">
        <v>226815.89</v>
      </c>
      <c r="N33" s="35">
        <f t="shared" si="2"/>
        <v>3101605</v>
      </c>
      <c r="O33" s="35"/>
    </row>
    <row r="34" spans="1:15" ht="16.5">
      <c r="A34" s="32" t="s">
        <v>97</v>
      </c>
      <c r="B34" s="36">
        <v>71396.74</v>
      </c>
      <c r="C34" s="36">
        <v>61240.57</v>
      </c>
      <c r="D34" s="36">
        <v>93880.5</v>
      </c>
      <c r="E34" s="36">
        <v>68893.39</v>
      </c>
      <c r="F34" s="36">
        <v>58134.81</v>
      </c>
      <c r="G34" s="36">
        <v>62594.19</v>
      </c>
      <c r="H34" s="36">
        <v>61495.36</v>
      </c>
      <c r="I34" s="36">
        <v>87881.39</v>
      </c>
      <c r="J34" s="36">
        <v>65450.51</v>
      </c>
      <c r="K34" s="36">
        <v>63640.3</v>
      </c>
      <c r="L34" s="36">
        <v>60745.77</v>
      </c>
      <c r="M34" s="36">
        <v>61139.2</v>
      </c>
      <c r="N34" s="35">
        <f t="shared" si="2"/>
        <v>816492.73</v>
      </c>
      <c r="O34" s="35"/>
    </row>
    <row r="35" spans="1:14" ht="16.5">
      <c r="A35" s="32" t="s">
        <v>28</v>
      </c>
      <c r="B35" s="35">
        <f aca="true" t="shared" si="3" ref="B35:N35">SUM(B23:B34)</f>
        <v>729677.78</v>
      </c>
      <c r="C35" s="35">
        <f t="shared" si="3"/>
        <v>501194.83</v>
      </c>
      <c r="D35" s="35">
        <f t="shared" si="3"/>
        <v>758716.4199999999</v>
      </c>
      <c r="E35" s="35">
        <f t="shared" si="3"/>
        <v>529524.34</v>
      </c>
      <c r="F35" s="35">
        <f t="shared" si="3"/>
        <v>499442.42</v>
      </c>
      <c r="G35" s="35">
        <f t="shared" si="3"/>
        <v>777680.51</v>
      </c>
      <c r="H35" s="35">
        <f t="shared" si="3"/>
        <v>513042.87</v>
      </c>
      <c r="I35" s="35">
        <f t="shared" si="3"/>
        <v>783721.7500000001</v>
      </c>
      <c r="J35" s="35">
        <f t="shared" si="3"/>
        <v>757050.78</v>
      </c>
      <c r="K35" s="35">
        <f t="shared" si="3"/>
        <v>761626.42</v>
      </c>
      <c r="L35" s="35">
        <f t="shared" si="3"/>
        <v>519920.38</v>
      </c>
      <c r="M35" s="35">
        <f t="shared" si="3"/>
        <v>574227.03</v>
      </c>
      <c r="N35" s="35">
        <f t="shared" si="3"/>
        <v>7705825.530000001</v>
      </c>
    </row>
    <row r="38" ht="16.5">
      <c r="A38" s="33">
        <v>2003</v>
      </c>
    </row>
    <row r="39" spans="1:15" ht="16.5">
      <c r="A39" s="34" t="s">
        <v>74</v>
      </c>
      <c r="B39" s="34" t="s">
        <v>75</v>
      </c>
      <c r="C39" s="34" t="s">
        <v>76</v>
      </c>
      <c r="D39" s="34" t="s">
        <v>77</v>
      </c>
      <c r="E39" s="34" t="s">
        <v>78</v>
      </c>
      <c r="F39" s="34" t="s">
        <v>20</v>
      </c>
      <c r="G39" s="34" t="s">
        <v>79</v>
      </c>
      <c r="H39" s="34" t="s">
        <v>80</v>
      </c>
      <c r="I39" s="34" t="s">
        <v>81</v>
      </c>
      <c r="J39" s="34" t="s">
        <v>82</v>
      </c>
      <c r="K39" s="34" t="s">
        <v>83</v>
      </c>
      <c r="L39" s="34" t="s">
        <v>84</v>
      </c>
      <c r="M39" s="34" t="s">
        <v>85</v>
      </c>
      <c r="N39" s="32" t="s">
        <v>28</v>
      </c>
      <c r="O39" s="32" t="s">
        <v>98</v>
      </c>
    </row>
    <row r="40" spans="1:15" ht="16.5">
      <c r="A40" s="32" t="s">
        <v>86</v>
      </c>
      <c r="B40" s="35">
        <f>11189.86-4332.59</f>
        <v>6857.27</v>
      </c>
      <c r="C40" s="35">
        <v>4332.59</v>
      </c>
      <c r="D40" s="35">
        <v>4332.59</v>
      </c>
      <c r="E40" s="35">
        <v>4858.22</v>
      </c>
      <c r="F40" s="35">
        <v>4332.59</v>
      </c>
      <c r="G40" s="35">
        <v>4332.59</v>
      </c>
      <c r="H40" s="35">
        <v>4785.29</v>
      </c>
      <c r="I40" s="35">
        <v>6498.49</v>
      </c>
      <c r="J40" s="35">
        <v>4332.59</v>
      </c>
      <c r="K40" s="35">
        <v>4860.74</v>
      </c>
      <c r="L40" s="35">
        <v>4332.59</v>
      </c>
      <c r="M40" s="35">
        <v>4332.59</v>
      </c>
      <c r="N40" s="35">
        <f>SUM(B40:M40)</f>
        <v>58188.14</v>
      </c>
      <c r="O40" s="35">
        <v>60178</v>
      </c>
    </row>
    <row r="41" spans="1:15" ht="16.5">
      <c r="A41" s="32" t="s">
        <v>87</v>
      </c>
      <c r="B41" s="35">
        <f>32686.1-12768.82</f>
        <v>19917.28</v>
      </c>
      <c r="C41" s="35">
        <v>12768.82</v>
      </c>
      <c r="D41" s="35">
        <v>12935.47</v>
      </c>
      <c r="E41" s="35">
        <v>13861.7</v>
      </c>
      <c r="F41" s="35">
        <v>12768.82</v>
      </c>
      <c r="G41" s="35">
        <v>12914.64</v>
      </c>
      <c r="H41" s="35">
        <v>13709.66</v>
      </c>
      <c r="I41" s="35">
        <v>19154.05</v>
      </c>
      <c r="J41" s="35">
        <v>12768.82</v>
      </c>
      <c r="K41" s="35">
        <v>13866.46</v>
      </c>
      <c r="L41" s="35">
        <v>12805.27</v>
      </c>
      <c r="M41" s="35">
        <v>12768.82</v>
      </c>
      <c r="N41" s="35">
        <f aca="true" t="shared" si="4" ref="N41:N52">SUM(B41:M41)</f>
        <v>170239.81</v>
      </c>
      <c r="O41" s="35">
        <v>197709</v>
      </c>
    </row>
    <row r="42" spans="1:15" ht="16.5">
      <c r="A42" s="32" t="s">
        <v>88</v>
      </c>
      <c r="B42" s="35">
        <f>7652.15-1759.15</f>
        <v>5893</v>
      </c>
      <c r="C42" s="35">
        <v>1759.15</v>
      </c>
      <c r="D42" s="35">
        <v>1128.83</v>
      </c>
      <c r="E42" s="35">
        <v>1204.22</v>
      </c>
      <c r="F42" s="35">
        <v>243.62</v>
      </c>
      <c r="G42" s="35">
        <v>2751.09</v>
      </c>
      <c r="H42" s="35">
        <v>760.27</v>
      </c>
      <c r="I42" s="35">
        <v>1184.57</v>
      </c>
      <c r="J42" s="35">
        <v>872.65</v>
      </c>
      <c r="K42" s="35">
        <v>755.34</v>
      </c>
      <c r="L42" s="35">
        <v>0</v>
      </c>
      <c r="M42" s="35">
        <v>5441.89</v>
      </c>
      <c r="N42" s="35">
        <f t="shared" si="4"/>
        <v>21994.629999999997</v>
      </c>
      <c r="O42" s="35">
        <v>14872</v>
      </c>
    </row>
    <row r="43" spans="1:15" ht="16.5">
      <c r="A43" s="32" t="s">
        <v>89</v>
      </c>
      <c r="B43" s="35">
        <f>4733.41-2060.44</f>
        <v>2672.97</v>
      </c>
      <c r="C43" s="35">
        <v>2060.44</v>
      </c>
      <c r="D43" s="35">
        <v>2199.31</v>
      </c>
      <c r="E43" s="35">
        <v>2255.32</v>
      </c>
      <c r="F43" s="35">
        <v>2115.99</v>
      </c>
      <c r="G43" s="35">
        <v>2223.62</v>
      </c>
      <c r="H43" s="35">
        <v>2317.25</v>
      </c>
      <c r="I43" s="35">
        <v>3327.2</v>
      </c>
      <c r="J43" s="35">
        <v>2246.17</v>
      </c>
      <c r="K43" s="35">
        <v>2431.8</v>
      </c>
      <c r="L43" s="35">
        <v>2192.37</v>
      </c>
      <c r="M43" s="35">
        <v>2440.6</v>
      </c>
      <c r="N43" s="35">
        <f t="shared" si="4"/>
        <v>28483.039999999994</v>
      </c>
      <c r="O43" s="35">
        <v>30844</v>
      </c>
    </row>
    <row r="44" spans="1:15" ht="16.5">
      <c r="A44" s="32" t="s">
        <v>90</v>
      </c>
      <c r="B44" s="35">
        <f>38537.27-15921.34</f>
        <v>22615.929999999997</v>
      </c>
      <c r="C44" s="35">
        <v>15921.34</v>
      </c>
      <c r="D44" s="35">
        <v>15923.03</v>
      </c>
      <c r="E44" s="35">
        <v>17924.23</v>
      </c>
      <c r="F44" s="35">
        <v>15931.05</v>
      </c>
      <c r="G44" s="35">
        <v>15929</v>
      </c>
      <c r="H44" s="35">
        <v>17650.75</v>
      </c>
      <c r="I44" s="35">
        <v>23897.68</v>
      </c>
      <c r="J44" s="35">
        <v>15930.85</v>
      </c>
      <c r="K44" s="35">
        <v>18107.84</v>
      </c>
      <c r="L44" s="35">
        <v>16266.8</v>
      </c>
      <c r="M44" s="35">
        <v>16910.86</v>
      </c>
      <c r="N44" s="35">
        <f t="shared" si="4"/>
        <v>213009.36</v>
      </c>
      <c r="O44" s="35">
        <v>230530</v>
      </c>
    </row>
    <row r="45" spans="1:15" ht="16.5">
      <c r="A45" s="32" t="s">
        <v>91</v>
      </c>
      <c r="B45" s="35">
        <f>12678.58-4867.94</f>
        <v>7810.64</v>
      </c>
      <c r="C45" s="35">
        <v>4867.94</v>
      </c>
      <c r="D45" s="35">
        <v>4867.94</v>
      </c>
      <c r="E45" s="35">
        <v>5449.34</v>
      </c>
      <c r="F45" s="35">
        <v>4867.94</v>
      </c>
      <c r="G45" s="35">
        <v>4867.94</v>
      </c>
      <c r="H45" s="35">
        <v>5388.78</v>
      </c>
      <c r="I45" s="35">
        <v>7301.91</v>
      </c>
      <c r="J45" s="35">
        <v>4867.94</v>
      </c>
      <c r="K45" s="35">
        <v>5461.45</v>
      </c>
      <c r="L45" s="35">
        <v>4867.94</v>
      </c>
      <c r="M45" s="35">
        <v>4867.94</v>
      </c>
      <c r="N45" s="35">
        <f t="shared" si="4"/>
        <v>65487.7</v>
      </c>
      <c r="O45" s="35">
        <v>73295</v>
      </c>
    </row>
    <row r="46" spans="1:15" ht="16.5">
      <c r="A46" s="32" t="s">
        <v>92</v>
      </c>
      <c r="B46" s="35">
        <f>26706.84-10546.16</f>
        <v>16160.68</v>
      </c>
      <c r="C46" s="35">
        <v>10546.16</v>
      </c>
      <c r="D46" s="35">
        <v>10548.42</v>
      </c>
      <c r="E46" s="35">
        <v>11914.36</v>
      </c>
      <c r="F46" s="35">
        <v>10651.21</v>
      </c>
      <c r="G46" s="35">
        <v>10851.25</v>
      </c>
      <c r="H46" s="35">
        <v>11688.4</v>
      </c>
      <c r="I46" s="35">
        <v>15986.53</v>
      </c>
      <c r="J46" s="35">
        <v>10579.13</v>
      </c>
      <c r="K46" s="35">
        <v>11844.71</v>
      </c>
      <c r="L46" s="35">
        <v>10617.93</v>
      </c>
      <c r="M46" s="35">
        <v>10551.41</v>
      </c>
      <c r="N46" s="35">
        <f t="shared" si="4"/>
        <v>141940.19</v>
      </c>
      <c r="O46" s="35">
        <v>148309</v>
      </c>
    </row>
    <row r="47" spans="1:15" ht="16.5">
      <c r="A47" s="32" t="s">
        <v>93</v>
      </c>
      <c r="B47" s="35">
        <f>702015.28-198772.24</f>
        <v>503243.04000000004</v>
      </c>
      <c r="C47" s="35">
        <v>198772.24</v>
      </c>
      <c r="D47" s="35">
        <v>195666.98</v>
      </c>
      <c r="E47" s="35">
        <v>319220.47</v>
      </c>
      <c r="F47" s="35">
        <v>193732.57</v>
      </c>
      <c r="G47" s="35">
        <v>222701.67</v>
      </c>
      <c r="H47" s="35">
        <v>343164.84</v>
      </c>
      <c r="I47" s="35">
        <v>306204.7</v>
      </c>
      <c r="J47" s="35">
        <v>202779.15</v>
      </c>
      <c r="K47" s="35">
        <v>316830.14</v>
      </c>
      <c r="L47" s="35">
        <v>202633.96</v>
      </c>
      <c r="M47" s="35">
        <v>291169.68</v>
      </c>
      <c r="N47" s="35">
        <f t="shared" si="4"/>
        <v>3296119.4400000004</v>
      </c>
      <c r="O47" s="35">
        <v>3223856</v>
      </c>
    </row>
    <row r="48" spans="1:15" ht="16.5">
      <c r="A48" s="32" t="s">
        <v>94</v>
      </c>
      <c r="B48" s="35">
        <f>15857.59-6108.87</f>
        <v>9748.720000000001</v>
      </c>
      <c r="C48" s="35">
        <v>6108.87</v>
      </c>
      <c r="D48" s="35">
        <v>6108.87</v>
      </c>
      <c r="E48" s="35">
        <v>6852.4</v>
      </c>
      <c r="F48" s="35">
        <v>6108.87</v>
      </c>
      <c r="G48" s="35">
        <v>6108.87</v>
      </c>
      <c r="H48" s="35">
        <v>6747.42</v>
      </c>
      <c r="I48" s="35">
        <v>9163.98</v>
      </c>
      <c r="J48" s="35">
        <v>6108.87</v>
      </c>
      <c r="K48" s="35">
        <v>6853.85</v>
      </c>
      <c r="L48" s="35">
        <v>6108.87</v>
      </c>
      <c r="M48" s="35">
        <v>4493.65</v>
      </c>
      <c r="N48" s="35">
        <f t="shared" si="4"/>
        <v>80513.23999999999</v>
      </c>
      <c r="O48" s="35">
        <v>86870</v>
      </c>
    </row>
    <row r="49" spans="1:15" ht="16.5">
      <c r="A49" s="32" t="s">
        <v>95</v>
      </c>
      <c r="B49" s="35">
        <f>15180.02-5872.24</f>
        <v>9307.78</v>
      </c>
      <c r="C49" s="35">
        <v>5872.24</v>
      </c>
      <c r="D49" s="35">
        <v>5869.94</v>
      </c>
      <c r="E49" s="35">
        <v>6586.93</v>
      </c>
      <c r="F49" s="35">
        <v>5872.24</v>
      </c>
      <c r="G49" s="35">
        <v>6778.5</v>
      </c>
      <c r="H49" s="35">
        <v>7273.47</v>
      </c>
      <c r="I49" s="35">
        <v>9144.42</v>
      </c>
      <c r="J49" s="35">
        <v>5872.24</v>
      </c>
      <c r="K49" s="35">
        <v>6587.68</v>
      </c>
      <c r="L49" s="35">
        <v>5872.24</v>
      </c>
      <c r="M49" s="35">
        <v>5872.24</v>
      </c>
      <c r="N49" s="35">
        <f t="shared" si="4"/>
        <v>80909.92000000001</v>
      </c>
      <c r="O49" s="35">
        <v>81154</v>
      </c>
    </row>
    <row r="50" spans="1:15" ht="16.5">
      <c r="A50" s="32" t="s">
        <v>96</v>
      </c>
      <c r="B50" s="35">
        <f>630234.08-212875.58</f>
        <v>417358.5</v>
      </c>
      <c r="C50" s="35">
        <v>212875.58</v>
      </c>
      <c r="D50" s="35">
        <v>207806.65</v>
      </c>
      <c r="E50" s="35">
        <v>319482.17</v>
      </c>
      <c r="F50" s="35">
        <v>210751.24</v>
      </c>
      <c r="G50" s="35">
        <v>227640.97</v>
      </c>
      <c r="H50" s="35">
        <v>315293.48</v>
      </c>
      <c r="I50" s="35">
        <v>306676.45</v>
      </c>
      <c r="J50" s="35">
        <v>207268.75</v>
      </c>
      <c r="K50" s="35">
        <v>314136.22</v>
      </c>
      <c r="L50" s="35">
        <v>211201.65</v>
      </c>
      <c r="M50" s="35">
        <v>254027.68</v>
      </c>
      <c r="N50" s="35">
        <f t="shared" si="4"/>
        <v>3204519.34</v>
      </c>
      <c r="O50" s="35">
        <v>3264518</v>
      </c>
    </row>
    <row r="51" spans="1:15" ht="16.5">
      <c r="A51" s="32" t="s">
        <v>99</v>
      </c>
      <c r="B51" s="35">
        <v>378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f t="shared" si="4"/>
        <v>378</v>
      </c>
      <c r="O51" s="35">
        <v>3030</v>
      </c>
    </row>
    <row r="52" spans="1:15" ht="16.5">
      <c r="A52" s="32" t="s">
        <v>97</v>
      </c>
      <c r="B52" s="36">
        <f>225830.82-68326.44</f>
        <v>157504.38</v>
      </c>
      <c r="C52" s="36">
        <v>68326.44</v>
      </c>
      <c r="D52" s="36">
        <v>64695.17</v>
      </c>
      <c r="E52" s="36">
        <v>73143.92</v>
      </c>
      <c r="F52" s="36">
        <v>63198.03</v>
      </c>
      <c r="G52" s="36">
        <v>69107</v>
      </c>
      <c r="H52" s="36">
        <v>71407.61</v>
      </c>
      <c r="I52" s="36">
        <v>93183.82</v>
      </c>
      <c r="J52" s="36">
        <v>64981.86</v>
      </c>
      <c r="K52" s="36">
        <v>67436.52</v>
      </c>
      <c r="L52" s="36">
        <v>65832.18</v>
      </c>
      <c r="M52" s="36">
        <v>131045.43</v>
      </c>
      <c r="N52" s="36">
        <f t="shared" si="4"/>
        <v>989862.3599999999</v>
      </c>
      <c r="O52" s="36">
        <v>938684</v>
      </c>
    </row>
    <row r="53" spans="1:15" ht="16.5">
      <c r="A53" s="32" t="s">
        <v>28</v>
      </c>
      <c r="B53" s="35">
        <f aca="true" t="shared" si="5" ref="B53:O53">SUM(B40:B52)</f>
        <v>1179468.19</v>
      </c>
      <c r="C53" s="35">
        <f t="shared" si="5"/>
        <v>544211.81</v>
      </c>
      <c r="D53" s="35">
        <f t="shared" si="5"/>
        <v>532083.2000000001</v>
      </c>
      <c r="E53" s="35">
        <f t="shared" si="5"/>
        <v>782753.28</v>
      </c>
      <c r="F53" s="35">
        <f t="shared" si="5"/>
        <v>530574.17</v>
      </c>
      <c r="G53" s="35">
        <f t="shared" si="5"/>
        <v>586207.14</v>
      </c>
      <c r="H53" s="35">
        <f t="shared" si="5"/>
        <v>800187.22</v>
      </c>
      <c r="I53" s="35">
        <f t="shared" si="5"/>
        <v>801723.8</v>
      </c>
      <c r="J53" s="35">
        <f t="shared" si="5"/>
        <v>538609.02</v>
      </c>
      <c r="K53" s="35">
        <f t="shared" si="5"/>
        <v>769172.75</v>
      </c>
      <c r="L53" s="35">
        <f t="shared" si="5"/>
        <v>542731.8</v>
      </c>
      <c r="M53" s="35">
        <f t="shared" si="5"/>
        <v>743922.79</v>
      </c>
      <c r="N53" s="35">
        <f t="shared" si="5"/>
        <v>8351645.17</v>
      </c>
      <c r="O53" s="35">
        <f t="shared" si="5"/>
        <v>8353849</v>
      </c>
    </row>
    <row r="56" ht="16.5">
      <c r="A56" s="33">
        <v>2004</v>
      </c>
    </row>
    <row r="57" spans="1:15" ht="16.5">
      <c r="A57" s="34" t="s">
        <v>74</v>
      </c>
      <c r="B57" s="37" t="s">
        <v>75</v>
      </c>
      <c r="C57" s="37" t="s">
        <v>76</v>
      </c>
      <c r="D57" s="37" t="s">
        <v>77</v>
      </c>
      <c r="E57" s="37" t="s">
        <v>78</v>
      </c>
      <c r="F57" s="37" t="s">
        <v>20</v>
      </c>
      <c r="G57" s="37" t="s">
        <v>79</v>
      </c>
      <c r="H57" s="37" t="s">
        <v>80</v>
      </c>
      <c r="I57" s="37" t="s">
        <v>81</v>
      </c>
      <c r="J57" s="37" t="s">
        <v>82</v>
      </c>
      <c r="K57" s="34" t="s">
        <v>83</v>
      </c>
      <c r="L57" s="34" t="s">
        <v>84</v>
      </c>
      <c r="M57" s="34" t="s">
        <v>85</v>
      </c>
      <c r="N57" s="32" t="s">
        <v>28</v>
      </c>
      <c r="O57" s="32" t="s">
        <v>98</v>
      </c>
    </row>
    <row r="58" spans="1:15" ht="16.5">
      <c r="A58" s="32" t="s">
        <v>86</v>
      </c>
      <c r="B58" s="35">
        <v>7006.51</v>
      </c>
      <c r="C58" s="35">
        <v>4370.89</v>
      </c>
      <c r="D58" s="35">
        <v>4370.87</v>
      </c>
      <c r="E58" s="35">
        <v>5012.19</v>
      </c>
      <c r="F58" s="35">
        <v>4370.87</v>
      </c>
      <c r="G58" s="35">
        <v>4370.86</v>
      </c>
      <c r="H58" s="35">
        <v>7104.07</v>
      </c>
      <c r="I58" s="35">
        <v>4370.87</v>
      </c>
      <c r="J58" s="35">
        <v>4369.57</v>
      </c>
      <c r="K58" s="35">
        <f>$O$58*K40/$O$40</f>
        <v>5116.224074246402</v>
      </c>
      <c r="L58" s="35">
        <f>$O$58*L40/$O$40</f>
        <v>4560.314121273555</v>
      </c>
      <c r="M58" s="35">
        <f>$O$58*M40/$O$40</f>
        <v>4560.314121273555</v>
      </c>
      <c r="N58" s="35">
        <f>SUM(B58:M58)</f>
        <v>59583.55231679352</v>
      </c>
      <c r="O58" s="38">
        <v>63341</v>
      </c>
    </row>
    <row r="59" spans="1:15" ht="16.5">
      <c r="A59" s="32" t="s">
        <v>87</v>
      </c>
      <c r="B59" s="35">
        <v>20419.13</v>
      </c>
      <c r="C59" s="35">
        <v>13740.05</v>
      </c>
      <c r="D59" s="35">
        <v>13957.72</v>
      </c>
      <c r="E59" s="35">
        <v>15958.8</v>
      </c>
      <c r="F59" s="35">
        <v>14466.36</v>
      </c>
      <c r="G59" s="35">
        <v>14466.35</v>
      </c>
      <c r="H59" s="35">
        <v>22615.67</v>
      </c>
      <c r="I59" s="35">
        <v>14110.59</v>
      </c>
      <c r="J59" s="35">
        <v>14466.31</v>
      </c>
      <c r="K59" s="35">
        <f>$O$59*K41/$O$41</f>
        <v>14327.041171418601</v>
      </c>
      <c r="L59" s="35">
        <f>$O$59*L41/$O$41</f>
        <v>13230.603232629774</v>
      </c>
      <c r="M59" s="35">
        <f>$O$59*M41/$O$41</f>
        <v>13192.942528261234</v>
      </c>
      <c r="N59" s="35">
        <f aca="true" t="shared" si="6" ref="N59:N70">SUM(B59:M59)</f>
        <v>184951.5669323096</v>
      </c>
      <c r="O59" s="38">
        <v>204276</v>
      </c>
    </row>
    <row r="60" spans="1:15" ht="16.5">
      <c r="A60" s="32" t="s">
        <v>88</v>
      </c>
      <c r="B60" s="35">
        <v>2130.58</v>
      </c>
      <c r="C60" s="35">
        <v>1717.46</v>
      </c>
      <c r="D60" s="35">
        <v>1761.25</v>
      </c>
      <c r="E60" s="35">
        <v>250.41</v>
      </c>
      <c r="F60" s="35">
        <v>628.03</v>
      </c>
      <c r="G60" s="35">
        <v>338.77</v>
      </c>
      <c r="H60" s="35">
        <v>642.22</v>
      </c>
      <c r="I60" s="35">
        <v>294.93</v>
      </c>
      <c r="J60" s="35">
        <v>82.88</v>
      </c>
      <c r="K60" s="35">
        <f>$O$60*K42/$O$42</f>
        <v>755.34</v>
      </c>
      <c r="L60" s="35">
        <f>$O$60*L42/$O$42</f>
        <v>0</v>
      </c>
      <c r="M60" s="35">
        <f>$O$60*M42/$O$42</f>
        <v>5441.89</v>
      </c>
      <c r="N60" s="35">
        <f t="shared" si="6"/>
        <v>14043.760000000002</v>
      </c>
      <c r="O60" s="38">
        <v>14872</v>
      </c>
    </row>
    <row r="61" spans="1:15" ht="16.5">
      <c r="A61" s="32" t="s">
        <v>89</v>
      </c>
      <c r="B61" s="35">
        <v>3453.35</v>
      </c>
      <c r="C61" s="35">
        <v>1714.55</v>
      </c>
      <c r="D61" s="35">
        <v>2380.91</v>
      </c>
      <c r="E61" s="35">
        <v>3011.88</v>
      </c>
      <c r="F61" s="35">
        <v>2028.9</v>
      </c>
      <c r="G61" s="35">
        <v>1714.55</v>
      </c>
      <c r="H61" s="35">
        <v>3288.32</v>
      </c>
      <c r="I61" s="35">
        <v>2918.08</v>
      </c>
      <c r="J61" s="35">
        <v>2519.06</v>
      </c>
      <c r="K61" s="35">
        <f>$O$61*K43/$O$43</f>
        <v>2538.157742186487</v>
      </c>
      <c r="L61" s="35">
        <f>$O$61*L43/$O$43</f>
        <v>2288.2559787965242</v>
      </c>
      <c r="M61" s="35">
        <f>$O$61*M43/$O$43</f>
        <v>2547.3426209311374</v>
      </c>
      <c r="N61" s="35">
        <f t="shared" si="6"/>
        <v>30403.35634191415</v>
      </c>
      <c r="O61" s="38">
        <v>32193</v>
      </c>
    </row>
    <row r="62" spans="1:15" ht="16.5">
      <c r="A62" s="32" t="s">
        <v>90</v>
      </c>
      <c r="B62" s="35">
        <v>26137.57</v>
      </c>
      <c r="C62" s="35">
        <v>16263.18</v>
      </c>
      <c r="D62" s="35">
        <v>16262.98</v>
      </c>
      <c r="E62" s="35">
        <v>18873.89</v>
      </c>
      <c r="F62" s="35">
        <v>16236.23</v>
      </c>
      <c r="G62" s="35">
        <v>16258.88</v>
      </c>
      <c r="H62" s="35">
        <v>26477.93</v>
      </c>
      <c r="I62" s="35">
        <v>16258.23</v>
      </c>
      <c r="J62" s="35">
        <v>16259.5</v>
      </c>
      <c r="K62" s="35">
        <f>$O$62*K44/$O$44</f>
        <v>18584.945019563616</v>
      </c>
      <c r="L62" s="35">
        <f>$O$62*L44/$O$44</f>
        <v>16695.39733310198</v>
      </c>
      <c r="M62" s="35">
        <f>$O$62*M44/$O$44</f>
        <v>17356.42701357741</v>
      </c>
      <c r="N62" s="35">
        <f t="shared" si="6"/>
        <v>221665.159366243</v>
      </c>
      <c r="O62" s="38">
        <v>236604</v>
      </c>
    </row>
    <row r="63" spans="1:15" ht="16.5">
      <c r="A63" s="32" t="s">
        <v>91</v>
      </c>
      <c r="B63" s="35">
        <v>8596.89</v>
      </c>
      <c r="C63" s="35">
        <v>5392.1</v>
      </c>
      <c r="D63" s="35">
        <v>5392.08</v>
      </c>
      <c r="E63" s="35">
        <v>6181</v>
      </c>
      <c r="F63" s="35">
        <v>5392.08</v>
      </c>
      <c r="G63" s="35">
        <v>5392.07</v>
      </c>
      <c r="H63" s="35">
        <v>8764.4</v>
      </c>
      <c r="I63" s="35">
        <v>5392.07</v>
      </c>
      <c r="J63" s="35">
        <v>6082.12</v>
      </c>
      <c r="K63" s="35">
        <f>$O$63*K45/$O$45</f>
        <v>5677.68750460468</v>
      </c>
      <c r="L63" s="35">
        <f>$O$63*L45/$O$45</f>
        <v>5060.678411624257</v>
      </c>
      <c r="M63" s="35">
        <f>$O$63*M45/$O$45</f>
        <v>5060.678411624257</v>
      </c>
      <c r="N63" s="35">
        <f t="shared" si="6"/>
        <v>72383.8543278532</v>
      </c>
      <c r="O63" s="38">
        <v>76197</v>
      </c>
    </row>
    <row r="64" spans="1:15" ht="16.5">
      <c r="A64" s="32" t="s">
        <v>92</v>
      </c>
      <c r="B64" s="35">
        <v>16004.88</v>
      </c>
      <c r="C64" s="35">
        <v>6259.68</v>
      </c>
      <c r="D64" s="35">
        <v>9259.68</v>
      </c>
      <c r="E64" s="35">
        <v>10656.36</v>
      </c>
      <c r="F64" s="35">
        <v>9259.67</v>
      </c>
      <c r="G64" s="35">
        <v>9259.66</v>
      </c>
      <c r="H64" s="35">
        <v>15052.03</v>
      </c>
      <c r="I64" s="35">
        <v>9259.66</v>
      </c>
      <c r="J64" s="35">
        <v>9256.47</v>
      </c>
      <c r="K64" s="35">
        <f>$O$64*K46/$O$46</f>
        <v>12116.17140348866</v>
      </c>
      <c r="L64" s="35">
        <f>$O$64*L46/$O$46</f>
        <v>10861.275609976468</v>
      </c>
      <c r="M64" s="35">
        <f>$O$64*M46/$O$46</f>
        <v>10793.231080244625</v>
      </c>
      <c r="N64" s="39">
        <f t="shared" si="6"/>
        <v>128038.76809370976</v>
      </c>
      <c r="O64" s="38">
        <v>151708</v>
      </c>
    </row>
    <row r="65" spans="1:15" ht="16.5">
      <c r="A65" s="32" t="s">
        <v>93</v>
      </c>
      <c r="B65" s="35">
        <v>422528.95</v>
      </c>
      <c r="C65" s="35">
        <v>219534.18</v>
      </c>
      <c r="D65" s="35">
        <v>190917.27</v>
      </c>
      <c r="E65" s="35">
        <v>201024.3</v>
      </c>
      <c r="F65" s="35">
        <v>324511.24</v>
      </c>
      <c r="G65" s="35">
        <v>254050.91</v>
      </c>
      <c r="H65" s="35">
        <v>450104.12</v>
      </c>
      <c r="I65" s="35">
        <v>201232.53</v>
      </c>
      <c r="J65" s="35">
        <v>201633.42</v>
      </c>
      <c r="K65" s="35">
        <f>$O$65*K47/$O$47</f>
        <v>331702.8543014142</v>
      </c>
      <c r="L65" s="35">
        <f>$O$65*L47/$O$47</f>
        <v>212146.05059480324</v>
      </c>
      <c r="M65" s="35">
        <f>$O$65*M47/$O$47</f>
        <v>304837.8350053104</v>
      </c>
      <c r="N65" s="35">
        <f t="shared" si="6"/>
        <v>3314223.659901527</v>
      </c>
      <c r="O65" s="38">
        <v>3375191</v>
      </c>
    </row>
    <row r="66" spans="1:15" ht="16.5">
      <c r="A66" s="32" t="s">
        <v>94</v>
      </c>
      <c r="B66" s="35">
        <v>6598.94</v>
      </c>
      <c r="C66" s="35">
        <v>4678.51</v>
      </c>
      <c r="D66" s="35">
        <v>6366.92</v>
      </c>
      <c r="E66" s="35">
        <v>6840.25</v>
      </c>
      <c r="F66" s="35">
        <v>6195.75</v>
      </c>
      <c r="G66" s="35">
        <v>6195.75</v>
      </c>
      <c r="H66" s="35">
        <v>11320.5</v>
      </c>
      <c r="I66" s="35">
        <v>6597.02</v>
      </c>
      <c r="J66" s="35">
        <v>6196.46</v>
      </c>
      <c r="K66" s="35">
        <f>$O$66*K48/$O$48</f>
        <v>7032.474570047197</v>
      </c>
      <c r="L66" s="35">
        <f>$O$66*L48/$O$48</f>
        <v>6268.078952227467</v>
      </c>
      <c r="M66" s="35">
        <f>$O$66*M48/$O$48</f>
        <v>4610.763199033037</v>
      </c>
      <c r="N66" s="35">
        <f t="shared" si="6"/>
        <v>78901.4167213077</v>
      </c>
      <c r="O66" s="38">
        <v>89134</v>
      </c>
    </row>
    <row r="67" spans="1:15" ht="16.5">
      <c r="A67" s="32" t="s">
        <v>95</v>
      </c>
      <c r="B67" s="35">
        <v>9453.61</v>
      </c>
      <c r="C67" s="35">
        <v>5893.48</v>
      </c>
      <c r="D67" s="35">
        <v>5893.47</v>
      </c>
      <c r="E67" s="35">
        <v>6755.1</v>
      </c>
      <c r="F67" s="35">
        <v>6797.69</v>
      </c>
      <c r="G67" s="35">
        <v>6728.85</v>
      </c>
      <c r="H67" s="35">
        <v>9934.06</v>
      </c>
      <c r="I67" s="35">
        <v>5892.97</v>
      </c>
      <c r="J67" s="35">
        <v>5891.01</v>
      </c>
      <c r="K67" s="35">
        <f>$O$67*K49/$O$49</f>
        <v>6905.64267047835</v>
      </c>
      <c r="L67" s="35">
        <f>$O$67*L49/$O$49</f>
        <v>6155.671057988515</v>
      </c>
      <c r="M67" s="35">
        <f>$O$67*M49/$O$49</f>
        <v>6155.671057988515</v>
      </c>
      <c r="N67" s="35">
        <f t="shared" si="6"/>
        <v>82457.22478645538</v>
      </c>
      <c r="O67" s="38">
        <v>85071</v>
      </c>
    </row>
    <row r="68" spans="1:15" ht="16.5">
      <c r="A68" s="32" t="s">
        <v>96</v>
      </c>
      <c r="B68" s="35">
        <v>422421.87</v>
      </c>
      <c r="C68" s="35">
        <v>222935.06</v>
      </c>
      <c r="D68" s="35">
        <v>202338.31</v>
      </c>
      <c r="E68" s="35">
        <v>214944.47</v>
      </c>
      <c r="F68" s="35">
        <v>312652.06</v>
      </c>
      <c r="G68" s="35">
        <v>234114.34</v>
      </c>
      <c r="H68" s="35">
        <v>435760.07</v>
      </c>
      <c r="I68" s="35">
        <v>214168.11</v>
      </c>
      <c r="J68" s="35">
        <v>216721.26</v>
      </c>
      <c r="K68" s="35">
        <f>$O$68*K50/$O$50</f>
        <v>333660.0946070507</v>
      </c>
      <c r="L68" s="35">
        <f>$O$68*L50/$O$50</f>
        <v>224328.03998267127</v>
      </c>
      <c r="M68" s="35">
        <f>$O$68*M50/$O$50</f>
        <v>269815.74980946037</v>
      </c>
      <c r="N68" s="35">
        <f t="shared" si="6"/>
        <v>3303859.434399182</v>
      </c>
      <c r="O68" s="38">
        <v>3467411</v>
      </c>
    </row>
    <row r="69" spans="1:15" ht="16.5">
      <c r="A69" s="32" t="s">
        <v>99</v>
      </c>
      <c r="B69" s="35">
        <v>0</v>
      </c>
      <c r="C69" s="35">
        <f aca="true" t="shared" si="7" ref="C69:M69">$O$69*C51/$O$51</f>
        <v>0</v>
      </c>
      <c r="D69" s="35">
        <f t="shared" si="7"/>
        <v>0</v>
      </c>
      <c r="E69" s="35">
        <f t="shared" si="7"/>
        <v>0</v>
      </c>
      <c r="F69" s="35">
        <f t="shared" si="7"/>
        <v>0</v>
      </c>
      <c r="G69" s="35">
        <f t="shared" si="7"/>
        <v>0</v>
      </c>
      <c r="H69" s="35">
        <f t="shared" si="7"/>
        <v>0</v>
      </c>
      <c r="I69" s="35">
        <f t="shared" si="7"/>
        <v>0</v>
      </c>
      <c r="J69" s="35">
        <f t="shared" si="7"/>
        <v>0</v>
      </c>
      <c r="K69" s="35">
        <f t="shared" si="7"/>
        <v>0</v>
      </c>
      <c r="L69" s="35">
        <f t="shared" si="7"/>
        <v>0</v>
      </c>
      <c r="M69" s="35">
        <f t="shared" si="7"/>
        <v>0</v>
      </c>
      <c r="N69" s="35">
        <f t="shared" si="6"/>
        <v>0</v>
      </c>
      <c r="O69" s="38">
        <v>3030</v>
      </c>
    </row>
    <row r="70" spans="1:15" ht="16.5">
      <c r="A70" s="32" t="s">
        <v>97</v>
      </c>
      <c r="B70" s="36">
        <v>105672.29</v>
      </c>
      <c r="C70" s="36">
        <v>69351.35</v>
      </c>
      <c r="D70" s="36">
        <v>69403.28</v>
      </c>
      <c r="E70" s="36">
        <v>79845.44</v>
      </c>
      <c r="F70" s="36">
        <v>65075.35</v>
      </c>
      <c r="G70" s="36">
        <v>72024.16</v>
      </c>
      <c r="H70" s="36">
        <v>113212</v>
      </c>
      <c r="I70" s="36">
        <v>65199.35</v>
      </c>
      <c r="J70" s="36">
        <v>71351.1</v>
      </c>
      <c r="K70" s="36">
        <f>$O$70*K52/$O$52</f>
        <v>70064.77151774186</v>
      </c>
      <c r="L70" s="36">
        <f>$O$70*L52/$O$52</f>
        <v>68397.90443241815</v>
      </c>
      <c r="M70" s="36">
        <f>$O$70*M52/$O$52</f>
        <v>136152.75686518571</v>
      </c>
      <c r="N70" s="36">
        <f t="shared" si="6"/>
        <v>985749.7528153457</v>
      </c>
      <c r="O70" s="40">
        <v>975268</v>
      </c>
    </row>
    <row r="71" spans="1:15" ht="16.5">
      <c r="A71" s="32" t="s">
        <v>28</v>
      </c>
      <c r="B71" s="35">
        <f aca="true" t="shared" si="8" ref="B71:O71">SUM(B58:B70)</f>
        <v>1050424.57</v>
      </c>
      <c r="C71" s="35">
        <f t="shared" si="8"/>
        <v>571850.49</v>
      </c>
      <c r="D71" s="35">
        <f t="shared" si="8"/>
        <v>528304.74</v>
      </c>
      <c r="E71" s="35">
        <f t="shared" si="8"/>
        <v>569354.0899999999</v>
      </c>
      <c r="F71" s="35">
        <f t="shared" si="8"/>
        <v>767614.23</v>
      </c>
      <c r="G71" s="35">
        <f t="shared" si="8"/>
        <v>624915.15</v>
      </c>
      <c r="H71" s="35">
        <f t="shared" si="8"/>
        <v>1104275.3900000001</v>
      </c>
      <c r="I71" s="35">
        <f t="shared" si="8"/>
        <v>545694.4099999999</v>
      </c>
      <c r="J71" s="35">
        <f t="shared" si="8"/>
        <v>554829.16</v>
      </c>
      <c r="K71" s="35">
        <f t="shared" si="8"/>
        <v>808481.4045822407</v>
      </c>
      <c r="L71" s="35">
        <f t="shared" si="8"/>
        <v>569992.2697075112</v>
      </c>
      <c r="M71" s="35">
        <f t="shared" si="8"/>
        <v>780525.6017128902</v>
      </c>
      <c r="N71" s="35">
        <f t="shared" si="8"/>
        <v>8476261.50600264</v>
      </c>
      <c r="O71" s="35">
        <f t="shared" si="8"/>
        <v>8774296</v>
      </c>
    </row>
    <row r="74" ht="16.5">
      <c r="A74" s="33">
        <v>2005</v>
      </c>
    </row>
    <row r="75" spans="1:15" ht="16.5">
      <c r="A75" s="34" t="s">
        <v>74</v>
      </c>
      <c r="B75" s="41" t="s">
        <v>75</v>
      </c>
      <c r="C75" s="41" t="s">
        <v>76</v>
      </c>
      <c r="D75" s="41" t="s">
        <v>77</v>
      </c>
      <c r="E75" s="34" t="s">
        <v>78</v>
      </c>
      <c r="F75" s="34" t="s">
        <v>20</v>
      </c>
      <c r="G75" s="34" t="s">
        <v>79</v>
      </c>
      <c r="H75" s="34" t="s">
        <v>80</v>
      </c>
      <c r="I75" s="34" t="s">
        <v>81</v>
      </c>
      <c r="J75" s="34" t="s">
        <v>82</v>
      </c>
      <c r="K75" s="34" t="s">
        <v>83</v>
      </c>
      <c r="L75" s="34" t="s">
        <v>84</v>
      </c>
      <c r="M75" s="34" t="s">
        <v>85</v>
      </c>
      <c r="N75" s="32" t="s">
        <v>28</v>
      </c>
      <c r="O75" s="32" t="s">
        <v>98</v>
      </c>
    </row>
    <row r="76" spans="1:15" ht="16.5">
      <c r="A76" s="32" t="s">
        <v>86</v>
      </c>
      <c r="B76" s="35">
        <f>$O$58*B58/$O$58</f>
        <v>7006.51</v>
      </c>
      <c r="C76" s="35">
        <f aca="true" t="shared" si="9" ref="C76:M76">$O$58*C58/$O$58</f>
        <v>4370.89</v>
      </c>
      <c r="D76" s="35">
        <f t="shared" si="9"/>
        <v>4370.87</v>
      </c>
      <c r="E76" s="35">
        <f t="shared" si="9"/>
        <v>5012.19</v>
      </c>
      <c r="F76" s="35">
        <f t="shared" si="9"/>
        <v>4370.87</v>
      </c>
      <c r="G76" s="35">
        <f t="shared" si="9"/>
        <v>4370.86</v>
      </c>
      <c r="H76" s="35">
        <f t="shared" si="9"/>
        <v>7104.07</v>
      </c>
      <c r="I76" s="35">
        <f t="shared" si="9"/>
        <v>4370.87</v>
      </c>
      <c r="J76" s="35">
        <f t="shared" si="9"/>
        <v>4369.57</v>
      </c>
      <c r="K76" s="35">
        <f t="shared" si="9"/>
        <v>5116.224074246402</v>
      </c>
      <c r="L76" s="35">
        <f t="shared" si="9"/>
        <v>4560.314121273555</v>
      </c>
      <c r="M76" s="35">
        <f t="shared" si="9"/>
        <v>4560.314121273555</v>
      </c>
      <c r="N76" s="35">
        <f>SUM(B76:M76)</f>
        <v>59583.55231679352</v>
      </c>
      <c r="O76" s="38">
        <v>66173</v>
      </c>
    </row>
    <row r="77" spans="1:15" ht="16.5">
      <c r="A77" s="32" t="s">
        <v>100</v>
      </c>
      <c r="B77" s="35">
        <f>$O$59*B59/$O$41+16371.69</f>
        <v>37469.051272779696</v>
      </c>
      <c r="C77" s="35">
        <f>$O$59*C59/$O$41+6403.14</f>
        <v>20599.57240216682</v>
      </c>
      <c r="D77" s="35">
        <f>$O$59*D59/$O$41+9471.9</f>
        <v>23893.232416430204</v>
      </c>
      <c r="E77" s="35">
        <f>$O$59*E59/$O$41+10900.59</f>
        <v>27389.469255876058</v>
      </c>
      <c r="F77" s="35">
        <f>$O$59*F59/$O$41+9471.89</f>
        <v>24418.75713988741</v>
      </c>
      <c r="G77" s="35">
        <f>$O$59*G59/$O$41+9471.88</f>
        <v>24418.736807732574</v>
      </c>
      <c r="H77" s="35">
        <f>$O$59*H59/$O$41+15397</f>
        <v>38763.86041060346</v>
      </c>
      <c r="I77" s="35">
        <f>$O$59*I59/$O$41+9471.88</f>
        <v>24051.160067371744</v>
      </c>
      <c r="J77" s="35">
        <f>$O$59*J59/$O$41+6399.86</f>
        <v>21346.67547911324</v>
      </c>
      <c r="K77" s="35">
        <f>$O$59*K59/$O$41+12393.85</f>
        <v>27196.770769073264</v>
      </c>
      <c r="L77" s="35">
        <f>$O$59*L59/$O$41+11110.2</f>
        <v>24780.26411417123</v>
      </c>
      <c r="M77" s="35">
        <f>$O$59*M59/$O$41+11040.59</f>
        <v>24671.74249130334</v>
      </c>
      <c r="N77" s="35">
        <f aca="true" t="shared" si="10" ref="N77:N87">SUM(B77:M77)</f>
        <v>318999.29262650904</v>
      </c>
      <c r="O77" s="38">
        <v>367797</v>
      </c>
    </row>
    <row r="78" spans="1:15" ht="16.5">
      <c r="A78" s="32" t="s">
        <v>88</v>
      </c>
      <c r="B78" s="35">
        <f>$O$60*B60/$O$42</f>
        <v>2130.58</v>
      </c>
      <c r="C78" s="35">
        <f>$O$60*C60/$O$42</f>
        <v>1717.46</v>
      </c>
      <c r="D78" s="35">
        <f>$O$60*D60/$O$42</f>
        <v>1761.25</v>
      </c>
      <c r="E78" s="35">
        <f aca="true" t="shared" si="11" ref="E78:M78">$O$60*E60/$O$42</f>
        <v>250.41</v>
      </c>
      <c r="F78" s="35">
        <f t="shared" si="11"/>
        <v>628.03</v>
      </c>
      <c r="G78" s="35">
        <f t="shared" si="11"/>
        <v>338.77</v>
      </c>
      <c r="H78" s="35">
        <f t="shared" si="11"/>
        <v>642.22</v>
      </c>
      <c r="I78" s="35">
        <f t="shared" si="11"/>
        <v>294.93</v>
      </c>
      <c r="J78" s="35">
        <f t="shared" si="11"/>
        <v>82.88</v>
      </c>
      <c r="K78" s="35">
        <f t="shared" si="11"/>
        <v>755.34</v>
      </c>
      <c r="L78" s="35">
        <f t="shared" si="11"/>
        <v>0</v>
      </c>
      <c r="M78" s="35">
        <f t="shared" si="11"/>
        <v>5441.89</v>
      </c>
      <c r="N78" s="35">
        <f t="shared" si="10"/>
        <v>14043.760000000002</v>
      </c>
      <c r="O78" s="38">
        <v>14939</v>
      </c>
    </row>
    <row r="79" spans="1:15" ht="16.5">
      <c r="A79" s="32" t="s">
        <v>89</v>
      </c>
      <c r="B79" s="35">
        <f>$O$61*B61/$O$43</f>
        <v>3604.386478731682</v>
      </c>
      <c r="C79" s="35">
        <f>$O$61*C61/$O$43</f>
        <v>1789.5379376864219</v>
      </c>
      <c r="D79" s="35">
        <f>$O$61*D61/$O$43</f>
        <v>2485.042005900661</v>
      </c>
      <c r="E79" s="35">
        <f aca="true" t="shared" si="12" ref="E79:M79">$O$61*E61/$O$43</f>
        <v>3143.6082492543123</v>
      </c>
      <c r="F79" s="35">
        <f t="shared" si="12"/>
        <v>2117.636418752432</v>
      </c>
      <c r="G79" s="35">
        <f t="shared" si="12"/>
        <v>1789.5379376864219</v>
      </c>
      <c r="H79" s="35">
        <f t="shared" si="12"/>
        <v>3432.138690182856</v>
      </c>
      <c r="I79" s="35">
        <f t="shared" si="12"/>
        <v>3045.7057917261054</v>
      </c>
      <c r="J79" s="35">
        <f t="shared" si="12"/>
        <v>2629.234164829464</v>
      </c>
      <c r="K79" s="35">
        <f t="shared" si="12"/>
        <v>2649.1671700884963</v>
      </c>
      <c r="L79" s="35">
        <f t="shared" si="12"/>
        <v>2388.3356479508657</v>
      </c>
      <c r="M79" s="35">
        <f t="shared" si="12"/>
        <v>2658.7537607196246</v>
      </c>
      <c r="N79" s="35">
        <f t="shared" si="10"/>
        <v>31733.084253509343</v>
      </c>
      <c r="O79" s="38">
        <v>33316</v>
      </c>
    </row>
    <row r="80" spans="1:15" ht="16.5">
      <c r="A80" s="32" t="s">
        <v>90</v>
      </c>
      <c r="B80" s="35">
        <f>$O$62*B62/$O$44</f>
        <v>26826.242190951285</v>
      </c>
      <c r="C80" s="35">
        <f>$O$62*C62/$O$44</f>
        <v>16691.681953411706</v>
      </c>
      <c r="D80" s="35">
        <f>$O$62*D62/$O$44</f>
        <v>16691.476683815556</v>
      </c>
      <c r="E80" s="35">
        <f aca="true" t="shared" si="13" ref="E80:M80">$O$62*E62/$O$44</f>
        <v>19371.178890209514</v>
      </c>
      <c r="F80" s="35">
        <f t="shared" si="13"/>
        <v>16664.02187533076</v>
      </c>
      <c r="G80" s="35">
        <f t="shared" si="13"/>
        <v>16687.268657094522</v>
      </c>
      <c r="H80" s="35">
        <f t="shared" si="13"/>
        <v>27175.569989675965</v>
      </c>
      <c r="I80" s="35">
        <f t="shared" si="13"/>
        <v>16686.60153090704</v>
      </c>
      <c r="J80" s="35">
        <f t="shared" si="13"/>
        <v>16687.90499284258</v>
      </c>
      <c r="K80" s="35">
        <f t="shared" si="13"/>
        <v>19074.620792993665</v>
      </c>
      <c r="L80" s="35">
        <f t="shared" si="13"/>
        <v>17135.287340481766</v>
      </c>
      <c r="M80" s="35">
        <f t="shared" si="13"/>
        <v>17813.73381824695</v>
      </c>
      <c r="N80" s="35">
        <f t="shared" si="10"/>
        <v>227505.58871596132</v>
      </c>
      <c r="O80" s="38">
        <v>252159</v>
      </c>
    </row>
    <row r="81" spans="1:15" ht="16.5">
      <c r="A81" s="32" t="s">
        <v>91</v>
      </c>
      <c r="B81" s="35">
        <f>$O$63*B63/$O$45</f>
        <v>8937.270309434476</v>
      </c>
      <c r="C81" s="35">
        <f>$O$63*C63/$O$45</f>
        <v>5605.59170066171</v>
      </c>
      <c r="D81" s="35">
        <f>$O$63*D63/$O$45</f>
        <v>5605.570908793233</v>
      </c>
      <c r="E81" s="35">
        <f aca="true" t="shared" si="14" ref="E81:M81">$O$63*E63/$O$45</f>
        <v>6425.726952725288</v>
      </c>
      <c r="F81" s="35">
        <f t="shared" si="14"/>
        <v>5605.570908793233</v>
      </c>
      <c r="G81" s="35">
        <f t="shared" si="14"/>
        <v>5605.560512858994</v>
      </c>
      <c r="H81" s="35">
        <f t="shared" si="14"/>
        <v>9111.412603861108</v>
      </c>
      <c r="I81" s="35">
        <f t="shared" si="14"/>
        <v>5605.560512858994</v>
      </c>
      <c r="J81" s="35">
        <f t="shared" si="14"/>
        <v>6322.931954976465</v>
      </c>
      <c r="K81" s="35">
        <f t="shared" si="14"/>
        <v>5902.486592378236</v>
      </c>
      <c r="L81" s="35">
        <f t="shared" si="14"/>
        <v>5261.047996869275</v>
      </c>
      <c r="M81" s="35">
        <f t="shared" si="14"/>
        <v>5261.047996869275</v>
      </c>
      <c r="N81" s="35">
        <f t="shared" si="10"/>
        <v>75249.7789510803</v>
      </c>
      <c r="O81" s="38">
        <v>82432</v>
      </c>
    </row>
    <row r="82" spans="1:15" ht="16.5">
      <c r="A82" s="32" t="s">
        <v>93</v>
      </c>
      <c r="B82" s="35">
        <f>$O$65*B65/$O$47</f>
        <v>442363.4024843076</v>
      </c>
      <c r="C82" s="35">
        <f>$O$65*C65/$O$47</f>
        <v>229839.60466236086</v>
      </c>
      <c r="D82" s="35">
        <f>$O$65*D65/$O$47</f>
        <v>199879.35300105525</v>
      </c>
      <c r="E82" s="35">
        <f aca="true" t="shared" si="15" ref="E82:M82">$O$65*E65/$O$47</f>
        <v>210460.82955978802</v>
      </c>
      <c r="F82" s="35">
        <f t="shared" si="15"/>
        <v>339744.5222884769</v>
      </c>
      <c r="G82" s="35">
        <f t="shared" si="15"/>
        <v>265976.6270496604</v>
      </c>
      <c r="H82" s="35">
        <f t="shared" si="15"/>
        <v>471233.0125436496</v>
      </c>
      <c r="I82" s="35">
        <f t="shared" si="15"/>
        <v>210678.83434099724</v>
      </c>
      <c r="J82" s="35">
        <f t="shared" si="15"/>
        <v>211098.5430128455</v>
      </c>
      <c r="K82" s="35">
        <f t="shared" si="15"/>
        <v>347273.7270251663</v>
      </c>
      <c r="L82" s="35">
        <f t="shared" si="15"/>
        <v>222104.6599640693</v>
      </c>
      <c r="M82" s="35">
        <f t="shared" si="15"/>
        <v>319147.60372963577</v>
      </c>
      <c r="N82" s="35">
        <f t="shared" si="10"/>
        <v>3469800.719662012</v>
      </c>
      <c r="O82" s="38">
        <v>3677262</v>
      </c>
    </row>
    <row r="83" spans="1:15" ht="16.5">
      <c r="A83" s="32" t="s">
        <v>94</v>
      </c>
      <c r="B83" s="35">
        <f>$O$66*B66/$O$48</f>
        <v>6770.921123057441</v>
      </c>
      <c r="C83" s="35">
        <f>$O$66*C66/$O$48</f>
        <v>4800.441007712675</v>
      </c>
      <c r="D83" s="35">
        <f>$O$66*D66/$O$48</f>
        <v>6532.854233682514</v>
      </c>
      <c r="E83" s="35">
        <f aca="true" t="shared" si="16" ref="E83:M83">$O$66*E66/$O$48</f>
        <v>7018.520127777138</v>
      </c>
      <c r="F83" s="35">
        <f t="shared" si="16"/>
        <v>6357.223212846782</v>
      </c>
      <c r="G83" s="35">
        <f t="shared" si="16"/>
        <v>6357.223212846782</v>
      </c>
      <c r="H83" s="35">
        <f t="shared" si="16"/>
        <v>11615.534096926442</v>
      </c>
      <c r="I83" s="35">
        <f t="shared" si="16"/>
        <v>6768.951084148729</v>
      </c>
      <c r="J83" s="35">
        <f t="shared" si="16"/>
        <v>6357.951716818234</v>
      </c>
      <c r="K83" s="35">
        <f t="shared" si="16"/>
        <v>7215.754441424967</v>
      </c>
      <c r="L83" s="35">
        <f t="shared" si="16"/>
        <v>6431.437197281491</v>
      </c>
      <c r="M83" s="35">
        <f t="shared" si="16"/>
        <v>4730.928594251303</v>
      </c>
      <c r="N83" s="35">
        <f t="shared" si="10"/>
        <v>80957.7400487745</v>
      </c>
      <c r="O83" s="38">
        <v>92673</v>
      </c>
    </row>
    <row r="84" spans="1:15" ht="16.5">
      <c r="A84" s="32" t="s">
        <v>95</v>
      </c>
      <c r="B84" s="35">
        <f>$O$67*B67/$O$49</f>
        <v>9909.900390738596</v>
      </c>
      <c r="C84" s="35">
        <f>$O$67*C67/$O$49</f>
        <v>6177.936233334154</v>
      </c>
      <c r="D84" s="35">
        <f>$O$67*D67/$O$49</f>
        <v>6177.925750671563</v>
      </c>
      <c r="E84" s="35">
        <f aca="true" t="shared" si="17" ref="E84:M84">$O$67*E67/$O$49</f>
        <v>7081.143407595436</v>
      </c>
      <c r="F84" s="35">
        <f t="shared" si="17"/>
        <v>7125.789067575228</v>
      </c>
      <c r="G84" s="35">
        <f t="shared" si="17"/>
        <v>7053.62641829115</v>
      </c>
      <c r="H84" s="35">
        <f t="shared" si="17"/>
        <v>10413.539914976463</v>
      </c>
      <c r="I84" s="35">
        <f t="shared" si="17"/>
        <v>6177.401617541957</v>
      </c>
      <c r="J84" s="35">
        <f t="shared" si="17"/>
        <v>6175.347015673904</v>
      </c>
      <c r="K84" s="35">
        <f t="shared" si="17"/>
        <v>7238.952209629392</v>
      </c>
      <c r="L84" s="35">
        <f t="shared" si="17"/>
        <v>6452.782272890319</v>
      </c>
      <c r="M84" s="35">
        <f t="shared" si="17"/>
        <v>6452.782272890319</v>
      </c>
      <c r="N84" s="35">
        <f t="shared" si="10"/>
        <v>86437.12657180848</v>
      </c>
      <c r="O84" s="38">
        <v>145804</v>
      </c>
    </row>
    <row r="85" spans="1:15" ht="16.5">
      <c r="A85" s="32" t="s">
        <v>96</v>
      </c>
      <c r="B85" s="35">
        <f>$O$68*B68/$O$50</f>
        <v>448675.80410908133</v>
      </c>
      <c r="C85" s="35">
        <f>$O$68*C68/$O$50</f>
        <v>236790.6929383327</v>
      </c>
      <c r="D85" s="35">
        <f>$O$68*D68/$O$50</f>
        <v>214913.83469639622</v>
      </c>
      <c r="E85" s="35">
        <f aca="true" t="shared" si="18" ref="E85:M85">$O$68*E68/$O$50</f>
        <v>228303.47992174345</v>
      </c>
      <c r="F85" s="35">
        <f t="shared" si="18"/>
        <v>332083.6926053586</v>
      </c>
      <c r="G85" s="35">
        <f t="shared" si="18"/>
        <v>248664.77617024627</v>
      </c>
      <c r="H85" s="35">
        <f t="shared" si="18"/>
        <v>462842.9863394137</v>
      </c>
      <c r="I85" s="35">
        <f t="shared" si="18"/>
        <v>227478.86838522868</v>
      </c>
      <c r="J85" s="35">
        <f t="shared" si="18"/>
        <v>230190.69916534692</v>
      </c>
      <c r="K85" s="35">
        <f t="shared" si="18"/>
        <v>354397.3971966239</v>
      </c>
      <c r="L85" s="35">
        <f t="shared" si="18"/>
        <v>238270.24799506515</v>
      </c>
      <c r="M85" s="35">
        <f t="shared" si="18"/>
        <v>286585.06366409094</v>
      </c>
      <c r="N85" s="35">
        <f t="shared" si="10"/>
        <v>3509197.543186928</v>
      </c>
      <c r="O85" s="38">
        <v>3814812</v>
      </c>
    </row>
    <row r="86" spans="1:15" ht="16.5">
      <c r="A86" s="32" t="s">
        <v>99</v>
      </c>
      <c r="B86" s="35">
        <f aca="true" t="shared" si="19" ref="B86:M86">$O$69*B69/$O$51</f>
        <v>0</v>
      </c>
      <c r="C86" s="35">
        <f t="shared" si="19"/>
        <v>0</v>
      </c>
      <c r="D86" s="35">
        <f t="shared" si="19"/>
        <v>0</v>
      </c>
      <c r="E86" s="35">
        <f t="shared" si="19"/>
        <v>0</v>
      </c>
      <c r="F86" s="35">
        <f t="shared" si="19"/>
        <v>0</v>
      </c>
      <c r="G86" s="35">
        <f t="shared" si="19"/>
        <v>0</v>
      </c>
      <c r="H86" s="35">
        <f t="shared" si="19"/>
        <v>0</v>
      </c>
      <c r="I86" s="35">
        <f t="shared" si="19"/>
        <v>0</v>
      </c>
      <c r="J86" s="35">
        <f t="shared" si="19"/>
        <v>0</v>
      </c>
      <c r="K86" s="35">
        <f t="shared" si="19"/>
        <v>0</v>
      </c>
      <c r="L86" s="35">
        <f t="shared" si="19"/>
        <v>0</v>
      </c>
      <c r="M86" s="35">
        <f t="shared" si="19"/>
        <v>0</v>
      </c>
      <c r="N86" s="35">
        <f t="shared" si="10"/>
        <v>0</v>
      </c>
      <c r="O86" s="38">
        <v>3337</v>
      </c>
    </row>
    <row r="87" spans="1:15" ht="16.5">
      <c r="A87" s="32" t="s">
        <v>97</v>
      </c>
      <c r="B87" s="36">
        <f>$O$70*B70/$O$52</f>
        <v>109790.73141091145</v>
      </c>
      <c r="C87" s="36">
        <f>$O$70*C70/$O$52</f>
        <v>72054.22955094579</v>
      </c>
      <c r="D87" s="36">
        <f>$O$70*D70/$O$52</f>
        <v>72108.18345581686</v>
      </c>
      <c r="E87" s="36">
        <f aca="true" t="shared" si="20" ref="E87:M87">$O$70*E70/$O$52</f>
        <v>82957.31319370522</v>
      </c>
      <c r="F87" s="36">
        <f t="shared" si="20"/>
        <v>67611.57795786441</v>
      </c>
      <c r="G87" s="36">
        <f t="shared" si="20"/>
        <v>74831.20887847242</v>
      </c>
      <c r="H87" s="36">
        <f t="shared" si="20"/>
        <v>117624.29189801893</v>
      </c>
      <c r="I87" s="36">
        <f t="shared" si="20"/>
        <v>67740.41069816893</v>
      </c>
      <c r="J87" s="36">
        <f t="shared" si="20"/>
        <v>74131.91723178407</v>
      </c>
      <c r="K87" s="36">
        <f t="shared" si="20"/>
        <v>72795.45575354972</v>
      </c>
      <c r="L87" s="36">
        <f t="shared" si="20"/>
        <v>71063.62467027837</v>
      </c>
      <c r="M87" s="36">
        <f t="shared" si="20"/>
        <v>141459.13521738513</v>
      </c>
      <c r="N87" s="36">
        <f t="shared" si="10"/>
        <v>1024168.0799169013</v>
      </c>
      <c r="O87" s="40">
        <v>1010062</v>
      </c>
    </row>
    <row r="88" spans="1:15" ht="16.5">
      <c r="A88" s="32" t="s">
        <v>28</v>
      </c>
      <c r="B88" s="35">
        <f aca="true" t="shared" si="21" ref="B88:O88">SUM(B76:B87)</f>
        <v>1103484.7997699936</v>
      </c>
      <c r="C88" s="35">
        <f t="shared" si="21"/>
        <v>600437.6383866129</v>
      </c>
      <c r="D88" s="35">
        <f t="shared" si="21"/>
        <v>554419.593152562</v>
      </c>
      <c r="E88" s="35">
        <f t="shared" si="21"/>
        <v>597413.8695586745</v>
      </c>
      <c r="F88" s="35">
        <f t="shared" si="21"/>
        <v>806727.6914748857</v>
      </c>
      <c r="G88" s="35">
        <f t="shared" si="21"/>
        <v>656094.1956448896</v>
      </c>
      <c r="H88" s="35">
        <f t="shared" si="21"/>
        <v>1159958.6364873084</v>
      </c>
      <c r="I88" s="35">
        <f t="shared" si="21"/>
        <v>572899.2940289495</v>
      </c>
      <c r="J88" s="35">
        <f t="shared" si="21"/>
        <v>579393.6547342303</v>
      </c>
      <c r="K88" s="35">
        <f t="shared" si="21"/>
        <v>849615.8960251743</v>
      </c>
      <c r="L88" s="35">
        <f t="shared" si="21"/>
        <v>598448.0013203314</v>
      </c>
      <c r="M88" s="35">
        <f t="shared" si="21"/>
        <v>818782.9956666662</v>
      </c>
      <c r="N88" s="35">
        <f t="shared" si="21"/>
        <v>8897676.266250277</v>
      </c>
      <c r="O88" s="35">
        <f t="shared" si="21"/>
        <v>9560766</v>
      </c>
    </row>
    <row r="89" ht="16.5">
      <c r="O89" s="73" t="s">
        <v>133</v>
      </c>
    </row>
    <row r="90" spans="1:15" ht="16.5">
      <c r="A90" s="32" t="s">
        <v>101</v>
      </c>
      <c r="O90" s="35">
        <f>O88/12</f>
        <v>796730.5</v>
      </c>
    </row>
  </sheetData>
  <sheetProtection/>
  <printOptions/>
  <pageMargins left="0.75" right="0.75" top="1" bottom="1" header="0.5" footer="0.5"/>
  <pageSetup horizontalDpi="600" verticalDpi="600" orientation="landscape" paperSize="5" scale="75" r:id="rId1"/>
  <rowBreaks count="2" manualBreakCount="2">
    <brk id="35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1.28125" style="0" customWidth="1"/>
    <col min="2" max="2" width="2.28125" style="0" customWidth="1"/>
    <col min="3" max="3" width="12.8515625" style="0" bestFit="1" customWidth="1"/>
    <col min="4" max="4" width="2.57421875" style="0" customWidth="1"/>
    <col min="5" max="5" width="12.8515625" style="0" bestFit="1" customWidth="1"/>
    <col min="6" max="6" width="2.57421875" style="0" customWidth="1"/>
    <col min="7" max="7" width="13.57421875" style="0" bestFit="1" customWidth="1"/>
    <col min="8" max="8" width="2.57421875" style="0" customWidth="1"/>
    <col min="9" max="9" width="12.8515625" style="0" bestFit="1" customWidth="1"/>
    <col min="10" max="10" width="2.57421875" style="0" customWidth="1"/>
    <col min="11" max="11" width="10.421875" style="0" bestFit="1" customWidth="1"/>
    <col min="12" max="12" width="2.57421875" style="0" customWidth="1"/>
    <col min="14" max="14" width="12.8515625" style="0" bestFit="1" customWidth="1"/>
  </cols>
  <sheetData>
    <row r="1" ht="15">
      <c r="A1" s="42" t="s">
        <v>3</v>
      </c>
    </row>
    <row r="2" ht="12.75">
      <c r="A2" t="s">
        <v>102</v>
      </c>
    </row>
    <row r="3" ht="12.75">
      <c r="A3" t="s">
        <v>119</v>
      </c>
    </row>
    <row r="6" spans="5:11" ht="12.75">
      <c r="E6" s="43">
        <v>38168</v>
      </c>
      <c r="G6" s="43">
        <v>38219</v>
      </c>
      <c r="K6" s="44" t="s">
        <v>103</v>
      </c>
    </row>
    <row r="7" spans="3:11" ht="12.75">
      <c r="C7" s="44" t="s">
        <v>120</v>
      </c>
      <c r="E7" s="44" t="s">
        <v>104</v>
      </c>
      <c r="G7" s="44" t="s">
        <v>104</v>
      </c>
      <c r="I7" s="44" t="s">
        <v>105</v>
      </c>
      <c r="K7" s="44" t="s">
        <v>106</v>
      </c>
    </row>
    <row r="8" spans="1:11" ht="15">
      <c r="A8" s="45" t="s">
        <v>107</v>
      </c>
      <c r="C8" s="45" t="s">
        <v>108</v>
      </c>
      <c r="E8" s="45" t="s">
        <v>109</v>
      </c>
      <c r="G8" s="45" t="s">
        <v>109</v>
      </c>
      <c r="I8" s="45" t="s">
        <v>110</v>
      </c>
      <c r="K8" s="46">
        <v>0.0129</v>
      </c>
    </row>
    <row r="9" ht="6.75" customHeight="1"/>
    <row r="10" spans="1:11" ht="12.75">
      <c r="A10" t="s">
        <v>71</v>
      </c>
      <c r="C10" s="47">
        <v>2956526</v>
      </c>
      <c r="E10" s="47"/>
      <c r="G10" s="47"/>
      <c r="I10" s="48">
        <f aca="true" t="shared" si="0" ref="I10:I15">C10-E10-G10</f>
        <v>2956526</v>
      </c>
      <c r="K10" s="48">
        <f aca="true" t="shared" si="1" ref="K10:K15">I10*0.0164*330/360</f>
        <v>44446.44086666667</v>
      </c>
    </row>
    <row r="11" spans="1:11" ht="12.75">
      <c r="A11" t="s">
        <v>122</v>
      </c>
      <c r="C11" s="47">
        <v>220492</v>
      </c>
      <c r="E11" s="47"/>
      <c r="G11" s="47"/>
      <c r="I11" s="48">
        <f t="shared" si="0"/>
        <v>220492</v>
      </c>
      <c r="K11" s="48">
        <f t="shared" si="1"/>
        <v>3314.7297333333336</v>
      </c>
    </row>
    <row r="12" spans="1:11" ht="12.75">
      <c r="A12" t="s">
        <v>112</v>
      </c>
      <c r="C12" s="47">
        <v>410647</v>
      </c>
      <c r="E12" s="47"/>
      <c r="G12" s="47"/>
      <c r="I12" s="48">
        <f t="shared" si="0"/>
        <v>410647</v>
      </c>
      <c r="K12" s="48">
        <f t="shared" si="1"/>
        <v>6173.393233333334</v>
      </c>
    </row>
    <row r="13" spans="1:11" ht="12.75">
      <c r="A13" t="s">
        <v>113</v>
      </c>
      <c r="C13" s="47">
        <v>422511</v>
      </c>
      <c r="E13" s="47"/>
      <c r="G13" s="47"/>
      <c r="I13" s="48">
        <f t="shared" si="0"/>
        <v>422511</v>
      </c>
      <c r="K13" s="48">
        <f t="shared" si="1"/>
        <v>6351.7487</v>
      </c>
    </row>
    <row r="14" spans="1:11" ht="12.75">
      <c r="A14" t="s">
        <v>114</v>
      </c>
      <c r="C14" s="47">
        <v>327364</v>
      </c>
      <c r="E14" s="47"/>
      <c r="G14" s="47"/>
      <c r="I14" s="48">
        <f t="shared" si="0"/>
        <v>327364</v>
      </c>
      <c r="K14" s="48">
        <f t="shared" si="1"/>
        <v>4921.372133333333</v>
      </c>
    </row>
    <row r="15" spans="1:11" ht="12.75">
      <c r="A15" t="s">
        <v>115</v>
      </c>
      <c r="C15" s="47">
        <v>348274</v>
      </c>
      <c r="E15" s="47"/>
      <c r="G15" s="47"/>
      <c r="I15" s="48">
        <f t="shared" si="0"/>
        <v>348274</v>
      </c>
      <c r="K15" s="48">
        <f t="shared" si="1"/>
        <v>5235.719133333334</v>
      </c>
    </row>
    <row r="16" spans="3:11" ht="13.5" thickBot="1">
      <c r="C16" s="49">
        <f>SUM(C10:C15)</f>
        <v>4685814</v>
      </c>
      <c r="E16" s="49">
        <f>SUM(E10:E15)</f>
        <v>0</v>
      </c>
      <c r="G16" s="49">
        <f>SUM(G10:G15)</f>
        <v>0</v>
      </c>
      <c r="I16" s="49">
        <f>SUM(I10:I15)</f>
        <v>4685814</v>
      </c>
      <c r="K16" s="49">
        <f>SUM(K10:K15)</f>
        <v>70443.40380000001</v>
      </c>
    </row>
    <row r="17" ht="13.5" thickTop="1"/>
    <row r="18" spans="5:9" ht="12.75">
      <c r="E18" s="43">
        <v>38259</v>
      </c>
      <c r="G18" s="43"/>
      <c r="I18" s="44" t="s">
        <v>116</v>
      </c>
    </row>
    <row r="19" spans="3:11" ht="12.75">
      <c r="C19" s="44" t="s">
        <v>149</v>
      </c>
      <c r="E19" s="44" t="s">
        <v>104</v>
      </c>
      <c r="G19" s="44" t="s">
        <v>105</v>
      </c>
      <c r="I19" s="44" t="s">
        <v>106</v>
      </c>
      <c r="K19" s="50"/>
    </row>
    <row r="20" spans="1:11" ht="15">
      <c r="A20" s="45" t="s">
        <v>107</v>
      </c>
      <c r="C20" s="45" t="s">
        <v>108</v>
      </c>
      <c r="E20" s="45" t="s">
        <v>109</v>
      </c>
      <c r="G20" s="45" t="s">
        <v>110</v>
      </c>
      <c r="I20" s="46" t="s">
        <v>111</v>
      </c>
      <c r="K20" s="51"/>
    </row>
    <row r="21" ht="12.75">
      <c r="K21" s="52"/>
    </row>
    <row r="22" spans="1:11" ht="12.75">
      <c r="A22" t="s">
        <v>71</v>
      </c>
      <c r="C22" s="47">
        <f>2221360</f>
        <v>2221360</v>
      </c>
      <c r="E22" s="47">
        <v>1200000</v>
      </c>
      <c r="G22" s="47">
        <f aca="true" t="shared" si="2" ref="G22:G27">C22-E22</f>
        <v>1021360</v>
      </c>
      <c r="I22" s="48">
        <f aca="true" t="shared" si="3" ref="I22:I27">G22*0.0164*187/360</f>
        <v>8700.852355555557</v>
      </c>
      <c r="K22" s="52"/>
    </row>
    <row r="23" spans="1:11" ht="12.75">
      <c r="A23" t="s">
        <v>122</v>
      </c>
      <c r="C23" s="47">
        <v>116183</v>
      </c>
      <c r="E23" s="47">
        <v>0</v>
      </c>
      <c r="G23" s="47">
        <f t="shared" si="2"/>
        <v>116183</v>
      </c>
      <c r="I23" s="48">
        <f t="shared" si="3"/>
        <v>989.7500677777779</v>
      </c>
      <c r="K23" s="52"/>
    </row>
    <row r="24" spans="1:11" ht="12.75">
      <c r="A24" t="s">
        <v>112</v>
      </c>
      <c r="C24" s="47">
        <f>60139</f>
        <v>60139</v>
      </c>
      <c r="E24" s="47">
        <v>60139</v>
      </c>
      <c r="G24" s="47">
        <f t="shared" si="2"/>
        <v>0</v>
      </c>
      <c r="I24" s="48">
        <f t="shared" si="3"/>
        <v>0</v>
      </c>
      <c r="K24" s="52"/>
    </row>
    <row r="25" spans="1:11" ht="12.75">
      <c r="A25" t="s">
        <v>113</v>
      </c>
      <c r="C25" s="47">
        <f>118992</f>
        <v>118992</v>
      </c>
      <c r="E25" s="47">
        <v>118992</v>
      </c>
      <c r="G25" s="47">
        <f t="shared" si="2"/>
        <v>0</v>
      </c>
      <c r="I25" s="48">
        <f t="shared" si="3"/>
        <v>0</v>
      </c>
      <c r="K25" s="52"/>
    </row>
    <row r="26" spans="1:11" ht="12.75">
      <c r="A26" t="s">
        <v>114</v>
      </c>
      <c r="C26" s="47"/>
      <c r="E26" s="47">
        <v>0</v>
      </c>
      <c r="G26" s="47">
        <f t="shared" si="2"/>
        <v>0</v>
      </c>
      <c r="I26" s="48">
        <f t="shared" si="3"/>
        <v>0</v>
      </c>
      <c r="K26" s="52"/>
    </row>
    <row r="27" spans="1:11" ht="12.75">
      <c r="A27" t="s">
        <v>115</v>
      </c>
      <c r="C27" s="47">
        <f>258638</f>
        <v>258638</v>
      </c>
      <c r="E27" s="47">
        <v>110000</v>
      </c>
      <c r="G27" s="47">
        <f t="shared" si="2"/>
        <v>148638</v>
      </c>
      <c r="I27" s="48">
        <f t="shared" si="3"/>
        <v>1266.2306066666667</v>
      </c>
      <c r="K27" s="52"/>
    </row>
    <row r="28" spans="3:11" ht="13.5" thickBot="1">
      <c r="C28" s="49">
        <f>SUM(C22:C27)</f>
        <v>2775312</v>
      </c>
      <c r="E28" s="49">
        <f>SUM(E22:E27)</f>
        <v>1489131</v>
      </c>
      <c r="G28" s="49">
        <f>SUM(G22:G27)</f>
        <v>1286181</v>
      </c>
      <c r="I28" s="49">
        <f>SUM(I22:I27)</f>
        <v>10956.83303</v>
      </c>
      <c r="K28" s="53"/>
    </row>
    <row r="29" ht="13.5" thickTop="1"/>
    <row r="31" spans="3:5" ht="12.75">
      <c r="C31" s="43">
        <v>38352</v>
      </c>
      <c r="E31" s="43">
        <v>38352</v>
      </c>
    </row>
    <row r="32" spans="1:14" ht="15">
      <c r="A32" s="45" t="s">
        <v>107</v>
      </c>
      <c r="C32" s="45" t="s">
        <v>117</v>
      </c>
      <c r="E32" s="45" t="s">
        <v>118</v>
      </c>
      <c r="N32" s="48"/>
    </row>
    <row r="34" spans="1:5" ht="12.75">
      <c r="A34" t="s">
        <v>71</v>
      </c>
      <c r="C34" s="48">
        <f aca="true" t="shared" si="4" ref="C34:C39">I10+G22</f>
        <v>3977886</v>
      </c>
      <c r="E34" s="48">
        <f aca="true" t="shared" si="5" ref="E34:E39">K10+I22</f>
        <v>53147.29322222223</v>
      </c>
    </row>
    <row r="35" spans="1:5" ht="12.75">
      <c r="A35" t="s">
        <v>122</v>
      </c>
      <c r="C35" s="48">
        <f t="shared" si="4"/>
        <v>336675</v>
      </c>
      <c r="E35" s="48">
        <f t="shared" si="5"/>
        <v>4304.479801111112</v>
      </c>
    </row>
    <row r="36" spans="1:5" ht="12.75">
      <c r="A36" t="s">
        <v>112</v>
      </c>
      <c r="C36" s="48">
        <f t="shared" si="4"/>
        <v>410647</v>
      </c>
      <c r="E36" s="48">
        <f t="shared" si="5"/>
        <v>6173.393233333334</v>
      </c>
    </row>
    <row r="37" spans="1:5" ht="12.75">
      <c r="A37" t="s">
        <v>113</v>
      </c>
      <c r="C37" s="48">
        <f t="shared" si="4"/>
        <v>422511</v>
      </c>
      <c r="E37" s="48">
        <f t="shared" si="5"/>
        <v>6351.7487</v>
      </c>
    </row>
    <row r="38" spans="1:5" ht="12.75">
      <c r="A38" t="s">
        <v>114</v>
      </c>
      <c r="C38" s="48">
        <f t="shared" si="4"/>
        <v>327364</v>
      </c>
      <c r="E38" s="48">
        <f t="shared" si="5"/>
        <v>4921.372133333333</v>
      </c>
    </row>
    <row r="39" spans="1:5" ht="12.75">
      <c r="A39" t="s">
        <v>115</v>
      </c>
      <c r="C39" s="48">
        <f t="shared" si="4"/>
        <v>496912</v>
      </c>
      <c r="E39" s="48">
        <f t="shared" si="5"/>
        <v>6501.949740000001</v>
      </c>
    </row>
    <row r="40" spans="3:5" ht="13.5" thickBot="1">
      <c r="C40" s="49">
        <f>SUM(C34:C39)</f>
        <v>5971995</v>
      </c>
      <c r="E40" s="49">
        <f>SUM(E34:E39)</f>
        <v>81400.23683000001</v>
      </c>
    </row>
    <row r="41" ht="13.5" thickTop="1"/>
    <row r="43" ht="12.75">
      <c r="A43" t="s">
        <v>121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Cender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Portage Cash Flows for 2005</dc:title>
  <dc:subject/>
  <dc:creator>Brenda Wester</dc:creator>
  <cp:keywords/>
  <dc:description/>
  <cp:lastModifiedBy>Damon Tsouklis</cp:lastModifiedBy>
  <cp:lastPrinted>2010-12-08T20:58:45Z</cp:lastPrinted>
  <dcterms:created xsi:type="dcterms:W3CDTF">2004-09-29T14:53:01Z</dcterms:created>
  <dcterms:modified xsi:type="dcterms:W3CDTF">2010-12-08T21:06:18Z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-2132432131</vt:i4>
  </property>
  <property fmtid="{D5CDD505-2E9C-101B-9397-08002B2CF9AE}" pid="3" name="_EmailSubject">
    <vt:lpwstr/>
  </property>
  <property fmtid="{D5CDD505-2E9C-101B-9397-08002B2CF9AE}" pid="4" name="_AuthorEmail">
    <vt:lpwstr>ldrugan@cendercompany.com</vt:lpwstr>
  </property>
  <property fmtid="{D5CDD505-2E9C-101B-9397-08002B2CF9AE}" pid="5" name="_AuthorEmailDisplayName">
    <vt:lpwstr>Lynelle Drugan</vt:lpwstr>
  </property>
  <property fmtid="{D5CDD505-2E9C-101B-9397-08002B2CF9AE}" pid="6" name="_ReviewingToolsShownOnce">
    <vt:lpwstr/>
  </property>
</Properties>
</file>